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documenttasks/documenttask2.xml" ContentType="application/vnd.ms-excel.documenttasks+xml"/>
  <Override PartName="/xl/drawings/drawing1.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N:\fcs-data\Procurement\Governance\Governance &amp; Development Team BAU\Data North Yorkshire Publications\2023-24 - Q3\"/>
    </mc:Choice>
  </mc:AlternateContent>
  <xr:revisionPtr revIDLastSave="0" documentId="13_ncr:1_{D9C46166-3045-4A7D-B638-9D2039BAE06C}" xr6:coauthVersionLast="47" xr6:coauthVersionMax="47" xr10:uidLastSave="{00000000-0000-0000-0000-000000000000}"/>
  <bookViews>
    <workbookView xWindow="28680" yWindow="-120" windowWidth="29040" windowHeight="15840" xr2:uid="{00000000-000D-0000-FFFF-FFFF00000000}"/>
  </bookViews>
  <sheets>
    <sheet name="Above £50K" sheetId="2" r:id="rId1"/>
    <sheet name="COMPLETE 22-23" sheetId="3" state="hidden" r:id="rId2"/>
    <sheet name="Completed Archive 2017-2021" sheetId="10" state="hidden" r:id="rId3"/>
    <sheet name="Deleted" sheetId="4" state="hidden" r:id="rId4"/>
    <sheet name="Query delete" sheetId="12" state="hidden" r:id="rId5"/>
    <sheet name="Updates Summary" sheetId="8" state="hidden" r:id="rId6"/>
    <sheet name="Archive Complete 23-24" sheetId="13" state="hidden" r:id="rId7"/>
    <sheet name="list" sheetId="17" state="hidden" r:id="rId8"/>
  </sheets>
  <definedNames>
    <definedName name="_ HAS">list!$Z$2:$Z$10</definedName>
    <definedName name="_xlnm._FilterDatabase" localSheetId="0" hidden="1">'Above £50K'!$A$1:$M$629</definedName>
    <definedName name="_xlnm._FilterDatabase" localSheetId="6" hidden="1">'Archive Complete 23-24'!$A$1:$AH$162</definedName>
    <definedName name="_xlnm._FilterDatabase" localSheetId="1" hidden="1">'COMPLETE 22-23'!$A$1:$AG$435</definedName>
    <definedName name="_xlnm._FilterDatabase" localSheetId="2" hidden="1">'Completed Archive 2017-2021'!$A$1:$AR$1559</definedName>
    <definedName name="_xlnm._FilterDatabase" localSheetId="3" hidden="1">Deleted!$A$1:$BC$307</definedName>
    <definedName name="_xlnm._FilterDatabase" localSheetId="4" hidden="1">'Query delete'!$A$1:$AH$96</definedName>
    <definedName name="activity">#REF!</definedName>
    <definedName name="Brexit">#REF!</definedName>
    <definedName name="Community_Development">list!$AB$2:$AB$10</definedName>
    <definedName name="Covid">#REF!</definedName>
    <definedName name="CS_Resources">list!$AA$2:$AA$10</definedName>
    <definedName name="CYPS_">list!$Y$2:$Y$10</definedName>
    <definedName name="LGR">#REF!</definedName>
    <definedName name="Officer">#REF!</definedName>
    <definedName name="Original">#REF!</definedName>
    <definedName name="Tiering">#REF!</definedName>
    <definedName name="Z_003B1AB3_8D06_40EC_94F2_6740D1E2A265_.wvu.FilterData" localSheetId="0" hidden="1">'Above £50K'!$B$2:$M$169</definedName>
    <definedName name="Z_0075AE26_7AAE_449B_B498_05D3C89595DA_.wvu.FilterData" localSheetId="0" hidden="1">'Above £50K'!$B$2:$M$172</definedName>
    <definedName name="Z_0075AE26_7AAE_449B_B498_05D3C89595DA_.wvu.FilterData" localSheetId="1" hidden="1">'COMPLETE 22-23'!$C$1:$AE$2</definedName>
    <definedName name="Z_00D91806_925B_4394_A5B3_B11C821E8103_.wvu.FilterData" localSheetId="0" hidden="1">'Above £50K'!$B$2:$M$170</definedName>
    <definedName name="Z_00D91806_925B_4394_A5B3_B11C821E8103_.wvu.FilterData" localSheetId="1" hidden="1">'COMPLETE 22-23'!$C$1:$AE$2</definedName>
    <definedName name="Z_01812D94_F053_49C1_99F2_A5CAB6FF3B21_.wvu.FilterData" localSheetId="0" hidden="1">'Above £50K'!$B$2:$M$171</definedName>
    <definedName name="Z_0269D223_84E6_4331_83D7_655DB20EE1CB_.wvu.FilterData" localSheetId="0" hidden="1">'Above £50K'!$B$2:$M$173</definedName>
    <definedName name="Z_03AD2AFE_2DDD_4D37_8F9F_D1CAD93AE394_.wvu.FilterData" localSheetId="0" hidden="1">'Above £50K'!$B$2:$M$180</definedName>
    <definedName name="Z_03AD2AFE_2DDD_4D37_8F9F_D1CAD93AE394_.wvu.FilterData" localSheetId="1" hidden="1">'COMPLETE 22-23'!$C$1:$AF$2</definedName>
    <definedName name="Z_03D56F49_C2DE_488C_B836_4E0ACDAEFB2F_.wvu.FilterData" localSheetId="0" hidden="1">'Above £50K'!$B$2:$M$170</definedName>
    <definedName name="Z_03D56F49_C2DE_488C_B836_4E0ACDAEFB2F_.wvu.FilterData" localSheetId="1" hidden="1">'COMPLETE 22-23'!$C$1:$AE$2</definedName>
    <definedName name="Z_07F32D73_0887_4C61_B80C_4F2A1E182B41_.wvu.FilterData" localSheetId="0" hidden="1">'Above £50K'!$B$2:$M$169</definedName>
    <definedName name="Z_08BF6DA5_E38A_415C_AE30_D544D5902C27_.wvu.FilterData" localSheetId="0" hidden="1">'Above £50K'!$B$2:$M$169</definedName>
    <definedName name="Z_095BEB39_F669_4131_B0EF_73CEE374BBC6_.wvu.FilterData" localSheetId="0" hidden="1">'Above £50K'!$B$2:$M$178</definedName>
    <definedName name="Z_09826763_377D_4A5B_B76B_CB81CA36F285_.wvu.FilterData" localSheetId="0" hidden="1">'Above £50K'!$B$2:$M$169</definedName>
    <definedName name="Z_09826763_377D_4A5B_B76B_CB81CA36F285_.wvu.FilterData" localSheetId="1" hidden="1">'COMPLETE 22-23'!$C$1:$AE$2</definedName>
    <definedName name="Z_0A062110_F01C_4094_9499_FC5CC7C642E2_.wvu.FilterData" localSheetId="0" hidden="1">'Above £50K'!$B$2:$M$173</definedName>
    <definedName name="Z_0A062110_F01C_4094_9499_FC5CC7C642E2_.wvu.FilterData" localSheetId="1" hidden="1">'COMPLETE 22-23'!$C$1:$AE$2</definedName>
    <definedName name="Z_0CD513DD_33FB_453B_B67C_B6FFC23326F8_.wvu.FilterData" localSheetId="0" hidden="1">'Above £50K'!$B$2:$M$164</definedName>
    <definedName name="Z_0D1A9293_E9D4_4695_8588_5A65AB75C085_.wvu.FilterData" localSheetId="0" hidden="1">'Above £50K'!$B$2:$M$172</definedName>
    <definedName name="Z_0D579306_CD93_4D1A_BDE7_F5D4BF4FF7CF_.wvu.FilterData" localSheetId="0" hidden="1">'Above £50K'!$B$2:$M$170</definedName>
    <definedName name="Z_0EBFD264_FE14_4A24_97DA_86F17A46DBA8_.wvu.FilterData" localSheetId="0" hidden="1">'Above £50K'!$B$2:$M$172</definedName>
    <definedName name="Z_0EE34A58_3928_4D15_8AAD_2EC7663C2BC1_.wvu.FilterData" localSheetId="0" hidden="1">'Above £50K'!$B$2:$M$165</definedName>
    <definedName name="Z_0F599003_BC66_455B_BA38_A01BA2677B53_.wvu.FilterData" localSheetId="0" hidden="1">'Above £50K'!$B$2:$M$179</definedName>
    <definedName name="Z_0F599003_BC66_455B_BA38_A01BA2677B53_.wvu.FilterData" localSheetId="1" hidden="1">'COMPLETE 22-23'!$C$1:$AF$2</definedName>
    <definedName name="Z_0FAEE3E9_B67B_42F1_B33F_FB31A1FD4955_.wvu.FilterData" localSheetId="0" hidden="1">'Above £50K'!$B$2:$M$166</definedName>
    <definedName name="Z_0FAEE3E9_B67B_42F1_B33F_FB31A1FD4955_.wvu.FilterData" localSheetId="1" hidden="1">'COMPLETE 22-23'!$C$1:$AE$2</definedName>
    <definedName name="Z_111E1D8A_D793_4E39_8420_A0C5178E038A_.wvu.FilterData" localSheetId="0" hidden="1">'Above £50K'!$B$2:$M$169</definedName>
    <definedName name="Z_111E1D8A_D793_4E39_8420_A0C5178E038A_.wvu.FilterData" localSheetId="1" hidden="1">'COMPLETE 22-23'!$C$1:$AE$2</definedName>
    <definedName name="Z_11A65F6F_52EA_4152_A199_6F48FAB59FD5_.wvu.FilterData" localSheetId="0" hidden="1">'Above £50K'!$B$2:$M$178</definedName>
    <definedName name="Z_11BD298E_94C9_4FFD_BEE3_3CA72F8D8C39_.wvu.FilterData" localSheetId="0" hidden="1">'Above £50K'!$B$2:$M$169</definedName>
    <definedName name="Z_11FC3533_2BE5_4492_AB88_9BE456464652_.wvu.FilterData" localSheetId="0" hidden="1">'Above £50K'!$B$2:$M$179</definedName>
    <definedName name="Z_155DF722_B93D_4878_9619_82E423F23209_.wvu.FilterData" localSheetId="0" hidden="1">'Above £50K'!$B$2:$M$178</definedName>
    <definedName name="Z_15B91433_CFF1_498B_9D8F_0F0E5A4CF350_.wvu.FilterData" localSheetId="0" hidden="1">'Above £50K'!$B$2:$M$172</definedName>
    <definedName name="Z_16E86119_BBD6_44E6_A790_032ADE7BCDB6_.wvu.FilterData" localSheetId="0" hidden="1">'Above £50K'!$B$2:$M$166</definedName>
    <definedName name="Z_1742D48C_2B22_42A2_AE02_8656C2B38EA3_.wvu.FilterData" localSheetId="0" hidden="1">'Above £50K'!$B$2:$M$179</definedName>
    <definedName name="Z_17D79042_3807_42AB_B4B9_1DBEB9AC11C6_.wvu.FilterData" localSheetId="0" hidden="1">'Above £50K'!$B$2:$M$173</definedName>
    <definedName name="Z_17EA4FE6_679F_4A90_B4A6_0E156B49811D_.wvu.FilterData" localSheetId="0" hidden="1">'Above £50K'!$B$2:$M$178</definedName>
    <definedName name="Z_17EA4FE6_679F_4A90_B4A6_0E156B49811D_.wvu.FilterData" localSheetId="1" hidden="1">'COMPLETE 22-23'!$C$1:$AF$2</definedName>
    <definedName name="Z_193EBE25_9BD9_4450_85D8_DC8F04B77E71_.wvu.FilterData" localSheetId="0" hidden="1">'Above £50K'!$B$2:$M$178</definedName>
    <definedName name="Z_1CFD5D16_DB1A_4EE9_87BC_A06A2C3AF154_.wvu.FilterData" localSheetId="0" hidden="1">'Above £50K'!$B$2:$M$166</definedName>
    <definedName name="Z_1CFD5D16_DB1A_4EE9_87BC_A06A2C3AF154_.wvu.FilterData" localSheetId="1" hidden="1">'COMPLETE 22-23'!$C$1:$AE$2</definedName>
    <definedName name="Z_1DCF6E00_4D68_4E1B_9A12_2CEE2549AAA4_.wvu.FilterData" localSheetId="0" hidden="1">'Above £50K'!$B$2:$M$170</definedName>
    <definedName name="Z_1EA6CC82_49D5_4496_8FD0_256A60AF5964_.wvu.FilterData" localSheetId="0" hidden="1">'Above £50K'!$B$2:$M$169</definedName>
    <definedName name="Z_1ED78757_A508_407A_B753_EC94B0F94685_.wvu.FilterData" localSheetId="0" hidden="1">'Above £50K'!$B$2:$M$179</definedName>
    <definedName name="Z_213C4034_2E41_40D7_9DB1_AE1D4EBFC754_.wvu.FilterData" localSheetId="0" hidden="1">'Above £50K'!$B$2:$M$25</definedName>
    <definedName name="Z_24DBE284_1D17_4B3B_9CDC_5649FF34FFC1_.wvu.FilterData" localSheetId="0" hidden="1">'Above £50K'!$B$2:$M$166</definedName>
    <definedName name="Z_24DBE284_1D17_4B3B_9CDC_5649FF34FFC1_.wvu.FilterData" localSheetId="1" hidden="1">'COMPLETE 22-23'!$C$1:$AE$2</definedName>
    <definedName name="Z_25413084_6C62_4EF8_8CE7_66BB4B2325A1_.wvu.FilterData" localSheetId="0" hidden="1">'Above £50K'!$B$2:$M$172</definedName>
    <definedName name="Z_285DDCCC_4F16_44EC_BF71_6F092DDA1BAC_.wvu.FilterData" localSheetId="0" hidden="1">'Above £50K'!$B$2:$M$178</definedName>
    <definedName name="Z_28DFA2D7_87DC_4B3E_9FA5_74CA1D47AAE5_.wvu.FilterData" localSheetId="0" hidden="1">'Above £50K'!$B$2:$M$169</definedName>
    <definedName name="Z_294F8C06_3B8B_4E54_A41B_53DB8C541B2C_.wvu.FilterData" localSheetId="0" hidden="1">'Above £50K'!$B$2:$M$166</definedName>
    <definedName name="Z_2B13F76B_25C3_4174_A739_40F22F721CD1_.wvu.FilterData" localSheetId="0" hidden="1">'Above £50K'!$B$2:$M$178</definedName>
    <definedName name="Z_2B13F76B_25C3_4174_A739_40F22F721CD1_.wvu.FilterData" localSheetId="1" hidden="1">'COMPLETE 22-23'!$C$1:$AF$2</definedName>
    <definedName name="Z_2BC59008_CD38_4D00_8CD0_69DAE7D722ED_.wvu.FilterData" localSheetId="0" hidden="1">'Above £50K'!$B$2:$M$34</definedName>
    <definedName name="Z_2C52BE34_3100_49FC_892A_93659A5E3412_.wvu.FilterData" localSheetId="0" hidden="1">'Above £50K'!$B$2:$M$180</definedName>
    <definedName name="Z_2EDFFE2F_CD77_4A31_8D8F_A5B3AE0F051C_.wvu.FilterData" localSheetId="0" hidden="1">'Above £50K'!$B$2:$M$166</definedName>
    <definedName name="Z_2FAFC9FA_3728_47B2_B859_0DA3F0C0AF96_.wvu.FilterData" localSheetId="0" hidden="1">'Above £50K'!$B$2:$M$169</definedName>
    <definedName name="Z_2FD24E83_B6B8_4332_82DB_ABD8ABE5519D_.wvu.FilterData" localSheetId="0" hidden="1">'Above £50K'!$B$2:$M$169</definedName>
    <definedName name="Z_2FD24E83_B6B8_4332_82DB_ABD8ABE5519D_.wvu.FilterData" localSheetId="1" hidden="1">'COMPLETE 22-23'!$C$1:$AE$2</definedName>
    <definedName name="Z_322E6D24_5A37_4E59_BD47_3FEBBFA11456_.wvu.FilterData" localSheetId="0" hidden="1">'Above £50K'!$B$2:$M$179</definedName>
    <definedName name="Z_3490ED87_1CDC_448F_A628_8FE222706B72_.wvu.FilterData" localSheetId="0" hidden="1">'Above £50K'!$B$2:$M$166</definedName>
    <definedName name="Z_39E2E573_BE2D_4C4B_BE80_2AF7245862E8_.wvu.FilterData" localSheetId="0" hidden="1">'Above £50K'!$B$2:$M$173</definedName>
    <definedName name="Z_3B0A8DDF_3D19_4A73_9279_02B25CE5052E_.wvu.FilterData" localSheetId="0" hidden="1">'Above £50K'!$B$2:$M$165</definedName>
    <definedName name="Z_3BAD67D4_663C_42C9_974F_756DB521B725_.wvu.FilterData" localSheetId="0" hidden="1">'Above £50K'!$B$2:$M$169</definedName>
    <definedName name="Z_3CFE9207_873B_4E99_9FC9_C229B0A6419A_.wvu.FilterData" localSheetId="0" hidden="1">'Above £50K'!$B$2:$M$172</definedName>
    <definedName name="Z_3E9E540E_C3F0_4606_98BE_97130B27449A_.wvu.FilterData" localSheetId="0" hidden="1">'Above £50K'!$B$2:$M$171</definedName>
    <definedName name="Z_3E9E540E_C3F0_4606_98BE_97130B27449A_.wvu.FilterData" localSheetId="1" hidden="1">'COMPLETE 22-23'!$C$1:$AE$2</definedName>
    <definedName name="Z_3F6232A1_506B_451A_B652_C2E2FFF5A236_.wvu.FilterData" localSheetId="0" hidden="1">'Above £50K'!$B$2:$M$172</definedName>
    <definedName name="Z_435A0631_7956_4D7B_AE83_E7D18F8D243F_.wvu.FilterData" localSheetId="0" hidden="1">'Above £50K'!$B$2:$M$175</definedName>
    <definedName name="Z_435A0631_7956_4D7B_AE83_E7D18F8D243F_.wvu.FilterData" localSheetId="1" hidden="1">'COMPLETE 22-23'!$C$1:$AE$2</definedName>
    <definedName name="Z_45B93D13_CEF1_4C33_A77A_FA58E60BCCE1_.wvu.FilterData" localSheetId="0" hidden="1">'Above £50K'!$B$2:$M$180</definedName>
    <definedName name="Z_49569607_37AD_4A99_A661_B4AB1ACA721A_.wvu.FilterData" localSheetId="0" hidden="1">'Above £50K'!$B$2:$M$172</definedName>
    <definedName name="Z_4A42C36F_2463_4BD2_9FF9_EE2239CDB553_.wvu.FilterData" localSheetId="0" hidden="1">'Above £50K'!$B$2:$M$179</definedName>
    <definedName name="Z_4B81409B_20FA_42A2_ACC3_F8C5EBBBEE9F_.wvu.FilterData" localSheetId="0" hidden="1">'Above £50K'!$B$2:$M$173</definedName>
    <definedName name="Z_4DA80635_1BB7_4334_ABE9_237A1434611D_.wvu.FilterData" localSheetId="0" hidden="1">'Above £50K'!$B$2:$M$25</definedName>
    <definedName name="Z_4F225C39_EF5D_424F_8429_ACA66279F304_.wvu.FilterData" localSheetId="0" hidden="1">'Above £50K'!$B$2:$M$172</definedName>
    <definedName name="Z_4FF8FDC8_BCB2_4117_8C1A_5C5F8DFE9E89_.wvu.FilterData" localSheetId="0" hidden="1">'Above £50K'!$B$2:$M$164</definedName>
    <definedName name="Z_50FA032D_B315_4744_9420_3A36A79A9745_.wvu.FilterData" localSheetId="0" hidden="1">'Above £50K'!$B$2:$M$172</definedName>
    <definedName name="Z_50FA032D_B315_4744_9420_3A36A79A9745_.wvu.FilterData" localSheetId="1" hidden="1">'COMPLETE 22-23'!$C$1:$AE$2</definedName>
    <definedName name="Z_5160FED6_AFE0_4102_835C_EB0A527E8452_.wvu.FilterData" localSheetId="0" hidden="1">'Above £50K'!$B$2:$M$25</definedName>
    <definedName name="Z_525E3FFB_24F1_4CEF_AB59_3CE6BF999C0C_.wvu.FilterData" localSheetId="0" hidden="1">'Above £50K'!$B$2:$M$169</definedName>
    <definedName name="Z_525E3FFB_24F1_4CEF_AB59_3CE6BF999C0C_.wvu.FilterData" localSheetId="1" hidden="1">'COMPLETE 22-23'!$C$1:$AE$2</definedName>
    <definedName name="Z_5338305E_9B7C_4B20_82BF_95FB239031AC_.wvu.FilterData" localSheetId="0" hidden="1">'Above £50K'!$B$2:$M$166</definedName>
    <definedName name="Z_5350F8F1_16ED_4929_86B2_DD2F43DB2CA3_.wvu.FilterData" localSheetId="0" hidden="1">'Above £50K'!$B$2:$M$169</definedName>
    <definedName name="Z_53F485C1_4AFF_4E00_A634_A82021D38642_.wvu.FilterData" localSheetId="0" hidden="1">'Above £50K'!$B$2:$M$172</definedName>
    <definedName name="Z_545B1457_E3AD_49FD_BD5E_DD847866BF3B_.wvu.FilterData" localSheetId="0" hidden="1">'Above £50K'!$B$2:$M$179</definedName>
    <definedName name="Z_549525E5_4C25_41D7_8ECE_A9F2A8D043FA_.wvu.FilterData" localSheetId="0" hidden="1">'Above £50K'!$B$2:$M$166</definedName>
    <definedName name="Z_549525E5_4C25_41D7_8ECE_A9F2A8D043FA_.wvu.FilterData" localSheetId="1" hidden="1">'COMPLETE 22-23'!$C$1:$AE$2</definedName>
    <definedName name="Z_55F42AF0_96B4_4083_9714_DAA8B604590B_.wvu.FilterData" localSheetId="0" hidden="1">'Above £50K'!$B$2:$M$165</definedName>
    <definedName name="Z_55F42AF0_96B4_4083_9714_DAA8B604590B_.wvu.FilterData" localSheetId="1" hidden="1">'COMPLETE 22-23'!$C$1:$AE$2</definedName>
    <definedName name="Z_56888687_D065_4991_A86D_900BBCB7A111_.wvu.FilterData" localSheetId="0" hidden="1">'Above £50K'!$B$2:$M$166</definedName>
    <definedName name="Z_56888687_D065_4991_A86D_900BBCB7A111_.wvu.FilterData" localSheetId="1" hidden="1">'COMPLETE 22-23'!$C$1:$AE$2</definedName>
    <definedName name="Z_5761617C_D9AD_400F_AD57_027656FEF07A_.wvu.FilterData" localSheetId="0" hidden="1">'Above £50K'!$B$2:$M$178</definedName>
    <definedName name="Z_593D3395_A394_4E61_9464_F4D9CF9927AF_.wvu.FilterData" localSheetId="0" hidden="1">'Above £50K'!$B$2:$M$172</definedName>
    <definedName name="Z_5985CD26_0912_4AC1_BE31_B7F26B1BD4D9_.wvu.FilterData" localSheetId="0" hidden="1">'Above £50K'!$B$2:$M$166</definedName>
    <definedName name="Z_59D57827_C216_488E_903D_E4EBC5D6CB83_.wvu.FilterData" localSheetId="0" hidden="1">'Above £50K'!$B$2:$M$169</definedName>
    <definedName name="Z_5A165CBD_108D_4EFD_8870_071D8B807A41_.wvu.FilterData" localSheetId="0" hidden="1">'Above £50K'!$B$2:$M$166</definedName>
    <definedName name="Z_5AC30AA2_5960_432D_85BC_B187B125E698_.wvu.FilterData" localSheetId="0" hidden="1">'Above £50K'!$B$2:$M$169</definedName>
    <definedName name="Z_5B581ED8_5F88_4DD7_97F6_2A37081098C7_.wvu.FilterData" localSheetId="0" hidden="1">'Above £50K'!$B$2:$M$164</definedName>
    <definedName name="Z_60598B7A_9956_4AF7_BFA4_C4E2EC2FF791_.wvu.FilterData" localSheetId="0" hidden="1">'Above £50K'!$B$2:$M$180</definedName>
    <definedName name="Z_60598B7A_9956_4AF7_BFA4_C4E2EC2FF791_.wvu.FilterData" localSheetId="1" hidden="1">'COMPLETE 22-23'!$C$1:$AF$2</definedName>
    <definedName name="Z_60598B7A_9956_4AF7_BFA4_C4E2EC2FF791_.wvu.Rows" localSheetId="3" hidden="1">Deleted!$10:$10</definedName>
    <definedName name="Z_605A7DFF_CFD0_4B70_AFE3_52CB18C84773_.wvu.FilterData" localSheetId="0" hidden="1">'Above £50K'!$B$2:$M$171</definedName>
    <definedName name="Z_62E7BB9B_53E1_4337_9F6A_DBFE9226EC18_.wvu.FilterData" localSheetId="0" hidden="1">'Above £50K'!$B$2:$M$180</definedName>
    <definedName name="Z_6318F686_FBE4_4BB6_852E_9F93B1A171FF_.wvu.FilterData" localSheetId="0" hidden="1">'Above £50K'!$B$2:$M$173</definedName>
    <definedName name="Z_6449BBEA_246C_4050_AB9B_B853031CEEAD_.wvu.FilterData" localSheetId="0" hidden="1">'Above £50K'!$B$2:$M$179</definedName>
    <definedName name="Z_66C276B2_14A1_42E8_8809_4D8D9ED8364D_.wvu.FilterData" localSheetId="0" hidden="1">'Above £50K'!$B$2:$M$171</definedName>
    <definedName name="Z_6956FC36_154A_4791_84DF_ADAD46DA5924_.wvu.FilterData" localSheetId="0" hidden="1">'Above £50K'!$B$2:$M$25</definedName>
    <definedName name="Z_6B6878B7_D7F9_45FB_997B_EFBBADA8441C_.wvu.FilterData" localSheetId="0" hidden="1">'Above £50K'!$B$2:$M$172</definedName>
    <definedName name="Z_6C466E0F_191C_4888_B44B_6E395F4C17E2_.wvu.FilterData" localSheetId="0" hidden="1">'Above £50K'!$B$2:$M$172</definedName>
    <definedName name="Z_6C466E0F_191C_4888_B44B_6E395F4C17E2_.wvu.FilterData" localSheetId="1" hidden="1">'COMPLETE 22-23'!$C$1:$AE$2</definedName>
    <definedName name="Z_6D57EA74_DFF4_447A_A926_DC35B0415F93_.wvu.FilterData" localSheetId="0" hidden="1">'Above £50K'!$B$2:$M$178</definedName>
    <definedName name="Z_6D7E7974_9E5A_40E1_AD00_4E7D1DF47B4B_.wvu.FilterData" localSheetId="0" hidden="1">'Above £50K'!$B$2:$M$172</definedName>
    <definedName name="Z_6E9F6B1B_F88E_4537_8FBF_F3E0722ABA10_.wvu.FilterData" localSheetId="0" hidden="1">'Above £50K'!$B$2:$M$175</definedName>
    <definedName name="Z_6FEB21C6_B718_4638_BE78_CB5ED7620F8C_.wvu.FilterData" localSheetId="0" hidden="1">'Above £50K'!$B$2:$M$166</definedName>
    <definedName name="Z_71DFB372_3808_4A97_B694_8A42F0BBA3B7_.wvu.FilterData" localSheetId="0" hidden="1">'Above £50K'!$B$2:$M$172</definedName>
    <definedName name="Z_71E04997_323F_4ABE_8A8D_1A1EA56CB54D_.wvu.FilterData" localSheetId="0" hidden="1">'Above £50K'!$B$2:$M$169</definedName>
    <definedName name="Z_71E04997_323F_4ABE_8A8D_1A1EA56CB54D_.wvu.FilterData" localSheetId="1" hidden="1">'COMPLETE 22-23'!$C$1:$AE$2</definedName>
    <definedName name="Z_72F95FA9_AFFF_408B_84D5_C75A1D3CC966_.wvu.FilterData" localSheetId="0" hidden="1">'Above £50K'!$B$2:$M$180</definedName>
    <definedName name="Z_72F95FA9_AFFF_408B_84D5_C75A1D3CC966_.wvu.FilterData" localSheetId="1" hidden="1">'COMPLETE 22-23'!$C$1:$AF$2</definedName>
    <definedName name="Z_72F95FA9_AFFF_408B_84D5_C75A1D3CC966_.wvu.Rows" localSheetId="3" hidden="1">Deleted!$10:$10</definedName>
    <definedName name="Z_7318014F_DD8D_4C1C_BC44_9624F6AC80BA_.wvu.FilterData" localSheetId="0" hidden="1">'Above £50K'!$B$2:$M$179</definedName>
    <definedName name="Z_73B15C88_86CD_43E4_A6F1_A092FE30EB94_.wvu.FilterData" localSheetId="0" hidden="1">'Above £50K'!$B$2:$M$179</definedName>
    <definedName name="Z_7541FCC4_CCDC_4BA0_B372_9A7BC2EE3448_.wvu.FilterData" localSheetId="0" hidden="1">'Above £50K'!$B$2:$M$164</definedName>
    <definedName name="Z_757C4B9F_624C_4903_A5A6_D9E4298DA27C_.wvu.FilterData" localSheetId="0" hidden="1">'Above £50K'!$B$2:$M$169</definedName>
    <definedName name="Z_75AF519C_97AF_451B_8F61_50F1F2AC2870_.wvu.FilterData" localSheetId="0" hidden="1">'Above £50K'!$B$2:$M$178</definedName>
    <definedName name="Z_75DC90F1_9A33_4736_80DE_C58B8C19925D_.wvu.FilterData" localSheetId="0" hidden="1">'Above £50K'!$B$2:$M$180</definedName>
    <definedName name="Z_75DC90F1_9A33_4736_80DE_C58B8C19925D_.wvu.FilterData" localSheetId="1" hidden="1">'COMPLETE 22-23'!$C$1:$AF$2</definedName>
    <definedName name="Z_75DC90F1_9A33_4736_80DE_C58B8C19925D_.wvu.Rows" localSheetId="1" hidden="1">'Completed Archive 2017-2021'!$127:$127,'Completed Archive 2017-2021'!$165:$177</definedName>
    <definedName name="Z_75DC90F1_9A33_4736_80DE_C58B8C19925D_.wvu.Rows" localSheetId="3" hidden="1">Deleted!$10:$10</definedName>
    <definedName name="Z_78E10AF1_892D_44CD_B25B_D734A99C412D_.wvu.FilterData" localSheetId="0" hidden="1">'Above £50K'!$B$2:$M$172</definedName>
    <definedName name="Z_7D4E6A7F_25D1_437B_93E5_018A36C90451_.wvu.FilterData" localSheetId="0" hidden="1">'Above £50K'!$B$2:$M$170</definedName>
    <definedName name="Z_80DBFE9A_58C5_4F35_B00C_7CF933CD9DA1_.wvu.FilterData" localSheetId="0" hidden="1">'Above £50K'!$B$2:$M$166</definedName>
    <definedName name="Z_82527622_1E75_4C9A_9EAF_6119B0069ACF_.wvu.FilterData" localSheetId="0" hidden="1">'Above £50K'!$B$2:$M$34</definedName>
    <definedName name="Z_837D0729_DBB8_4DF9_8B92_728E4D25573E_.wvu.FilterData" localSheetId="0" hidden="1">'Above £50K'!$B$2:$M$173</definedName>
    <definedName name="Z_837D0729_DBB8_4DF9_8B92_728E4D25573E_.wvu.FilterData" localSheetId="1" hidden="1">'COMPLETE 22-23'!$C$1:$AE$2</definedName>
    <definedName name="Z_862197CC_E5A3_4BEF_94A0_D1B09F13D2FB_.wvu.FilterData" localSheetId="0" hidden="1">'Above £50K'!$B$2:$M$169</definedName>
    <definedName name="Z_8641CC80_30EE_413F_893F_57B2157E391D_.wvu.FilterData" localSheetId="0" hidden="1">'Above £50K'!$B$2:$M$169</definedName>
    <definedName name="Z_88ACB2CE_AB7D_4607_BF49_62A179C5BDA7_.wvu.FilterData" localSheetId="0" hidden="1">'Above £50K'!$B$2:$M$170</definedName>
    <definedName name="Z_88D3BEDF_FD19_4E8B_ADB3_762608DAAE95_.wvu.FilterData" localSheetId="0" hidden="1">'Above £50K'!$B$2:$M$170</definedName>
    <definedName name="Z_891F1D62_ED3A_42E3_879F_9F58F363CD9C_.wvu.FilterData" localSheetId="0" hidden="1">'Above £50K'!$B$2:$M$164</definedName>
    <definedName name="Z_8B121AAE_2EFA_45EB_9180_9CC8BD0462DD_.wvu.FilterData" localSheetId="0" hidden="1">'Above £50K'!$B$2:$M$173</definedName>
    <definedName name="Z_8B121AAE_2EFA_45EB_9180_9CC8BD0462DD_.wvu.FilterData" localSheetId="1" hidden="1">'COMPLETE 22-23'!$C$1:$AE$2</definedName>
    <definedName name="Z_8D4943C6_1D29_484F_81A6_2675B52CA818_.wvu.FilterData" localSheetId="0" hidden="1">'Above £50K'!$B$2:$M$175</definedName>
    <definedName name="Z_8D7DB2D6_4F29_4740_B247_2A5ED6C966E6_.wvu.FilterData" localSheetId="0" hidden="1">'Above £50K'!$B$2:$M$171</definedName>
    <definedName name="Z_8E05491B_09BD_48D9_BBD7_C226B30E7EA0_.wvu.FilterData" localSheetId="0" hidden="1">'Above £50K'!$B$2:$M$166</definedName>
    <definedName name="Z_8E42CFBE_B83F_4D35_B2A4_A4DF26470E12_.wvu.FilterData" localSheetId="0" hidden="1">'Above £50K'!$B$2:$M$172</definedName>
    <definedName name="Z_8F60585D_B233_43D7_B2D6_BEAC74817B79_.wvu.FilterData" localSheetId="0" hidden="1">'Above £50K'!$B$2:$M$173</definedName>
    <definedName name="Z_8F60585D_B233_43D7_B2D6_BEAC74817B79_.wvu.FilterData" localSheetId="1" hidden="1">'COMPLETE 22-23'!$C$1:$AE$2</definedName>
    <definedName name="Z_9077A8FF_75CD_4EB0_8DCB_6794D3995DDD_.wvu.FilterData" localSheetId="0" hidden="1">'Above £50K'!$B$2:$M$175</definedName>
    <definedName name="Z_9077A8FF_75CD_4EB0_8DCB_6794D3995DDD_.wvu.FilterData" localSheetId="1" hidden="1">'COMPLETE 22-23'!$C$1:$AE$2</definedName>
    <definedName name="Z_91DD3FB8_979A_499B_93B3_FA1DD3AC55A7_.wvu.FilterData" localSheetId="0" hidden="1">'Above £50K'!$B$2:$M$31</definedName>
    <definedName name="Z_93640DF0_8C30_49B3_9AEE_B443879E2D06_.wvu.FilterData" localSheetId="0" hidden="1">'Above £50K'!$B$2:$M$179</definedName>
    <definedName name="Z_93640DF0_8C30_49B3_9AEE_B443879E2D06_.wvu.FilterData" localSheetId="1" hidden="1">'COMPLETE 22-23'!$C$1:$AF$2</definedName>
    <definedName name="Z_93640DF0_8C30_49B3_9AEE_B443879E2D06_.wvu.Rows" localSheetId="1" hidden="1">'Completed Archive 2017-2021'!$127:$127</definedName>
    <definedName name="Z_93640DF0_8C30_49B3_9AEE_B443879E2D06_.wvu.Rows" localSheetId="3" hidden="1">Deleted!$10:$10</definedName>
    <definedName name="Z_93E384EC_45EC_4D91_91EB_9D2835C116A1_.wvu.FilterData" localSheetId="0" hidden="1">'Above £50K'!$B$2:$M$166</definedName>
    <definedName name="Z_948D2E33_B086_46ED_A908_ACF03A36FD59_.wvu.FilterData" localSheetId="0" hidden="1">'Above £50K'!$B$2:$M$169</definedName>
    <definedName name="Z_948D2E33_B086_46ED_A908_ACF03A36FD59_.wvu.FilterData" localSheetId="1" hidden="1">'COMPLETE 22-23'!$C$1:$AE$2</definedName>
    <definedName name="Z_94BB30AF_B449_47E8_802F_8CD5F154C17C_.wvu.FilterData" localSheetId="0" hidden="1">'Above £50K'!$B$2:$M$172</definedName>
    <definedName name="Z_95270437_E9F9_4867_8492_D3E59BA822EB_.wvu.FilterData" localSheetId="0" hidden="1">'Above £50K'!$B$2:$M$169</definedName>
    <definedName name="Z_9590C356_6D88_4237_BFE1_3EC51D201AD1_.wvu.FilterData" localSheetId="0" hidden="1">'Above £50K'!$B$2:$M$166</definedName>
    <definedName name="Z_95F8C482_4E6D_4EDA_A5EB_89A44AC97A2D_.wvu.FilterData" localSheetId="0" hidden="1">'Above £50K'!$B$2:$M$178</definedName>
    <definedName name="Z_97DCFA39_F7ED_4C42_B50E_4B128B8EF88D_.wvu.FilterData" localSheetId="0" hidden="1">'Above £50K'!$B$2:$M$166</definedName>
    <definedName name="Z_9890496E_8291_4A79_8584_7501435E97E8_.wvu.FilterData" localSheetId="0" hidden="1">'Above £50K'!$B$2:$M$172</definedName>
    <definedName name="Z_9890496E_8291_4A79_8584_7501435E97E8_.wvu.FilterData" localSheetId="1" hidden="1">'COMPLETE 22-23'!$C$1:$AE$2</definedName>
    <definedName name="Z_98D87194_E030_4584_8C2A_BDD2BDC15F9F_.wvu.FilterData" localSheetId="0" hidden="1">'Above £50K'!$B$2:$M$175</definedName>
    <definedName name="Z_9A8EA3AC_F50D_4D0A_888D_C0DF807EA7F0_.wvu.FilterData" localSheetId="0" hidden="1">'Above £50K'!$B$2:$M$179</definedName>
    <definedName name="Z_9AD15E6E_FE5E_4D7A_A432_8C21A3D65C78_.wvu.FilterData" localSheetId="0" hidden="1">'Above £50K'!$B$2:$M$169</definedName>
    <definedName name="Z_9BC350A2_220D_4A66_90F9_9C098C85C1B8_.wvu.FilterData" localSheetId="0" hidden="1">'Above £50K'!$B$2:$M$171</definedName>
    <definedName name="Z_9C40DB9B_D760_4DC9_99F0_C9349FAF8B44_.wvu.FilterData" localSheetId="0" hidden="1">'Above £50K'!$B$2:$M$170</definedName>
    <definedName name="Z_9C40DB9B_D760_4DC9_99F0_C9349FAF8B44_.wvu.FilterData" localSheetId="1" hidden="1">'COMPLETE 22-23'!$C$1:$AD$1</definedName>
    <definedName name="Z_9E076E2C_7493_4447_AF1A_1D294B765C0C_.wvu.FilterData" localSheetId="0" hidden="1">'Above £50K'!$B$2:$M$180</definedName>
    <definedName name="Z_9E076E2C_7493_4447_AF1A_1D294B765C0C_.wvu.FilterData" localSheetId="1" hidden="1">'COMPLETE 22-23'!$C$1:$AF$2</definedName>
    <definedName name="Z_9E076E2C_7493_4447_AF1A_1D294B765C0C_.wvu.Rows" localSheetId="1" hidden="1">'Completed Archive 2017-2021'!$127:$127</definedName>
    <definedName name="Z_9E076E2C_7493_4447_AF1A_1D294B765C0C_.wvu.Rows" localSheetId="3" hidden="1">Deleted!$10:$10</definedName>
    <definedName name="Z_9EBF48D7_05C2_44DB_A8C0_FD043A49B13A_.wvu.FilterData" localSheetId="0" hidden="1">'Above £50K'!$B$2:$M$170</definedName>
    <definedName name="Z_9F14C1C0_9E0B_44D3_A655_68381483F79B_.wvu.FilterData" localSheetId="0" hidden="1">'Above £50K'!$B$2:$M$166</definedName>
    <definedName name="Z_9F14C1C0_9E0B_44D3_A655_68381483F79B_.wvu.FilterData" localSheetId="1" hidden="1">'COMPLETE 22-23'!$C$1:$AE$2</definedName>
    <definedName name="Z_A07542D9_E8A5_416C_8D7C_196D65FF4B85_.wvu.FilterData" localSheetId="0" hidden="1">'Above £50K'!$B$2:$M$166</definedName>
    <definedName name="Z_A07542D9_E8A5_416C_8D7C_196D65FF4B85_.wvu.FilterData" localSheetId="1" hidden="1">'COMPLETE 22-23'!$C$1:$AE$2</definedName>
    <definedName name="Z_A0FFC879_339B_4730_BB49_92E7E55FEB62_.wvu.FilterData" localSheetId="0" hidden="1">'Above £50K'!$B$2:$M$164</definedName>
    <definedName name="Z_A102392A_E523_4307_83E6_8B4F32A4B053_.wvu.FilterData" localSheetId="1" hidden="1">'COMPLETE 22-23'!$C$1:$AE$1</definedName>
    <definedName name="Z_A1D8A9A1_C8AF_4B73_8B1F_138D83B60AFB_.wvu.FilterData" localSheetId="0" hidden="1">'Above £50K'!$B$2:$M$169</definedName>
    <definedName name="Z_A5C6DAE2_044D_40A1_9C68_919707852EAE_.wvu.FilterData" localSheetId="0" hidden="1">'Above £50K'!$B$2:$M$171</definedName>
    <definedName name="Z_A750BBD0_69E8_44FD_B503_32B4D8A91E87_.wvu.FilterData" localSheetId="0" hidden="1">'Above £50K'!$B$2:$M$173</definedName>
    <definedName name="Z_A8E036AB_BB7E_43E1_A74A_87DB9C11E52A_.wvu.FilterData" localSheetId="0" hidden="1">'Above £50K'!$B$2:$M$179</definedName>
    <definedName name="Z_A9096D88_06C2_465E_8A46_2F050B78421F_.wvu.FilterData" localSheetId="0" hidden="1">'Above £50K'!$B$2:$M$173</definedName>
    <definedName name="Z_A96AEB1E_6F3A_4D95_960A_4EE3C29371A4_.wvu.FilterData" localSheetId="0" hidden="1">'Above £50K'!$B$2:$M$169</definedName>
    <definedName name="Z_A9B85F03_066A_4245_B49B_E9CA4631E810_.wvu.FilterData" localSheetId="0" hidden="1">'Above £50K'!$B$2:$M$164</definedName>
    <definedName name="Z_AA08079F_CF7C_4A03_ABE9_A5EFDA691CA7_.wvu.FilterData" localSheetId="0" hidden="1">'Above £50K'!$B$2:$M$169</definedName>
    <definedName name="Z_AAA326FB_C78C_4158_9C9C_FD84328F0097_.wvu.FilterData" localSheetId="0" hidden="1">'Above £50K'!$B$2:$M$169</definedName>
    <definedName name="Z_AADB9CBA_B31C_4EDB_9688_5620E360E378_.wvu.FilterData" localSheetId="0" hidden="1">'Above £50K'!$B$2:$M$179</definedName>
    <definedName name="Z_AADBAA3C_4A28_4138_8AFD_382151AB0505_.wvu.FilterData" localSheetId="0" hidden="1">'Above £50K'!$B$2:$M$171</definedName>
    <definedName name="Z_AADBAA3C_4A28_4138_8AFD_382151AB0505_.wvu.FilterData" localSheetId="1" hidden="1">'COMPLETE 22-23'!$C$1:$AE$2</definedName>
    <definedName name="Z_AC78628D_B4FA_4B84_90A6_23DB3B9BAC91_.wvu.FilterData" localSheetId="0" hidden="1">'Above £50K'!$B$2:$M$175</definedName>
    <definedName name="Z_AE4A3C09_5082_48A1_AFA2_63D57DE0A908_.wvu.FilterData" localSheetId="0" hidden="1">'Above £50K'!$B$2:$M$166</definedName>
    <definedName name="Z_AEA0C047_E52F_48B8_96AC_88A0A94341F7_.wvu.FilterData" localSheetId="0" hidden="1">'Above £50K'!$B$2:$M$172</definedName>
    <definedName name="Z_AF0D160A_2B84_4E4B_81B1_6309CF389E4A_.wvu.FilterData" localSheetId="0" hidden="1">'Above £50K'!$B$2:$M$179</definedName>
    <definedName name="Z_AF7B110B_E3D4_44BE_AD11_94E49A8D38AD_.wvu.FilterData" localSheetId="0" hidden="1">'Above £50K'!$B$2:$M$166</definedName>
    <definedName name="Z_B0376615_236D_449F_8DEF_EBA641B12446_.wvu.FilterData" localSheetId="0" hidden="1">'Above £50K'!$B$2:$M$166</definedName>
    <definedName name="Z_B0C47159_7A10_4CD0_9C42_4D9C3E367478_.wvu.FilterData" localSheetId="0" hidden="1">'Above £50K'!$B$2:$M$179</definedName>
    <definedName name="Z_B0C47159_7A10_4CD0_9C42_4D9C3E367478_.wvu.FilterData" localSheetId="1" hidden="1">'COMPLETE 22-23'!$C$1:$AF$2</definedName>
    <definedName name="Z_B0C47159_7A10_4CD0_9C42_4D9C3E367478_.wvu.Rows" localSheetId="1" hidden="1">'Completed Archive 2017-2021'!$127:$127</definedName>
    <definedName name="Z_B0C47159_7A10_4CD0_9C42_4D9C3E367478_.wvu.Rows" localSheetId="3" hidden="1">Deleted!$10:$10</definedName>
    <definedName name="Z_B10C456E_8D64_40E4_9FA8_DE9ABA0368B4_.wvu.FilterData" localSheetId="0" hidden="1">'Above £50K'!$B$2:$M$166</definedName>
    <definedName name="Z_B5838348_9160_41D5_A44D_5D77925CB341_.wvu.FilterData" localSheetId="0" hidden="1">'Above £50K'!$B$2:$M$178</definedName>
    <definedName name="Z_B6958CF4_ACF4_4025_AD0F_A6C0ED46AF11_.wvu.FilterData" localSheetId="0" hidden="1">'Above £50K'!$B$2:$M$175</definedName>
    <definedName name="Z_B7B7CBC0_31E9_4674_A195_41CF0D64917C_.wvu.FilterData" localSheetId="0" hidden="1">'Above £50K'!$B$2:$M$171</definedName>
    <definedName name="Z_B7F1DAA9_3711_4731_BDD0_9F37D9259284_.wvu.FilterData" localSheetId="0" hidden="1">'Above £50K'!$B$2:$M$169</definedName>
    <definedName name="Z_B8285E04_64FA_4C4F_A7DE_D398B7C9F3A7_.wvu.FilterData" localSheetId="0" hidden="1">'Above £50K'!$B$2:$M$169</definedName>
    <definedName name="Z_B8285E04_64FA_4C4F_A7DE_D398B7C9F3A7_.wvu.FilterData" localSheetId="1" hidden="1">'COMPLETE 22-23'!$C$1:$AD$2</definedName>
    <definedName name="Z_B9BA2AAD_0117_40AF_A56E_81E984D385F5_.wvu.FilterData" localSheetId="0" hidden="1">'Above £50K'!$B$2:$M$178</definedName>
    <definedName name="Z_BAE3C3CB_B371_4A92_A131_C08148683C0B_.wvu.FilterData" localSheetId="0" hidden="1">'Above £50K'!$B$2:$M$178</definedName>
    <definedName name="Z_BC048829_45A2_4003_9AFD_ABC0E11577A4_.wvu.FilterData" localSheetId="1" hidden="1">'COMPLETE 22-23'!$C$1:$AF$2</definedName>
    <definedName name="Z_BE266E74_56CB_4480_9E49_09F00C174309_.wvu.FilterData" localSheetId="0" hidden="1">'Above £50K'!$B$2:$M$173</definedName>
    <definedName name="Z_BE266E74_56CB_4480_9E49_09F00C174309_.wvu.FilterData" localSheetId="1" hidden="1">'COMPLETE 22-23'!$C$1:$AE$2</definedName>
    <definedName name="Z_BF13F80A_5AB8_42FD_A584_D87B44463725_.wvu.FilterData" localSheetId="0" hidden="1">'Above £50K'!$B$2:$M$179</definedName>
    <definedName name="Z_BF13F80A_5AB8_42FD_A584_D87B44463725_.wvu.FilterData" localSheetId="1" hidden="1">'COMPLETE 22-23'!$C$1:$AF$2</definedName>
    <definedName name="Z_C0DA46A5_2F65_449C_8A46_C806F9239500_.wvu.FilterData" localSheetId="0" hidden="1">'Above £50K'!$B$2:$M$165</definedName>
    <definedName name="Z_C1801D36_03F4_4D17_991E_6BEBF73E3122_.wvu.FilterData" localSheetId="0" hidden="1">'Above £50K'!$B$2:$M$172</definedName>
    <definedName name="Z_C236070D_3B16_4F63_ADB3_746DB4887EE3_.wvu.FilterData" localSheetId="0" hidden="1">'Above £50K'!$B$2:$M$169</definedName>
    <definedName name="Z_C48FEA8F_72AC_47CC_9891_6037238CFEEE_.wvu.FilterData" localSheetId="0" hidden="1">'Above £50K'!$B$2:$M$164</definedName>
    <definedName name="Z_C48FEA8F_72AC_47CC_9891_6037238CFEEE_.wvu.FilterData" localSheetId="1" hidden="1">'COMPLETE 22-23'!$C$1:$AD$1</definedName>
    <definedName name="Z_C4CA1DDF_3AFE_43A6_8BB5_B707D5EB70E1_.wvu.FilterData" localSheetId="0" hidden="1">'Above £50K'!$B$2:$M$180</definedName>
    <definedName name="Z_C4CA1DDF_3AFE_43A6_8BB5_B707D5EB70E1_.wvu.FilterData" localSheetId="1" hidden="1">'COMPLETE 22-23'!$C$1:$AF$2</definedName>
    <definedName name="Z_C4FD5E33_CFD6_4FFB_89E3_52483DD1D848_.wvu.FilterData" localSheetId="0" hidden="1">'Above £50K'!$B$2:$M$179</definedName>
    <definedName name="Z_C50ED91D_25E4_46FC_8E07_25A27A03203F_.wvu.FilterData" localSheetId="0" hidden="1">'Above £50K'!$B$2:$M$180</definedName>
    <definedName name="Z_C50ED91D_25E4_46FC_8E07_25A27A03203F_.wvu.FilterData" localSheetId="1" hidden="1">'COMPLETE 22-23'!$C$1:$AF$2</definedName>
    <definedName name="Z_C50ED91D_25E4_46FC_8E07_25A27A03203F_.wvu.Rows" localSheetId="1" hidden="1">'Completed Archive 2017-2021'!$127:$127</definedName>
    <definedName name="Z_C50ED91D_25E4_46FC_8E07_25A27A03203F_.wvu.Rows" localSheetId="3" hidden="1">Deleted!$10:$10</definedName>
    <definedName name="Z_C51ABB13_B850_43C6_8B59_7E689A15618F_.wvu.FilterData" localSheetId="0" hidden="1">'Above £50K'!$B$2:$M$178</definedName>
    <definedName name="Z_C79D7E0E_012A_4027_B375_4956AD4B1A25_.wvu.FilterData" localSheetId="0" hidden="1">'Above £50K'!$B$2:$M$172</definedName>
    <definedName name="Z_C836DC59_11A2_4F6D_A998_3025EF5DC40C_.wvu.FilterData" localSheetId="0" hidden="1">'Above £50K'!$B$2:$M$179</definedName>
    <definedName name="Z_C90010DD_204B_4454_AE54_9A4219F43F7C_.wvu.FilterData" localSheetId="0" hidden="1">'Above £50K'!$B$2:$M$165</definedName>
    <definedName name="Z_C97A751A_82FC_4BDA_805D_15C8B4087B6F_.wvu.FilterData" localSheetId="0" hidden="1">'Above £50K'!$B$2:$M$166</definedName>
    <definedName name="Z_CA339186_E8A1_4F43_AC93_1539F086BC89_.wvu.FilterData" localSheetId="0" hidden="1">'Above £50K'!$B$2:$M$178</definedName>
    <definedName name="Z_CC2B6447_1D5B_4C9D_AC8B_818768C88D8C_.wvu.FilterData" localSheetId="0" hidden="1">'Above £50K'!$B$2:$M$179</definedName>
    <definedName name="Z_CC2B6447_1D5B_4C9D_AC8B_818768C88D8C_.wvu.FilterData" localSheetId="1" hidden="1">'COMPLETE 22-23'!$C$1:$AF$2</definedName>
    <definedName name="Z_CC40868A_3EF3_4BB8_913E_BBF04A870908_.wvu.FilterData" localSheetId="0" hidden="1">'Above £50K'!$B$2:$M$166</definedName>
    <definedName name="Z_CC89D343_B42C_4951_BE2A_7E609A7BC0C1_.wvu.FilterData" localSheetId="0" hidden="1">'Above £50K'!$B$2:$M$179</definedName>
    <definedName name="Z_CC930C2B_4837_441E_AC13_E0E451A6DDED_.wvu.FilterData" localSheetId="0" hidden="1">'Above £50K'!$B$2:$M$180</definedName>
    <definedName name="Z_CD127592_C605_4135_B020_51939F29A9A4_.wvu.FilterData" localSheetId="0" hidden="1">'Above £50K'!$B$2:$M$165</definedName>
    <definedName name="Z_CDD5864C_D6EE_46CA_AFB4_7FEC3C9FDFC4_.wvu.FilterData" localSheetId="0" hidden="1">'Above £50K'!$B$2:$M$171</definedName>
    <definedName name="Z_CE5B3E4A_B406_4969_97A3_FD2833A3963D_.wvu.FilterData" localSheetId="0" hidden="1">'Above £50K'!$B$2:$M$175</definedName>
    <definedName name="Z_CE69E132_9875_4522_A3BF_C5882FF4C483_.wvu.FilterData" localSheetId="0" hidden="1">'Above £50K'!$B$2:$M$178</definedName>
    <definedName name="Z_CE69E132_9875_4522_A3BF_C5882FF4C483_.wvu.FilterData" localSheetId="1" hidden="1">'COMPLETE 22-23'!$C$1:$AF$2</definedName>
    <definedName name="Z_CF643060_37C8_48E7_A83D_229B2DF81C8C_.wvu.FilterData" localSheetId="0" hidden="1">'Above £50K'!$B$2:$M$166</definedName>
    <definedName name="Z_D0571DC1_88B4_42B2_A9B6_81209576B534_.wvu.FilterData" localSheetId="0" hidden="1">'Above £50K'!$B$2:$M$34</definedName>
    <definedName name="Z_D1881AEF_9B23_4248_9F93_AED5361F42C0_.wvu.FilterData" localSheetId="0" hidden="1">'Above £50K'!$B$2:$M$171</definedName>
    <definedName name="Z_D326D40C_42E6_4D8B_AA89_86D11D55FD47_.wvu.FilterData" localSheetId="0" hidden="1">'Above £50K'!$B$2:$M$171</definedName>
    <definedName name="Z_D3FBC512_40E9_4DA3_B67A_E2456DB39E9B_.wvu.FilterData" localSheetId="0" hidden="1">'Above £50K'!$B$2:$M$173</definedName>
    <definedName name="Z_D3FBC512_40E9_4DA3_B67A_E2456DB39E9B_.wvu.FilterData" localSheetId="1" hidden="1">'COMPLETE 22-23'!$C$1:$AE$2</definedName>
    <definedName name="Z_D3FBC512_40E9_4DA3_B67A_E2456DB39E9B_.wvu.Rows" localSheetId="1" hidden="1">'Completed Archive 2017-2021'!$127:$127</definedName>
    <definedName name="Z_D3FBC512_40E9_4DA3_B67A_E2456DB39E9B_.wvu.Rows" localSheetId="3" hidden="1">Deleted!$10:$10</definedName>
    <definedName name="Z_D48DAFD6_C6D3_4279_A5BB_34CC061DB828_.wvu.FilterData" localSheetId="0" hidden="1">'Above £50K'!$B$2:$M$180</definedName>
    <definedName name="Z_D53A1372_1F2E_4467_8283_F05C4EA31DDE_.wvu.FilterData" localSheetId="0" hidden="1">'Above £50K'!$B$2:$M$25</definedName>
    <definedName name="Z_D5F7CD12_C578_4F23_B2B5_031F6314202A_.wvu.FilterData" localSheetId="0" hidden="1">'Above £50K'!$B$2:$M$178</definedName>
    <definedName name="Z_D5F7CD12_C578_4F23_B2B5_031F6314202A_.wvu.FilterData" localSheetId="1" hidden="1">'COMPLETE 22-23'!$C$1:$AF$2</definedName>
    <definedName name="Z_D66E8264_1922_47D9_B649_3D8789465FCE_.wvu.FilterData" localSheetId="0" hidden="1">'Above £50K'!$B$2:$M$180</definedName>
    <definedName name="Z_D6972DBD_3038_4C77_AE77_5EDAA25B1A8E_.wvu.FilterData" localSheetId="0" hidden="1">'Above £50K'!$B$2:$M$172</definedName>
    <definedName name="Z_D6E83680_54F1_4FE5_B6EE_ED57F4018690_.wvu.FilterData" localSheetId="0" hidden="1">'Above £50K'!$B$2:$M$179</definedName>
    <definedName name="Z_D71595EF_72E5_4F72_A3A1_AE12BEF50FFC_.wvu.FilterData" localSheetId="0" hidden="1">'Above £50K'!$B$2:$M$178</definedName>
    <definedName name="Z_D7EFC94B_CBD9_4774_99D1_75849965754F_.wvu.FilterData" localSheetId="0" hidden="1">'Above £50K'!$B$2:$M$173</definedName>
    <definedName name="Z_D8C07F1B_85C3_4755_B472_9E49EF2892F3_.wvu.FilterData" localSheetId="0" hidden="1">'Above £50K'!$B$2:$M$178</definedName>
    <definedName name="Z_D8C07F1B_85C3_4755_B472_9E49EF2892F3_.wvu.FilterData" localSheetId="1" hidden="1">'COMPLETE 22-23'!$C$1:$AF$2</definedName>
    <definedName name="Z_D93F4C64_E7A4_4F62_828A_BE4C08C5113F_.wvu.FilterData" localSheetId="0" hidden="1">'Above £50K'!$B$2:$M$172</definedName>
    <definedName name="Z_D94B7CCD_4AA3_4F35_A1EC_06B789B9F348_.wvu.FilterData" localSheetId="0" hidden="1">'Above £50K'!$B$2:$M$180</definedName>
    <definedName name="Z_D94B7CCD_4AA3_4F35_A1EC_06B789B9F348_.wvu.FilterData" localSheetId="1" hidden="1">'COMPLETE 22-23'!$C$1:$AF$2</definedName>
    <definedName name="Z_D94B7CCD_4AA3_4F35_A1EC_06B789B9F348_.wvu.Rows" localSheetId="1" hidden="1">'Completed Archive 2017-2021'!$127:$127,'Completed Archive 2017-2021'!$165:$177</definedName>
    <definedName name="Z_D94B7CCD_4AA3_4F35_A1EC_06B789B9F348_.wvu.Rows" localSheetId="3" hidden="1">Deleted!$10:$10</definedName>
    <definedName name="Z_DB0C2A54_7C30_4998_921B_477B289DB286_.wvu.FilterData" localSheetId="0" hidden="1">'Above £50K'!$B$2:$M$173</definedName>
    <definedName name="Z_DC28ACB2_B5E8_4FBF_B0B6_E5717C5A105D_.wvu.FilterData" localSheetId="0" hidden="1">'Above £50K'!$B$2:$M$178</definedName>
    <definedName name="Z_DC28ACB2_B5E8_4FBF_B0B6_E5717C5A105D_.wvu.FilterData" localSheetId="1" hidden="1">'COMPLETE 22-23'!$C$1:$AF$2</definedName>
    <definedName name="Z_DC499C24_673D_41B7_8539_2D48464FEE75_.wvu.FilterData" localSheetId="0" hidden="1">'Above £50K'!$B$2:$M$180</definedName>
    <definedName name="Z_DC499C24_673D_41B7_8539_2D48464FEE75_.wvu.FilterData" localSheetId="1" hidden="1">'COMPLETE 22-23'!$C$1:$AF$2</definedName>
    <definedName name="Z_DC78814D_3DDF_4C0B_B082_CE63C6ECB83F_.wvu.FilterData" localSheetId="0" hidden="1">'Above £50K'!$B$2:$M$166</definedName>
    <definedName name="Z_DCB71B1C_9009_40FE_A0C9_4D0EFA021D04_.wvu.FilterData" localSheetId="0" hidden="1">'Above £50K'!$B$2:$M$171</definedName>
    <definedName name="Z_DCB71B1C_9009_40FE_A0C9_4D0EFA021D04_.wvu.FilterData" localSheetId="1" hidden="1">'COMPLETE 22-23'!$C$1:$AD$2</definedName>
    <definedName name="Z_DD5392E3_A805_46B6_B2C6_D500301B559C_.wvu.FilterData" localSheetId="0" hidden="1">'Above £50K'!$B$2:$M$178</definedName>
    <definedName name="Z_DEEFD975_B3F4_42D5_87A9_1E37B0F2B752_.wvu.FilterData" localSheetId="0" hidden="1">'Above £50K'!$B$2:$M$179</definedName>
    <definedName name="Z_DEEFD975_B3F4_42D5_87A9_1E37B0F2B752_.wvu.FilterData" localSheetId="1" hidden="1">'COMPLETE 22-23'!$C$1:$AF$2</definedName>
    <definedName name="Z_DFA22961_1AE4_48B0_AB84_26B8156431E8_.wvu.FilterData" localSheetId="0" hidden="1">'Above £50K'!$B$2:$M$165</definedName>
    <definedName name="Z_DFD88019_15C9_413B_A064_5AFC5FDEE1D6_.wvu.FilterData" localSheetId="0" hidden="1">'Above £50K'!$B$2:$M$25</definedName>
    <definedName name="Z_E028928D_98FD_41CF_A465_354B89BF9AC5_.wvu.FilterData" localSheetId="0" hidden="1">'Above £50K'!$B$2:$M$25</definedName>
    <definedName name="Z_E028928D_98FD_41CF_A465_354B89BF9AC5_.wvu.FilterData" localSheetId="1" hidden="1">'COMPLETE 22-23'!$C$1:$AD$1</definedName>
    <definedName name="Z_E0CE55C6_3427_4270_8CB3_340CDBEC549E_.wvu.FilterData" localSheetId="0" hidden="1">'Above £50K'!$B$2:$M$172</definedName>
    <definedName name="Z_E1328F06_9192_431A_BBAA_58C2B2C905DF_.wvu.FilterData" localSheetId="0" hidden="1">'Above £50K'!$B$2:$M$172</definedName>
    <definedName name="Z_E1328F06_9192_431A_BBAA_58C2B2C905DF_.wvu.FilterData" localSheetId="1" hidden="1">'COMPLETE 22-23'!$C$1:$AE$2</definedName>
    <definedName name="Z_E2C38D4C_A246_439C_8E43_A1D322E960FD_.wvu.FilterData" localSheetId="0" hidden="1">'Above £50K'!$B$2:$M$180</definedName>
    <definedName name="Z_E2C38D4C_A246_439C_8E43_A1D322E960FD_.wvu.FilterData" localSheetId="1" hidden="1">'COMPLETE 22-23'!$C$1:$AF$2</definedName>
    <definedName name="Z_E2C38D4C_A246_439C_8E43_A1D322E960FD_.wvu.Rows" localSheetId="1" hidden="1">'Completed Archive 2017-2021'!$127:$127</definedName>
    <definedName name="Z_E2C38D4C_A246_439C_8E43_A1D322E960FD_.wvu.Rows" localSheetId="3" hidden="1">Deleted!$10:$10</definedName>
    <definedName name="Z_E3249F74_3379_4FAA_993E_25080777D3F8_.wvu.FilterData" localSheetId="0" hidden="1">'Above £50K'!$B$2:$M$180</definedName>
    <definedName name="Z_E39E5239_809F_4B48_9154_B828934E95AB_.wvu.FilterData" localSheetId="0" hidden="1">'Above £50K'!$B$2:$M$25</definedName>
    <definedName name="Z_E608BF94_AEE7_4636_AEFC_2992745434A7_.wvu.FilterData" localSheetId="0" hidden="1">'Above £50K'!$B$2:$M$178</definedName>
    <definedName name="Z_E6C822AF_D175_4390_B5F5_5456BD0A6172_.wvu.FilterData" localSheetId="0" hidden="1">'Above £50K'!$B$2:$M$173</definedName>
    <definedName name="Z_E6C822AF_D175_4390_B5F5_5456BD0A6172_.wvu.FilterData" localSheetId="1" hidden="1">'COMPLETE 22-23'!$C$1:$AE$2</definedName>
    <definedName name="Z_E6DDB18A_2091_4AA7_9DE3_2834225737DD_.wvu.FilterData" localSheetId="0" hidden="1">'Above £50K'!$B$2:$M$171</definedName>
    <definedName name="Z_E75CCA72_0313_475E_AB45_50219DCBDEFE_.wvu.FilterData" localSheetId="0" hidden="1">'Above £50K'!$B$2:$M$165</definedName>
    <definedName name="Z_E796B4F5_F887_4884_A62F_2363CDB4C202_.wvu.FilterData" localSheetId="0" hidden="1">'Above £50K'!$B$2:$M$178</definedName>
    <definedName name="Z_E8A71C07_35BC_410C_B8FF_F60CE1C03368_.wvu.FilterData" localSheetId="0" hidden="1">'Above £50K'!$B$2:$M$166</definedName>
    <definedName name="Z_E8A71C07_35BC_410C_B8FF_F60CE1C03368_.wvu.FilterData" localSheetId="1" hidden="1">'COMPLETE 22-23'!$C$1:$AE$2</definedName>
    <definedName name="Z_E8ECD6A2_3249_4B77_9CC0_C7ABB78BFF72_.wvu.FilterData" localSheetId="0" hidden="1">'Above £50K'!$B$2:$M$165</definedName>
    <definedName name="Z_E8ECD6A2_3249_4B77_9CC0_C7ABB78BFF72_.wvu.FilterData" localSheetId="1" hidden="1">'COMPLETE 22-23'!$C$1:$AE$1</definedName>
    <definedName name="Z_E8FB2624_06EB_42E7_9452_80E9B766A221_.wvu.FilterData" localSheetId="0" hidden="1">'Above £50K'!$B$2:$M$180</definedName>
    <definedName name="Z_E8FB2624_06EB_42E7_9452_80E9B766A221_.wvu.FilterData" localSheetId="1" hidden="1">'COMPLETE 22-23'!$C$1:$AF$2</definedName>
    <definedName name="Z_EA741C4D_64A4_4F0A_9126_AF00D199802B_.wvu.FilterData" localSheetId="0" hidden="1">'Above £50K'!$B$2:$M$179</definedName>
    <definedName name="Z_EC72EDDE_726D_4C94_B8A1_2109AC33C0D8_.wvu.FilterData" localSheetId="0" hidden="1">'Above £50K'!$B$2:$M$180</definedName>
    <definedName name="Z_F16ACA6D_7948_471C_92B6_5FDB043FEECE_.wvu.FilterData" localSheetId="0" hidden="1">'Above £50K'!$B$2:$M$179</definedName>
    <definedName name="Z_F38FF503_8F46_420C_B3FA_DAF9FDEB65C9_.wvu.FilterData" localSheetId="0" hidden="1">'Above £50K'!$B$2:$M$171</definedName>
    <definedName name="Z_F4709B15_CCDD_44B2_99C3_4E792F47126E_.wvu.FilterData" localSheetId="0" hidden="1">'Above £50K'!$B$2:$M$173</definedName>
    <definedName name="Z_F4709B15_CCDD_44B2_99C3_4E792F47126E_.wvu.FilterData" localSheetId="1" hidden="1">'COMPLETE 22-23'!$C$1:$AE$2</definedName>
    <definedName name="Z_F4A3BFEE_A96A_4A15_B585_9A6CD7EE1CDD_.wvu.FilterData" localSheetId="0" hidden="1">'Above £50K'!$B$2:$M$169</definedName>
    <definedName name="Z_F52C3EAE_C295_4F40_8810_2CD84EBBFA0D_.wvu.FilterData" localSheetId="0" hidden="1">'Above £50K'!$B$2:$M$180</definedName>
    <definedName name="Z_F52C3EAE_C295_4F40_8810_2CD84EBBFA0D_.wvu.FilterData" localSheetId="1" hidden="1">'COMPLETE 22-23'!$C$1:$AF$2</definedName>
    <definedName name="Z_F6BC03FB_466A_43DE_A70D_55F5A3BCE94E_.wvu.FilterData" localSheetId="0" hidden="1">'Above £50K'!$B$2:$M$179</definedName>
    <definedName name="Z_F6C22434_785F_4905_885A_DFD3F4492982_.wvu.FilterData" localSheetId="0" hidden="1">'Above £50K'!$B$2:$M$179</definedName>
    <definedName name="Z_F82EABEE_CE64_48B2_944B_7C2E4EA279B3_.wvu.FilterData" localSheetId="0" hidden="1">'Above £50K'!$B$2:$M$170</definedName>
    <definedName name="Z_F82EABEE_CE64_48B2_944B_7C2E4EA279B3_.wvu.FilterData" localSheetId="1" hidden="1">'COMPLETE 22-23'!$C$1:$AE$2</definedName>
    <definedName name="Z_F8EE715E_B001_45D3_B28F_D857D152DCAC_.wvu.FilterData" localSheetId="0" hidden="1">'Above £50K'!$B$2:$M$173</definedName>
    <definedName name="Z_F902ABE5_B220_402E_8BBC_30B1E6B245DD_.wvu.FilterData" localSheetId="0" hidden="1">'Above £50K'!$B$2:$M$178</definedName>
    <definedName name="Z_FA12B4AF_795D_49BA_83ED_154F276EF3AC_.wvu.FilterData" localSheetId="0" hidden="1">'Above £50K'!$B$2:$M$166</definedName>
    <definedName name="Z_FD546597_4C40_4A5F_B739_9D12439D31B8_.wvu.FilterData" localSheetId="0" hidden="1">'Above £50K'!$B$2:$M$178</definedName>
    <definedName name="Z_FE5FD488_CCF2_4F73_B8F6_992D1F07E70C_.wvu.FilterData" localSheetId="0" hidden="1">'Above £50K'!$B$2:$M$31</definedName>
    <definedName name="Z_FEBF9689_4DBE_4A65_B48D_FF0841F23572_.wvu.FilterData" localSheetId="0" hidden="1">'Above £50K'!$B$2:$M$166</definedName>
    <definedName name="Z_FEBF9689_4DBE_4A65_B48D_FF0841F23572_.wvu.FilterData" localSheetId="1" hidden="1">'COMPLETE 22-23'!$C$1:$AE$2</definedName>
  </definedNames>
  <calcPr calcId="191028"/>
  <customWorkbookViews>
    <customWorkbookView name="Stacey Speakman - Personal View" guid="{03AD2AFE-2DDD-4D37-8F9F-D1CAD93AE394}" mergeInterval="0" personalView="1" maximized="1" xWindow="-9" yWindow="-9" windowWidth="1938" windowHeight="1048" tabRatio="885" activeSheetId="2" showComments="commIndAndComment"/>
    <customWorkbookView name="Clare Winter - Personal View" guid="{72F95FA9-AFFF-408B-84D5-C75A1D3CC966}" mergeInterval="0" personalView="1" maximized="1" xWindow="1912" yWindow="-8" windowWidth="1936" windowHeight="1056" tabRatio="601" activeSheetId="2"/>
    <customWorkbookView name="Victoria Moss - Personal View" guid="{D94B7CCD-4AA3-4F35-A1EC-06B789B9F348}" mergeInterval="0" personalView="1" maximized="1" xWindow="-8" yWindow="-8" windowWidth="1382" windowHeight="744" tabRatio="601" activeSheetId="2"/>
    <customWorkbookView name="Sophie Midcalf - Personal View" guid="{E2C38D4C-A246-439C-8E43-A1D322E960FD}" mergeInterval="0" personalView="1" maximized="1" xWindow="2869" yWindow="-11" windowWidth="1942" windowHeight="1498" tabRatio="601" activeSheetId="2"/>
    <customWorkbookView name="Mark Taylor - Personal View" guid="{C4CA1DDF-3AFE-43A6-8BB5-B707D5EB70E1}" mergeInterval="0" personalView="1" maximized="1" xWindow="-8" yWindow="-8" windowWidth="1382" windowHeight="744" tabRatio="397" activeSheetId="2" showComments="commIndAndComment"/>
    <customWorkbookView name="Graham Pearey - Personal View" guid="{75DC90F1-9A33-4736-80DE-C58B8C19925D}" mergeInterval="0" personalView="1" maximized="1" xWindow="-1288" yWindow="-264" windowWidth="1296" windowHeight="1000" tabRatio="601" activeSheetId="2"/>
    <customWorkbookView name="Laura Baxter - Personal View" guid="{C50ED91D-25E4-46FC-8E07-25A27A03203F}" mergeInterval="0" personalView="1" maximized="1" xWindow="-8" yWindow="-8" windowWidth="1382" windowHeight="744" tabRatio="602" activeSheetId="2" showComments="commIndAndComment"/>
    <customWorkbookView name="Emma Richards - Personal View" guid="{B0C47159-7A10-4CD0-9C42-4D9C3E367478}" mergeInterval="0" personalView="1" maximized="1" xWindow="-8" yWindow="-8" windowWidth="1936" windowHeight="1056" tabRatio="601" activeSheetId="3"/>
    <customWorkbookView name="Kate Chapman - Personal View" guid="{93640DF0-8C30-49B3-9AEE-B443879E2D06}" mergeInterval="0" personalView="1" maximized="1" xWindow="-11" yWindow="-11" windowWidth="1942" windowHeight="1042" tabRatio="601" activeSheetId="2" showComments="commIndAndComment"/>
    <customWorkbookView name="Edward Whitaker - Personal View" guid="{2B13F76B-25C3-4174-A739-40F22F721CD1}" mergeInterval="0" personalView="1" maximized="1" xWindow="-11" yWindow="-11" windowWidth="1942" windowHeight="1042" tabRatio="885" activeSheetId="2"/>
    <customWorkbookView name="Patricia Murphy - Personal View" guid="{D3FBC512-40E9-4DA3-B67A-E2456DB39E9B}" mergeInterval="0" personalView="1" maximized="1" xWindow="1358" yWindow="-324" windowWidth="1936" windowHeight="1056" tabRatio="601" activeSheetId="2"/>
    <customWorkbookView name="Martin Simpson - Personal View" guid="{AADBAA3C-4A28-4138-8AFD-382151AB0505}" mergeInterval="0" personalView="1" maximized="1" xWindow="-247" yWindow="-1088" windowWidth="1936" windowHeight="1056" tabRatio="601" activeSheetId="2"/>
    <customWorkbookView name="Rebecca Shenton - Personal View" guid="{111E1D8A-D793-4E39-8420-A0C5178E038A}" mergeInterval="0" personalView="1" maximized="1" xWindow="-8" yWindow="-8" windowWidth="1382" windowHeight="744" tabRatio="595" activeSheetId="2"/>
    <customWorkbookView name="Stephen Greiff - Personal View" guid="{E8A71C07-35BC-410C-B8FF-F60CE1C03368}" mergeInterval="0" personalView="1" maximized="1" xWindow="-8" yWindow="-8" windowWidth="1382" windowHeight="744" tabRatio="601" activeSheetId="2" showComments="commIndAndComment"/>
    <customWorkbookView name="Neil Murray - Personal View" guid="{55F42AF0-96B4-4083-9714-DAA8B604590B}" mergeInterval="0" personalView="1" maximized="1" xWindow="-11" yWindow="-11" windowWidth="1942" windowHeight="1042" tabRatio="601" activeSheetId="2"/>
    <customWorkbookView name="Sarah Richardson3 - Personal View" guid="{20B27D32-34EC-4EC0-A4B9-823D521B0C99}" mergeInterval="0" personalView="1" maximized="1" xWindow="-11" yWindow="-11" windowWidth="1942" windowHeight="1042" tabRatio="601" activeSheetId="1"/>
    <customWorkbookView name="Jayne Kempen - Personal View" guid="{E0C49560-C1A3-492A-97F7-D9BEA3888275}" mergeInterval="0" personalView="1" maximized="1" xWindow="-8" yWindow="-8" windowWidth="1382" windowHeight="744" tabRatio="601" activeSheetId="1"/>
    <customWorkbookView name="Kirsten Dixon - Personal View" guid="{F31CB4C7-49B8-4B51-96A3-3D7BCEB922C8}" mergeInterval="0" personalView="1" maximized="1" xWindow="-8" yWindow="-8" windowWidth="1382" windowHeight="744" tabRatio="601" activeSheetId="1"/>
    <customWorkbookView name="Matt Clothier - Personal View" guid="{4E7C1687-5A35-4DD1-B20F-51D105DE1FED}" mergeInterval="0" personalView="1" maximized="1" xWindow="1272" yWindow="-8" windowWidth="1296" windowHeight="1040" tabRatio="601" activeSheetId="1"/>
    <customWorkbookView name="Kevin Draisey - Personal View" guid="{0A21DEA8-6909-4F08-830F-EF74DC80C874}" mergeInterval="0" personalView="1" maximized="1" xWindow="-11" yWindow="-11" windowWidth="2902" windowHeight="1585" tabRatio="601" activeSheetId="5"/>
    <customWorkbookView name="Chris Dale - Personal View" guid="{4F3B4DDB-32CE-4BFE-B82B-483197854E08}" mergeInterval="0" personalView="1" maximized="1" xWindow="-8" yWindow="-8" windowWidth="1296" windowHeight="696" tabRatio="601" activeSheetId="1"/>
    <customWorkbookView name="Mark Tserkezie - Personal View" guid="{4482D85D-CC79-4C6E-B94E-B8BBA75CEF52}" mergeInterval="0" personalView="1" maximized="1" xWindow="-8" yWindow="-8" windowWidth="1296" windowHeight="1000" tabRatio="601" activeSheetId="1"/>
    <customWorkbookView name="India Landers - Personal View" guid="{DF8495EA-E32E-4153-B030-0E94E1699FB7}" mergeInterval="0" personalView="1" maximized="1" xWindow="1358" yWindow="-8" windowWidth="1296" windowHeight="1040" tabRatio="602" activeSheetId="1"/>
    <customWorkbookView name="Sarah Richardson - Personal View" guid="{EC51B084-D1F0-449A-8776-14BEC225B295}" mergeInterval="0" personalView="1" maximized="1" xWindow="-8" yWindow="-8" windowWidth="1382" windowHeight="744" tabRatio="601" activeSheetId="1"/>
    <customWorkbookView name="Jennifer Holbird - Personal View" guid="{E525FE80-6BEA-42DA-9F11-0BCA78BB6681}" mergeInterval="0" personalView="1" maximized="1" xWindow="-8" yWindow="-8" windowWidth="1296" windowHeight="696" tabRatio="601" activeSheetId="1"/>
    <customWorkbookView name="Tim Wood - Personal View" guid="{D8BCFC48-5B1C-4C63-92F2-E732E73DC553}" mergeInterval="0" personalView="1" maximized="1" xWindow="1272" yWindow="-6" windowWidth="1296" windowHeight="1000" tabRatio="601" activeSheetId="1"/>
    <customWorkbookView name="Alison Dickinson - Personal View" guid="{948D2E33-B086-46ED-A908-ACF03A36FD59}" mergeInterval="0" personalView="1" maximized="1" xWindow="2869" yWindow="-11" windowWidth="2902" windowHeight="1582" tabRatio="601" activeSheetId="2"/>
    <customWorkbookView name="Will Jones - Personal View" guid="{0075AE26-7AAE-449B-B498-05D3C89595DA}" mergeInterval="0" personalView="1" maximized="1" xWindow="-8" yWindow="-8" windowWidth="1936" windowHeight="1056" tabRatio="602" activeSheetId="2"/>
    <customWorkbookView name="Antonia Smith - Personal View" guid="{DC499C24-673D-41B7-8539-2D48464FEE75}" mergeInterval="0" personalView="1" windowWidth="1280" windowHeight="984" tabRatio="885" activeSheetId="2"/>
    <customWorkbookView name="Katie Longstaff - Personal View" guid="{60598B7A-9956-4AF7-BFA4-C4E2EC2FF791}" mergeInterval="0" personalView="1" maximized="1" xWindow="-8" yWindow="-8" windowWidth="1936" windowHeight="1056" tabRatio="601" activeSheetId="2"/>
    <customWorkbookView name="Becky Naisbitt - Personal View" guid="{9E076E2C-7493-4447-AF1A-1D294B765C0C}" mergeInterval="0" personalView="1" maximized="1" xWindow="-8" yWindow="-8" windowWidth="1936" windowHeight="1056" tabRatio="60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33" i="2" l="1"/>
  <c r="K632" i="2"/>
  <c r="K631" i="2"/>
  <c r="K630" i="2"/>
  <c r="K629" i="2"/>
  <c r="J628" i="2"/>
  <c r="K628" i="2" s="1"/>
  <c r="K627" i="2"/>
  <c r="K624" i="2"/>
  <c r="K623" i="2"/>
  <c r="K621" i="2"/>
  <c r="K620" i="2"/>
  <c r="K619" i="2"/>
  <c r="K618" i="2"/>
  <c r="K617" i="2"/>
  <c r="K616" i="2"/>
  <c r="K615" i="2"/>
  <c r="K614" i="2"/>
  <c r="J613" i="2"/>
  <c r="K613" i="2" s="1"/>
  <c r="J612" i="2"/>
  <c r="K612" i="2" s="1"/>
  <c r="K611" i="2"/>
  <c r="K610" i="2"/>
  <c r="K609" i="2"/>
  <c r="J608" i="2"/>
  <c r="K608" i="2" s="1"/>
  <c r="K607" i="2"/>
  <c r="K606" i="2"/>
  <c r="K605" i="2"/>
  <c r="K604" i="2"/>
  <c r="K603" i="2"/>
  <c r="K602" i="2"/>
  <c r="K601" i="2"/>
  <c r="K600" i="2"/>
  <c r="K599" i="2"/>
  <c r="K598" i="2"/>
  <c r="J597" i="2"/>
  <c r="K597" i="2" s="1"/>
  <c r="K596" i="2"/>
  <c r="K595" i="2"/>
  <c r="K594" i="2"/>
  <c r="K593" i="2"/>
  <c r="K592" i="2"/>
  <c r="K591" i="2"/>
  <c r="K590" i="2"/>
  <c r="K588" i="2"/>
  <c r="K587" i="2"/>
  <c r="K586" i="2"/>
  <c r="K585" i="2"/>
  <c r="K584" i="2"/>
  <c r="K583" i="2"/>
  <c r="K582" i="2"/>
  <c r="J582" i="2"/>
  <c r="K581" i="2"/>
  <c r="K580" i="2"/>
  <c r="K579" i="2"/>
  <c r="K578" i="2"/>
  <c r="K577" i="2"/>
  <c r="K576" i="2"/>
  <c r="J575" i="2"/>
  <c r="K575" i="2" s="1"/>
  <c r="H575" i="2"/>
  <c r="K574" i="2"/>
  <c r="K573" i="2"/>
  <c r="K572" i="2"/>
  <c r="K571" i="2"/>
  <c r="K570" i="2"/>
  <c r="K569" i="2"/>
  <c r="J568" i="2"/>
  <c r="K568" i="2" s="1"/>
  <c r="K567" i="2"/>
  <c r="K566" i="2"/>
  <c r="K565" i="2"/>
  <c r="K564" i="2"/>
  <c r="J563" i="2"/>
  <c r="K563" i="2" s="1"/>
  <c r="K562" i="2"/>
  <c r="K561" i="2"/>
  <c r="K560" i="2"/>
  <c r="K559" i="2"/>
  <c r="K558" i="2"/>
  <c r="K557" i="2"/>
  <c r="K556" i="2"/>
  <c r="K555" i="2"/>
  <c r="K554" i="2"/>
  <c r="K553" i="2"/>
  <c r="K552" i="2"/>
  <c r="K551" i="2"/>
  <c r="K550" i="2"/>
  <c r="K549" i="2"/>
  <c r="K548" i="2"/>
  <c r="K547" i="2"/>
  <c r="K546" i="2"/>
  <c r="K545" i="2"/>
  <c r="K544" i="2"/>
  <c r="K543" i="2"/>
  <c r="K542" i="2"/>
  <c r="K541" i="2"/>
  <c r="K540" i="2"/>
  <c r="K539" i="2"/>
  <c r="K538" i="2"/>
  <c r="K537" i="2"/>
  <c r="H537" i="2"/>
  <c r="K536" i="2"/>
  <c r="K535" i="2"/>
  <c r="K534" i="2"/>
  <c r="K533" i="2"/>
  <c r="K532" i="2"/>
  <c r="K531" i="2"/>
  <c r="K530" i="2"/>
  <c r="K529" i="2"/>
  <c r="J528" i="2"/>
  <c r="K528" i="2" s="1"/>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1" i="2"/>
  <c r="K470" i="2"/>
  <c r="K469" i="2"/>
  <c r="K468" i="2"/>
  <c r="K467" i="2"/>
  <c r="K466" i="2"/>
  <c r="K465" i="2"/>
  <c r="K464" i="2"/>
  <c r="K463" i="2"/>
  <c r="K462" i="2"/>
  <c r="K461" i="2"/>
  <c r="K459" i="2"/>
  <c r="K458" i="2"/>
  <c r="K457" i="2"/>
  <c r="K456" i="2"/>
  <c r="K455" i="2"/>
  <c r="K454" i="2"/>
  <c r="K453" i="2"/>
  <c r="K452" i="2"/>
  <c r="K451" i="2"/>
  <c r="K450" i="2"/>
  <c r="K449" i="2"/>
  <c r="K448" i="2"/>
  <c r="K447" i="2"/>
  <c r="K446" i="2"/>
  <c r="K445" i="2"/>
  <c r="K444" i="2"/>
  <c r="K443" i="2"/>
  <c r="K441" i="2"/>
  <c r="K440" i="2"/>
  <c r="K439" i="2"/>
  <c r="K438" i="2"/>
  <c r="K437" i="2"/>
  <c r="K435" i="2"/>
  <c r="K434" i="2"/>
  <c r="K433" i="2"/>
  <c r="K432" i="2"/>
  <c r="K431" i="2"/>
  <c r="K430" i="2"/>
  <c r="K429" i="2"/>
  <c r="K428" i="2"/>
  <c r="K427" i="2"/>
  <c r="K426" i="2"/>
  <c r="K425" i="2"/>
  <c r="K424" i="2"/>
  <c r="K423" i="2"/>
  <c r="K422" i="2"/>
  <c r="K421" i="2"/>
  <c r="K420" i="2"/>
  <c r="K419" i="2"/>
  <c r="K418" i="2"/>
  <c r="K417" i="2"/>
  <c r="K416" i="2"/>
  <c r="K415" i="2"/>
  <c r="K414" i="2"/>
  <c r="K413" i="2"/>
  <c r="K412" i="2"/>
  <c r="J411" i="2"/>
  <c r="K411" i="2" s="1"/>
  <c r="K410" i="2"/>
  <c r="K409" i="2"/>
  <c r="K408" i="2"/>
  <c r="K407" i="2"/>
  <c r="K406" i="2"/>
  <c r="K405" i="2"/>
  <c r="K404" i="2"/>
  <c r="K403" i="2"/>
  <c r="K402" i="2"/>
  <c r="K401" i="2"/>
  <c r="K400" i="2"/>
  <c r="K399" i="2"/>
  <c r="K398" i="2"/>
  <c r="K397" i="2"/>
  <c r="K395" i="2"/>
  <c r="K394" i="2"/>
  <c r="K393" i="2"/>
  <c r="K392" i="2"/>
  <c r="K391" i="2"/>
  <c r="K390" i="2"/>
  <c r="K389" i="2"/>
  <c r="K388" i="2"/>
  <c r="J387" i="2"/>
  <c r="K387" i="2" s="1"/>
  <c r="J386" i="2"/>
  <c r="K386" i="2" s="1"/>
  <c r="K385" i="2"/>
  <c r="K384" i="2"/>
  <c r="K383" i="2"/>
  <c r="K382" i="2"/>
  <c r="K381" i="2"/>
  <c r="K380" i="2"/>
  <c r="K379" i="2"/>
  <c r="K378" i="2"/>
  <c r="K377" i="2"/>
  <c r="K376" i="2"/>
  <c r="K375" i="2"/>
  <c r="K374"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39" i="2"/>
  <c r="K338" i="2"/>
  <c r="K337" i="2"/>
  <c r="K336" i="2"/>
  <c r="K335" i="2"/>
  <c r="K334" i="2"/>
  <c r="K333" i="2"/>
  <c r="K332" i="2"/>
  <c r="K331" i="2"/>
  <c r="K330" i="2"/>
  <c r="K329" i="2"/>
  <c r="K328" i="2"/>
  <c r="K327" i="2"/>
  <c r="K326" i="2"/>
  <c r="K325" i="2"/>
  <c r="K324" i="2"/>
  <c r="K323" i="2"/>
  <c r="K322" i="2"/>
  <c r="K321" i="2"/>
  <c r="K320" i="2"/>
  <c r="K319" i="2"/>
  <c r="K318" i="2"/>
  <c r="K317" i="2"/>
  <c r="J316" i="2"/>
  <c r="K316" i="2" s="1"/>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J264" i="2"/>
  <c r="K264" i="2" s="1"/>
  <c r="J263" i="2"/>
  <c r="K263" i="2" s="1"/>
  <c r="K262" i="2"/>
  <c r="K261" i="2"/>
  <c r="K260" i="2"/>
  <c r="K259" i="2"/>
  <c r="K258" i="2"/>
  <c r="K257" i="2"/>
  <c r="K256" i="2"/>
  <c r="K254" i="2"/>
  <c r="K253" i="2"/>
  <c r="K252" i="2"/>
  <c r="K251" i="2"/>
  <c r="K250" i="2"/>
  <c r="K249" i="2"/>
  <c r="K248" i="2"/>
  <c r="K247" i="2"/>
  <c r="K246" i="2"/>
  <c r="K244" i="2"/>
  <c r="K243" i="2"/>
  <c r="K242" i="2"/>
  <c r="K241" i="2"/>
  <c r="K240" i="2"/>
  <c r="K239" i="2"/>
  <c r="K238" i="2"/>
  <c r="K237" i="2"/>
  <c r="K236" i="2"/>
  <c r="K235" i="2"/>
  <c r="K234" i="2"/>
  <c r="K233" i="2"/>
  <c r="K232" i="2"/>
  <c r="K230" i="2"/>
  <c r="K229" i="2"/>
  <c r="K228" i="2"/>
  <c r="K227" i="2"/>
  <c r="K226" i="2"/>
  <c r="K223" i="2"/>
  <c r="J222" i="2"/>
  <c r="K222" i="2" s="1"/>
  <c r="K221" i="2"/>
  <c r="K220" i="2"/>
  <c r="K219" i="2"/>
  <c r="K217" i="2"/>
  <c r="K216" i="2"/>
  <c r="K215" i="2"/>
  <c r="K214" i="2"/>
  <c r="K213" i="2"/>
  <c r="K210" i="2"/>
  <c r="K209" i="2"/>
  <c r="K208" i="2"/>
  <c r="K207" i="2"/>
  <c r="K206" i="2"/>
  <c r="K205" i="2"/>
  <c r="K203" i="2"/>
  <c r="K202" i="2"/>
  <c r="K201" i="2"/>
  <c r="K200" i="2"/>
  <c r="K199" i="2"/>
  <c r="K198" i="2"/>
  <c r="K197" i="2"/>
  <c r="K196" i="2"/>
  <c r="K195" i="2"/>
  <c r="K194" i="2"/>
  <c r="K193" i="2"/>
  <c r="K192" i="2"/>
  <c r="K191" i="2"/>
  <c r="K190" i="2"/>
  <c r="K189" i="2"/>
  <c r="K188" i="2"/>
  <c r="K187" i="2"/>
  <c r="K186" i="2"/>
  <c r="K184" i="2"/>
  <c r="K181" i="2"/>
  <c r="K180" i="2"/>
  <c r="K179" i="2"/>
  <c r="K178" i="2"/>
  <c r="K177" i="2"/>
  <c r="K176" i="2"/>
  <c r="K175" i="2"/>
  <c r="K174" i="2"/>
  <c r="K173" i="2"/>
  <c r="K172" i="2"/>
  <c r="K171" i="2"/>
  <c r="K170" i="2"/>
  <c r="K169" i="2"/>
  <c r="K167" i="2"/>
  <c r="K166" i="2"/>
  <c r="J165" i="2"/>
  <c r="K165" i="2" s="1"/>
  <c r="K164" i="2"/>
  <c r="K163" i="2"/>
  <c r="K162" i="2"/>
  <c r="K161" i="2"/>
  <c r="K160" i="2"/>
  <c r="K159" i="2"/>
  <c r="K157" i="2"/>
  <c r="K156" i="2"/>
  <c r="K155" i="2"/>
  <c r="K154" i="2"/>
  <c r="K153" i="2"/>
  <c r="K152" i="2"/>
  <c r="K151" i="2"/>
  <c r="K150" i="2"/>
  <c r="K149" i="2"/>
  <c r="K148" i="2"/>
  <c r="K147" i="2"/>
  <c r="K146" i="2"/>
  <c r="K145" i="2"/>
  <c r="K144" i="2"/>
  <c r="K143" i="2"/>
  <c r="K142" i="2"/>
  <c r="K141" i="2"/>
  <c r="K140" i="2"/>
  <c r="K139" i="2"/>
  <c r="K138" i="2"/>
  <c r="K137" i="2"/>
  <c r="K136" i="2"/>
  <c r="K135" i="2"/>
  <c r="K133" i="2"/>
  <c r="K132" i="2"/>
  <c r="K131" i="2"/>
  <c r="K130" i="2"/>
  <c r="K129" i="2"/>
  <c r="K128" i="2"/>
  <c r="K127" i="2"/>
  <c r="K126" i="2"/>
  <c r="K125" i="2"/>
  <c r="K124" i="2"/>
  <c r="K123" i="2"/>
  <c r="K122" i="2"/>
  <c r="K121" i="2"/>
  <c r="K120" i="2"/>
  <c r="K119" i="2"/>
  <c r="K118" i="2"/>
  <c r="K117" i="2"/>
  <c r="K116" i="2"/>
  <c r="K115" i="2"/>
  <c r="K113" i="2"/>
  <c r="K112" i="2"/>
  <c r="J111" i="2"/>
  <c r="K111" i="2" s="1"/>
  <c r="K110" i="2"/>
  <c r="K109" i="2"/>
  <c r="K108" i="2"/>
  <c r="K107" i="2"/>
  <c r="K106" i="2"/>
  <c r="K105" i="2"/>
  <c r="K104" i="2"/>
  <c r="K103" i="2"/>
  <c r="K102" i="2"/>
  <c r="K101" i="2"/>
  <c r="K100" i="2"/>
  <c r="K99" i="2"/>
  <c r="K98" i="2"/>
  <c r="K97" i="2"/>
  <c r="K96" i="2"/>
  <c r="K95" i="2"/>
  <c r="J94" i="2"/>
  <c r="K94" i="2" s="1"/>
  <c r="K93" i="2"/>
  <c r="K92" i="2"/>
  <c r="K91" i="2"/>
  <c r="K90" i="2"/>
  <c r="K89" i="2"/>
  <c r="K88" i="2"/>
  <c r="K87" i="2"/>
  <c r="K86" i="2"/>
  <c r="K85" i="2"/>
  <c r="K84" i="2"/>
  <c r="K83" i="2"/>
  <c r="K82" i="2"/>
  <c r="K81" i="2"/>
  <c r="K80" i="2"/>
  <c r="K79" i="2"/>
  <c r="K78" i="2"/>
  <c r="K77" i="2"/>
  <c r="K76" i="2"/>
  <c r="K75" i="2"/>
  <c r="K74" i="2"/>
  <c r="K72" i="2"/>
  <c r="K71" i="2"/>
  <c r="K70" i="2"/>
  <c r="H70" i="2"/>
  <c r="J69" i="2"/>
  <c r="K69" i="2" s="1"/>
  <c r="H69" i="2"/>
  <c r="K68" i="2"/>
  <c r="K67" i="2"/>
  <c r="K66" i="2"/>
  <c r="K65" i="2"/>
  <c r="K64" i="2"/>
  <c r="K63" i="2"/>
  <c r="K62" i="2"/>
  <c r="K61" i="2"/>
  <c r="J60" i="2"/>
  <c r="K60" i="2" s="1"/>
  <c r="K58" i="2"/>
  <c r="J57" i="2"/>
  <c r="K57" i="2" s="1"/>
  <c r="K56" i="2"/>
  <c r="K55" i="2"/>
  <c r="K54" i="2"/>
  <c r="K52" i="2"/>
  <c r="K51" i="2"/>
  <c r="K50" i="2"/>
  <c r="K49" i="2"/>
  <c r="K48" i="2"/>
  <c r="K47" i="2"/>
  <c r="K45" i="2"/>
  <c r="K44" i="2"/>
  <c r="K43" i="2"/>
  <c r="J42" i="2"/>
  <c r="K42" i="2" s="1"/>
  <c r="K41" i="2"/>
  <c r="K40" i="2"/>
  <c r="K39" i="2"/>
  <c r="K38" i="2"/>
  <c r="K37" i="2"/>
  <c r="K36" i="2"/>
  <c r="K35" i="2"/>
  <c r="K34" i="2"/>
  <c r="K33" i="2"/>
  <c r="K32" i="2"/>
  <c r="K31" i="2"/>
  <c r="K30" i="2"/>
  <c r="K29" i="2"/>
  <c r="K28" i="2"/>
  <c r="K27" i="2"/>
  <c r="K26" i="2"/>
  <c r="K25" i="2"/>
  <c r="K24" i="2"/>
  <c r="K23" i="2"/>
  <c r="K22" i="2"/>
  <c r="K21" i="2"/>
  <c r="K20" i="2"/>
  <c r="K19" i="2"/>
  <c r="K18" i="2"/>
  <c r="K17" i="2"/>
  <c r="K16" i="2"/>
  <c r="J15" i="2"/>
  <c r="K15" i="2" s="1"/>
  <c r="K14" i="2"/>
  <c r="K13" i="2"/>
  <c r="K12" i="2"/>
  <c r="K11" i="2"/>
  <c r="K10" i="2"/>
  <c r="K9" i="2"/>
  <c r="K8" i="2"/>
  <c r="K7" i="2"/>
  <c r="K6" i="2"/>
  <c r="K5" i="2"/>
  <c r="K4" i="2"/>
  <c r="K3" i="2"/>
  <c r="K2" i="2"/>
  <c r="O309" i="4" l="1"/>
  <c r="P309" i="4"/>
  <c r="AA309" i="4"/>
  <c r="F3" i="17" l="1"/>
  <c r="F5" i="17"/>
  <c r="N38" i="8" l="1"/>
  <c r="M38" i="8"/>
  <c r="O38" i="8" s="1"/>
  <c r="L38" i="8"/>
  <c r="F38" i="8"/>
  <c r="B38" i="8"/>
  <c r="M37" i="8"/>
  <c r="O37" i="8" s="1"/>
  <c r="L37" i="8"/>
  <c r="F37" i="8"/>
  <c r="B37" i="8"/>
  <c r="N36" i="8"/>
  <c r="M36" i="8"/>
  <c r="O36" i="8" s="1"/>
  <c r="L36" i="8"/>
  <c r="F36" i="8"/>
  <c r="B36" i="8"/>
  <c r="N35" i="8"/>
  <c r="M35" i="8"/>
  <c r="O35" i="8" s="1"/>
  <c r="L35" i="8"/>
  <c r="F35" i="8"/>
  <c r="B35" i="8"/>
  <c r="M34" i="8"/>
  <c r="O34" i="8" s="1"/>
  <c r="L34" i="8"/>
  <c r="F34" i="8"/>
  <c r="B34" i="8"/>
  <c r="N33" i="8"/>
  <c r="M33" i="8"/>
  <c r="O33" i="8" s="1"/>
  <c r="L33" i="8"/>
  <c r="F33" i="8"/>
  <c r="B33" i="8"/>
  <c r="M32" i="8"/>
  <c r="O32" i="8" s="1"/>
  <c r="L32" i="8"/>
  <c r="F32" i="8"/>
  <c r="B32" i="8"/>
  <c r="N29" i="8"/>
  <c r="M29" i="8"/>
  <c r="O29" i="8" s="1"/>
  <c r="L29" i="8"/>
  <c r="F29" i="8"/>
  <c r="B29" i="8"/>
  <c r="M28" i="8"/>
  <c r="L28" i="8"/>
  <c r="F28" i="8"/>
  <c r="B28" i="8"/>
  <c r="N27" i="8"/>
  <c r="M27" i="8"/>
  <c r="O27" i="8" s="1"/>
  <c r="L27" i="8"/>
  <c r="J27" i="8"/>
  <c r="F27" i="8"/>
  <c r="C27" i="8"/>
  <c r="G27" i="8" s="1"/>
  <c r="B27" i="8"/>
  <c r="D27" i="8" s="1"/>
  <c r="M26" i="8"/>
  <c r="L26" i="8"/>
  <c r="F26" i="8"/>
  <c r="B26" i="8"/>
  <c r="N25" i="8"/>
  <c r="M25" i="8"/>
  <c r="O25" i="8" s="1"/>
  <c r="L25" i="8"/>
  <c r="F25" i="8"/>
  <c r="B25" i="8"/>
  <c r="N24" i="8"/>
  <c r="M24" i="8"/>
  <c r="O24" i="8" s="1"/>
  <c r="L24" i="8"/>
  <c r="F24" i="8"/>
  <c r="B24" i="8"/>
  <c r="N23" i="8"/>
  <c r="M23" i="8"/>
  <c r="O23" i="8" s="1"/>
  <c r="L23" i="8"/>
  <c r="F23" i="8"/>
  <c r="B23" i="8"/>
  <c r="D23" i="8" s="1"/>
  <c r="N22" i="8"/>
  <c r="M22" i="8"/>
  <c r="O22" i="8" s="1"/>
  <c r="L22" i="8"/>
  <c r="F22" i="8"/>
  <c r="B22" i="8"/>
  <c r="N21" i="8"/>
  <c r="M21" i="8"/>
  <c r="O21" i="8" s="1"/>
  <c r="L21" i="8"/>
  <c r="F21" i="8"/>
  <c r="B21" i="8"/>
  <c r="N20" i="8"/>
  <c r="M20" i="8"/>
  <c r="O20" i="8" s="1"/>
  <c r="L20" i="8"/>
  <c r="F20" i="8"/>
  <c r="B20" i="8"/>
  <c r="M19" i="8"/>
  <c r="O19" i="8" s="1"/>
  <c r="L19" i="8"/>
  <c r="F19" i="8"/>
  <c r="B19" i="8"/>
  <c r="N18" i="8"/>
  <c r="M18" i="8"/>
  <c r="O18" i="8" s="1"/>
  <c r="L18" i="8"/>
  <c r="F18" i="8"/>
  <c r="B18" i="8"/>
  <c r="N17" i="8"/>
  <c r="M17" i="8"/>
  <c r="O17" i="8" s="1"/>
  <c r="L17" i="8"/>
  <c r="F17" i="8"/>
  <c r="B17" i="8"/>
  <c r="N16" i="8"/>
  <c r="M16" i="8"/>
  <c r="O16" i="8" s="1"/>
  <c r="L16" i="8"/>
  <c r="F16" i="8"/>
  <c r="B16" i="8"/>
  <c r="N15" i="8"/>
  <c r="M15" i="8"/>
  <c r="O15" i="8" s="1"/>
  <c r="L15" i="8"/>
  <c r="F15" i="8"/>
  <c r="B15" i="8"/>
  <c r="N14" i="8"/>
  <c r="M14" i="8"/>
  <c r="O14" i="8" s="1"/>
  <c r="L14" i="8"/>
  <c r="F14" i="8"/>
  <c r="B14" i="8"/>
  <c r="M13" i="8"/>
  <c r="O13" i="8" s="1"/>
  <c r="L13" i="8"/>
  <c r="F13" i="8"/>
  <c r="B13" i="8"/>
  <c r="M12" i="8"/>
  <c r="O12" i="8" s="1"/>
  <c r="L12" i="8"/>
  <c r="F12" i="8"/>
  <c r="B12" i="8"/>
  <c r="N11" i="8"/>
  <c r="M11" i="8"/>
  <c r="O11" i="8" s="1"/>
  <c r="L11" i="8"/>
  <c r="F11" i="8"/>
  <c r="B11" i="8"/>
  <c r="M10" i="8"/>
  <c r="L10" i="8"/>
  <c r="F10" i="8"/>
  <c r="B10" i="8"/>
  <c r="M9" i="8"/>
  <c r="L9" i="8"/>
  <c r="F9" i="8"/>
  <c r="B9" i="8"/>
  <c r="M8" i="8"/>
  <c r="L8" i="8"/>
  <c r="F8" i="8"/>
  <c r="B8" i="8"/>
  <c r="N7" i="8"/>
  <c r="M7" i="8"/>
  <c r="O7" i="8" s="1"/>
  <c r="L7" i="8"/>
  <c r="F7" i="8"/>
  <c r="B7" i="8"/>
  <c r="N6" i="8"/>
  <c r="M6" i="8"/>
  <c r="O6" i="8" s="1"/>
  <c r="L6" i="8"/>
  <c r="F6" i="8"/>
  <c r="B6" i="8"/>
  <c r="N5" i="8"/>
  <c r="M5" i="8"/>
  <c r="O5" i="8" s="1"/>
  <c r="L5" i="8"/>
  <c r="F5" i="8"/>
  <c r="B5" i="8"/>
  <c r="AH111" i="12"/>
  <c r="S111" i="12"/>
  <c r="AH110" i="12"/>
  <c r="S110" i="12"/>
  <c r="N110" i="12"/>
  <c r="M110" i="12"/>
  <c r="AH109" i="12"/>
  <c r="S109" i="12"/>
  <c r="N109" i="12"/>
  <c r="M109" i="12"/>
  <c r="AH108" i="12"/>
  <c r="S108" i="12"/>
  <c r="L108" i="12"/>
  <c r="N108" i="12" s="1"/>
  <c r="M108" i="12" s="1"/>
  <c r="AH107" i="12"/>
  <c r="S107" i="12"/>
  <c r="AH106" i="12"/>
  <c r="S106" i="12"/>
  <c r="AH105" i="12"/>
  <c r="S105" i="12"/>
  <c r="AH104" i="12"/>
  <c r="S104" i="12"/>
  <c r="N104" i="12"/>
  <c r="M104" i="12"/>
  <c r="AH103" i="12"/>
  <c r="S103" i="12"/>
  <c r="AH102" i="12"/>
  <c r="S102" i="12"/>
  <c r="AH101" i="12"/>
  <c r="S101" i="12"/>
  <c r="AH100" i="12"/>
  <c r="S100" i="12"/>
  <c r="AH99" i="12"/>
  <c r="S99" i="12"/>
  <c r="AH98" i="12"/>
  <c r="S98" i="12"/>
  <c r="AH97" i="12"/>
  <c r="S97" i="12"/>
  <c r="AH96" i="12"/>
  <c r="S96" i="12"/>
  <c r="AH95" i="12"/>
  <c r="S95" i="12"/>
  <c r="AH94" i="12"/>
  <c r="S94" i="12"/>
  <c r="AH93" i="12"/>
  <c r="S93" i="12"/>
  <c r="AH92" i="12"/>
  <c r="S92" i="12"/>
  <c r="AH91" i="12"/>
  <c r="S91" i="12"/>
  <c r="L91" i="12"/>
  <c r="AH90" i="12"/>
  <c r="S90" i="12"/>
  <c r="AH88" i="12"/>
  <c r="S88" i="12"/>
  <c r="AH48" i="12"/>
  <c r="AH47" i="12"/>
  <c r="AH46" i="12"/>
  <c r="AH45" i="12"/>
  <c r="AH44" i="12"/>
  <c r="AH43" i="12"/>
  <c r="AH42" i="12"/>
  <c r="AH41" i="12"/>
  <c r="AH40" i="12"/>
  <c r="AH39" i="12"/>
  <c r="AH38" i="12"/>
  <c r="AH37" i="12"/>
  <c r="AH36" i="12"/>
  <c r="AH35" i="12"/>
  <c r="AH34" i="12"/>
  <c r="AH33" i="12"/>
  <c r="AH32" i="12"/>
  <c r="AH31" i="12"/>
  <c r="AH30" i="12"/>
  <c r="AH29" i="12"/>
  <c r="AH28" i="12"/>
  <c r="AH27" i="12"/>
  <c r="AH26" i="12"/>
  <c r="AH25" i="12"/>
  <c r="AH24" i="12"/>
  <c r="AH23" i="12"/>
  <c r="AH22" i="12"/>
  <c r="AH21" i="12"/>
  <c r="AH20" i="12"/>
  <c r="AH19" i="12"/>
  <c r="AH18" i="12"/>
  <c r="AH17" i="12"/>
  <c r="AH16" i="12"/>
  <c r="AH15" i="12"/>
  <c r="AH14" i="12"/>
  <c r="AH13" i="12"/>
  <c r="AH12" i="12"/>
  <c r="AH11" i="12"/>
  <c r="AH10" i="12"/>
  <c r="AH9" i="12"/>
  <c r="AH8" i="12"/>
  <c r="AH7" i="12"/>
  <c r="AH6" i="12"/>
  <c r="AH5" i="12"/>
  <c r="AH4" i="12"/>
  <c r="AH3" i="12"/>
  <c r="L3" i="12"/>
  <c r="N3" i="12" s="1"/>
  <c r="M3" i="12" s="1"/>
  <c r="AH2" i="12"/>
  <c r="AH308" i="4"/>
  <c r="N308" i="4"/>
  <c r="M308" i="4"/>
  <c r="AH307" i="4"/>
  <c r="S307" i="4"/>
  <c r="N307" i="4"/>
  <c r="AH306" i="4"/>
  <c r="S306" i="4"/>
  <c r="N306" i="4"/>
  <c r="AH305" i="4"/>
  <c r="S305" i="4"/>
  <c r="N305" i="4"/>
  <c r="AH304" i="4"/>
  <c r="S304" i="4"/>
  <c r="N304" i="4"/>
  <c r="AH303" i="4"/>
  <c r="S303" i="4"/>
  <c r="N303" i="4"/>
  <c r="AH302" i="4"/>
  <c r="S302" i="4"/>
  <c r="N302" i="4"/>
  <c r="AH301" i="4"/>
  <c r="S301" i="4"/>
  <c r="N301" i="4"/>
  <c r="AH300" i="4"/>
  <c r="S300" i="4"/>
  <c r="AH299" i="4"/>
  <c r="S299" i="4"/>
  <c r="AH298" i="4"/>
  <c r="S298" i="4"/>
  <c r="AH297" i="4"/>
  <c r="S297" i="4"/>
  <c r="AH296" i="4"/>
  <c r="S296" i="4"/>
  <c r="AH295" i="4"/>
  <c r="S295" i="4"/>
  <c r="AH294" i="4"/>
  <c r="S294" i="4"/>
  <c r="AH293" i="4"/>
  <c r="S293" i="4"/>
  <c r="AH292" i="4"/>
  <c r="S292" i="4"/>
  <c r="AH291" i="4"/>
  <c r="S291" i="4"/>
  <c r="AH290" i="4"/>
  <c r="S290" i="4"/>
  <c r="AH289" i="4"/>
  <c r="S289" i="4"/>
  <c r="AH288" i="4"/>
  <c r="S288" i="4"/>
  <c r="M288" i="4"/>
  <c r="AH287" i="4"/>
  <c r="S287" i="4"/>
  <c r="L287" i="4"/>
  <c r="N287" i="4" s="1"/>
  <c r="M287" i="4" s="1"/>
  <c r="AH286" i="4"/>
  <c r="S286" i="4"/>
  <c r="AH285" i="4"/>
  <c r="S285" i="4"/>
  <c r="AH284" i="4"/>
  <c r="S284" i="4"/>
  <c r="N284" i="4"/>
  <c r="M284" i="4"/>
  <c r="AH283" i="4"/>
  <c r="S283" i="4"/>
  <c r="AH282" i="4"/>
  <c r="S282" i="4"/>
  <c r="AH280" i="4"/>
  <c r="S280" i="4"/>
  <c r="AH279" i="4"/>
  <c r="S279" i="4"/>
  <c r="AH278" i="4"/>
  <c r="AH277" i="4"/>
  <c r="S277" i="4"/>
  <c r="L277" i="4"/>
  <c r="N277" i="4" s="1"/>
  <c r="M277" i="4" s="1"/>
  <c r="AH276" i="4"/>
  <c r="R276" i="4"/>
  <c r="S276" i="4" s="1"/>
  <c r="AH275" i="4"/>
  <c r="S275" i="4"/>
  <c r="N275" i="4"/>
  <c r="M275" i="4"/>
  <c r="AH274" i="4"/>
  <c r="S274" i="4"/>
  <c r="N274" i="4"/>
  <c r="AH273" i="4"/>
  <c r="S273" i="4"/>
  <c r="AH272" i="4"/>
  <c r="S272" i="4"/>
  <c r="AH271" i="4"/>
  <c r="S271" i="4"/>
  <c r="AH270" i="4"/>
  <c r="S270" i="4"/>
  <c r="N270" i="4"/>
  <c r="AH269" i="4"/>
  <c r="S269" i="4"/>
  <c r="AH268" i="4"/>
  <c r="S268" i="4"/>
  <c r="AH267" i="4"/>
  <c r="S267" i="4"/>
  <c r="N267" i="4"/>
  <c r="AH266" i="4"/>
  <c r="S266" i="4"/>
  <c r="N266" i="4"/>
  <c r="M266" i="4"/>
  <c r="AH265" i="4"/>
  <c r="S265" i="4"/>
  <c r="N265" i="4"/>
  <c r="AH264" i="4"/>
  <c r="S264" i="4"/>
  <c r="N264" i="4"/>
  <c r="M264" i="4"/>
  <c r="AH263" i="4"/>
  <c r="S263" i="4"/>
  <c r="N263" i="4"/>
  <c r="M263" i="4" s="1"/>
  <c r="AH262" i="4"/>
  <c r="S262" i="4"/>
  <c r="AH261" i="4"/>
  <c r="S261" i="4"/>
  <c r="AH260" i="4"/>
  <c r="S260" i="4"/>
  <c r="AH259" i="4"/>
  <c r="S259" i="4"/>
  <c r="N259" i="4"/>
  <c r="AH258" i="4"/>
  <c r="S258" i="4"/>
  <c r="N258" i="4"/>
  <c r="M258" i="4"/>
  <c r="AH257" i="4"/>
  <c r="S257" i="4"/>
  <c r="AH256" i="4"/>
  <c r="S256" i="4"/>
  <c r="L256" i="4"/>
  <c r="N256" i="4" s="1"/>
  <c r="M256" i="4" s="1"/>
  <c r="AH255" i="4"/>
  <c r="S255" i="4"/>
  <c r="AH254" i="4"/>
  <c r="S254" i="4"/>
  <c r="N254" i="4"/>
  <c r="M254" i="4" s="1"/>
  <c r="L254" i="4"/>
  <c r="AH253" i="4"/>
  <c r="S253" i="4"/>
  <c r="N253" i="4"/>
  <c r="M253" i="4"/>
  <c r="AH252" i="4"/>
  <c r="S252" i="4"/>
  <c r="AH251" i="4"/>
  <c r="S251" i="4"/>
  <c r="AH250" i="4"/>
  <c r="S250" i="4"/>
  <c r="N250" i="4"/>
  <c r="M250" i="4" s="1"/>
  <c r="AH249" i="4"/>
  <c r="S249" i="4"/>
  <c r="M249" i="4"/>
  <c r="AH248" i="4"/>
  <c r="S248" i="4"/>
  <c r="L248" i="4"/>
  <c r="N248" i="4" s="1"/>
  <c r="M248" i="4" s="1"/>
  <c r="AH247" i="4"/>
  <c r="S247" i="4"/>
  <c r="AH241" i="4"/>
  <c r="S241"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L147" i="4"/>
  <c r="N147" i="4" s="1"/>
  <c r="M147" i="4" s="1"/>
  <c r="AH146" i="4"/>
  <c r="AH145" i="4"/>
  <c r="L145" i="4"/>
  <c r="N145" i="4" s="1"/>
  <c r="AH144" i="4"/>
  <c r="N144" i="4"/>
  <c r="AH143" i="4"/>
  <c r="AH142" i="4"/>
  <c r="AH141" i="4"/>
  <c r="AH140" i="4"/>
  <c r="AH139" i="4"/>
  <c r="N139" i="4"/>
  <c r="M139" i="4" s="1"/>
  <c r="AH138" i="4"/>
  <c r="L138" i="4"/>
  <c r="N138" i="4" s="1"/>
  <c r="M138" i="4" s="1"/>
  <c r="AH137" i="4"/>
  <c r="L137" i="4"/>
  <c r="N137" i="4" s="1"/>
  <c r="M137" i="4" s="1"/>
  <c r="AH136" i="4"/>
  <c r="N135" i="4"/>
  <c r="M135" i="4"/>
  <c r="AH134" i="4"/>
  <c r="AH133" i="4"/>
  <c r="N133" i="4"/>
  <c r="M133" i="4"/>
  <c r="AH132" i="4"/>
  <c r="AH131" i="4"/>
  <c r="AH130" i="4"/>
  <c r="N130" i="4"/>
  <c r="M130" i="4"/>
  <c r="AH129" i="4"/>
  <c r="N129" i="4"/>
  <c r="M129" i="4"/>
  <c r="AH128" i="4"/>
  <c r="N128" i="4"/>
  <c r="M128" i="4"/>
  <c r="AH127" i="4"/>
  <c r="N127" i="4"/>
  <c r="M127" i="4"/>
  <c r="AH126" i="4"/>
  <c r="N126" i="4"/>
  <c r="M126" i="4"/>
  <c r="AH125" i="4"/>
  <c r="N125" i="4"/>
  <c r="M125" i="4"/>
  <c r="AH124" i="4"/>
  <c r="N124" i="4"/>
  <c r="AH123" i="4"/>
  <c r="N123" i="4"/>
  <c r="AH122" i="4"/>
  <c r="N122" i="4"/>
  <c r="AH121" i="4"/>
  <c r="N121" i="4"/>
  <c r="AH120" i="4"/>
  <c r="N120" i="4"/>
  <c r="AH119" i="4"/>
  <c r="R119" i="4"/>
  <c r="N119" i="4"/>
  <c r="AH118" i="4"/>
  <c r="R118" i="4"/>
  <c r="N118" i="4"/>
  <c r="AH117" i="4"/>
  <c r="R117" i="4"/>
  <c r="N117" i="4"/>
  <c r="R116" i="4"/>
  <c r="N116" i="4"/>
  <c r="M116" i="4" s="1"/>
  <c r="R115" i="4"/>
  <c r="N115" i="4"/>
  <c r="M115" i="4"/>
  <c r="R114" i="4"/>
  <c r="N114" i="4"/>
  <c r="M114" i="4"/>
  <c r="R113" i="4"/>
  <c r="N113" i="4"/>
  <c r="M113" i="4"/>
  <c r="R112" i="4"/>
  <c r="N112" i="4"/>
  <c r="M112" i="4" s="1"/>
  <c r="R111" i="4"/>
  <c r="N111" i="4"/>
  <c r="M111" i="4"/>
  <c r="R110" i="4"/>
  <c r="N110" i="4"/>
  <c r="M110" i="4"/>
  <c r="R109" i="4"/>
  <c r="N109" i="4"/>
  <c r="M109" i="4"/>
  <c r="R108" i="4"/>
  <c r="N108" i="4"/>
  <c r="M108" i="4" s="1"/>
  <c r="R107" i="4"/>
  <c r="N107" i="4"/>
  <c r="M107" i="4"/>
  <c r="R106" i="4"/>
  <c r="N106" i="4"/>
  <c r="M106" i="4"/>
  <c r="R105" i="4"/>
  <c r="N105" i="4"/>
  <c r="M105" i="4"/>
  <c r="R104" i="4"/>
  <c r="N104" i="4"/>
  <c r="M104" i="4" s="1"/>
  <c r="R103" i="4"/>
  <c r="N103" i="4"/>
  <c r="M103" i="4"/>
  <c r="R102" i="4"/>
  <c r="N102" i="4"/>
  <c r="M102" i="4"/>
  <c r="R101" i="4"/>
  <c r="N101" i="4"/>
  <c r="M101" i="4"/>
  <c r="R100" i="4"/>
  <c r="N100" i="4"/>
  <c r="M100" i="4" s="1"/>
  <c r="R99" i="4"/>
  <c r="N99" i="4"/>
  <c r="M99" i="4"/>
  <c r="R98" i="4"/>
  <c r="N98" i="4"/>
  <c r="M98" i="4"/>
  <c r="R97" i="4"/>
  <c r="N97" i="4"/>
  <c r="M97" i="4"/>
  <c r="R96" i="4"/>
  <c r="N96" i="4"/>
  <c r="M96" i="4" s="1"/>
  <c r="R95" i="4"/>
  <c r="N95" i="4"/>
  <c r="M95" i="4"/>
  <c r="R94" i="4"/>
  <c r="N94" i="4"/>
  <c r="M94" i="4"/>
  <c r="R93" i="4"/>
  <c r="N93" i="4"/>
  <c r="M93" i="4"/>
  <c r="R92" i="4"/>
  <c r="N92" i="4"/>
  <c r="M92" i="4" s="1"/>
  <c r="R91" i="4"/>
  <c r="N91" i="4"/>
  <c r="M91" i="4"/>
  <c r="AH90" i="4"/>
  <c r="AH89" i="4"/>
  <c r="N89" i="4"/>
  <c r="M89" i="4" s="1"/>
  <c r="AI88" i="4"/>
  <c r="O88" i="4"/>
  <c r="AH87" i="4"/>
  <c r="N87" i="4"/>
  <c r="AH86" i="4"/>
  <c r="N86" i="4"/>
  <c r="AH85" i="4"/>
  <c r="AH84" i="4"/>
  <c r="AH83" i="4"/>
  <c r="L83" i="4"/>
  <c r="AH82" i="4"/>
  <c r="AH81" i="4"/>
  <c r="AH80" i="4"/>
  <c r="AH79" i="4"/>
  <c r="N78" i="4"/>
  <c r="M78" i="4"/>
  <c r="AH77" i="4"/>
  <c r="AH76" i="4"/>
  <c r="N76" i="4"/>
  <c r="M76" i="4"/>
  <c r="AH75" i="4"/>
  <c r="N75" i="4"/>
  <c r="M75" i="4"/>
  <c r="AH74" i="4"/>
  <c r="L74" i="4"/>
  <c r="N74" i="4" s="1"/>
  <c r="M74" i="4" s="1"/>
  <c r="AH73" i="4"/>
  <c r="R73" i="4"/>
  <c r="N73" i="4"/>
  <c r="M73" i="4" s="1"/>
  <c r="AH72" i="4"/>
  <c r="R72" i="4"/>
  <c r="N72" i="4"/>
  <c r="M72" i="4" s="1"/>
  <c r="AH71" i="4"/>
  <c r="R71" i="4"/>
  <c r="N71" i="4"/>
  <c r="M71" i="4"/>
  <c r="AH70" i="4"/>
  <c r="R70" i="4"/>
  <c r="N70" i="4"/>
  <c r="M70" i="4" s="1"/>
  <c r="AH69" i="4"/>
  <c r="R69" i="4"/>
  <c r="N69" i="4"/>
  <c r="M69" i="4" s="1"/>
  <c r="AH68" i="4"/>
  <c r="R68" i="4"/>
  <c r="N68" i="4"/>
  <c r="M68" i="4"/>
  <c r="AH67" i="4"/>
  <c r="R67" i="4"/>
  <c r="N67" i="4"/>
  <c r="M67" i="4" s="1"/>
  <c r="AH66" i="4"/>
  <c r="R66" i="4"/>
  <c r="N66" i="4"/>
  <c r="M66" i="4" s="1"/>
  <c r="AH65" i="4"/>
  <c r="R65" i="4"/>
  <c r="N65" i="4"/>
  <c r="M65" i="4"/>
  <c r="AH64" i="4"/>
  <c r="L64" i="4"/>
  <c r="N64" i="4" s="1"/>
  <c r="M64" i="4" s="1"/>
  <c r="AH63" i="4"/>
  <c r="N63" i="4"/>
  <c r="M63" i="4"/>
  <c r="AH62" i="4"/>
  <c r="L62" i="4"/>
  <c r="N62" i="4" s="1"/>
  <c r="N61" i="4"/>
  <c r="M61" i="4"/>
  <c r="L60" i="4"/>
  <c r="N60" i="4" s="1"/>
  <c r="M60" i="4" s="1"/>
  <c r="N59" i="4"/>
  <c r="M59" i="4"/>
  <c r="L58" i="4"/>
  <c r="N58" i="4" s="1"/>
  <c r="M58" i="4" s="1"/>
  <c r="N57" i="4"/>
  <c r="N55" i="4"/>
  <c r="M55" i="4" s="1"/>
  <c r="L54" i="4"/>
  <c r="N54" i="4" s="1"/>
  <c r="L53" i="4"/>
  <c r="N53" i="4" s="1"/>
  <c r="L52" i="4"/>
  <c r="N52" i="4" s="1"/>
  <c r="N51" i="4"/>
  <c r="M51" i="4"/>
  <c r="L49" i="4"/>
  <c r="N49" i="4" s="1"/>
  <c r="M49" i="4" s="1"/>
  <c r="L48" i="4"/>
  <c r="N48" i="4" s="1"/>
  <c r="M48" i="4" s="1"/>
  <c r="L47" i="4"/>
  <c r="N47" i="4" s="1"/>
  <c r="M47" i="4" s="1"/>
  <c r="N46" i="4"/>
  <c r="M46" i="4" s="1"/>
  <c r="N45" i="4"/>
  <c r="M45" i="4" s="1"/>
  <c r="L44" i="4"/>
  <c r="N44" i="4" s="1"/>
  <c r="M44" i="4" s="1"/>
  <c r="L43" i="4"/>
  <c r="N43" i="4" s="1"/>
  <c r="M43" i="4" s="1"/>
  <c r="L42" i="4"/>
  <c r="N42" i="4" s="1"/>
  <c r="M42" i="4" s="1"/>
  <c r="N41" i="4"/>
  <c r="M41" i="4"/>
  <c r="L40" i="4"/>
  <c r="N40" i="4" s="1"/>
  <c r="M40" i="4" s="1"/>
  <c r="L39" i="4"/>
  <c r="N39" i="4" s="1"/>
  <c r="M39" i="4" s="1"/>
  <c r="N38" i="4"/>
  <c r="M38" i="4"/>
  <c r="L37" i="4"/>
  <c r="N37" i="4" s="1"/>
  <c r="M37" i="4" s="1"/>
  <c r="L36" i="4"/>
  <c r="N36" i="4" s="1"/>
  <c r="L35" i="4"/>
  <c r="N35" i="4" s="1"/>
  <c r="L34" i="4"/>
  <c r="N34" i="4" s="1"/>
  <c r="M34" i="4" s="1"/>
  <c r="N33" i="4"/>
  <c r="L32" i="4"/>
  <c r="N32" i="4" s="1"/>
  <c r="N31" i="4"/>
  <c r="M31" i="4"/>
  <c r="N30" i="4"/>
  <c r="M30" i="4" s="1"/>
  <c r="L29" i="4"/>
  <c r="N29" i="4" s="1"/>
  <c r="L28" i="4"/>
  <c r="N28" i="4" s="1"/>
  <c r="L27" i="4"/>
  <c r="N27" i="4" s="1"/>
  <c r="M27" i="4" s="1"/>
  <c r="N26" i="4"/>
  <c r="M26" i="4" s="1"/>
  <c r="N25" i="4"/>
  <c r="M25" i="4"/>
  <c r="N24" i="4"/>
  <c r="M24" i="4" s="1"/>
  <c r="L23" i="4"/>
  <c r="N23" i="4" s="1"/>
  <c r="M23" i="4" s="1"/>
  <c r="N22" i="4"/>
  <c r="M22" i="4" s="1"/>
  <c r="L21" i="4"/>
  <c r="N21" i="4" s="1"/>
  <c r="M21" i="4" s="1"/>
  <c r="L20" i="4"/>
  <c r="N20" i="4" s="1"/>
  <c r="M20" i="4" s="1"/>
  <c r="N19" i="4"/>
  <c r="M19" i="4"/>
  <c r="N18" i="4"/>
  <c r="M18" i="4"/>
  <c r="N17" i="4"/>
  <c r="M17" i="4"/>
  <c r="L16" i="4"/>
  <c r="N16" i="4" s="1"/>
  <c r="M16" i="4" s="1"/>
  <c r="L15" i="4"/>
  <c r="N15" i="4" s="1"/>
  <c r="M15" i="4" s="1"/>
  <c r="N14" i="4"/>
  <c r="L13" i="4"/>
  <c r="N13" i="4" s="1"/>
  <c r="M13" i="4" s="1"/>
  <c r="R12" i="4"/>
  <c r="L12" i="4"/>
  <c r="N12" i="4" s="1"/>
  <c r="M12" i="4" s="1"/>
  <c r="L11" i="4"/>
  <c r="N11" i="4" s="1"/>
  <c r="M11" i="4" s="1"/>
  <c r="L10" i="4"/>
  <c r="N10" i="4" s="1"/>
  <c r="M10" i="4" s="1"/>
  <c r="L9" i="4"/>
  <c r="N9" i="4" s="1"/>
  <c r="M9" i="4" s="1"/>
  <c r="L8" i="4"/>
  <c r="N8" i="4" s="1"/>
  <c r="M8" i="4" s="1"/>
  <c r="L6" i="4"/>
  <c r="N6" i="4" s="1"/>
  <c r="M6" i="4" s="1"/>
  <c r="L5" i="4"/>
  <c r="L4" i="4"/>
  <c r="N4" i="4" s="1"/>
  <c r="M4" i="4" s="1"/>
  <c r="L3" i="4"/>
  <c r="N3" i="4" s="1"/>
  <c r="M3" i="4" s="1"/>
  <c r="L2" i="4"/>
  <c r="N2" i="4" s="1"/>
  <c r="M2" i="4" s="1"/>
  <c r="AH161" i="13"/>
  <c r="AH160" i="13"/>
  <c r="AH159" i="13"/>
  <c r="S159" i="13"/>
  <c r="AH158" i="13"/>
  <c r="S158" i="13"/>
  <c r="N158" i="13"/>
  <c r="M158" i="13" s="1"/>
  <c r="AH157" i="13"/>
  <c r="S157" i="13"/>
  <c r="N157" i="13"/>
  <c r="M157" i="13" s="1"/>
  <c r="AH156" i="13"/>
  <c r="S156" i="13"/>
  <c r="N156" i="13"/>
  <c r="M156" i="13" s="1"/>
  <c r="AH155" i="13"/>
  <c r="S155" i="13"/>
  <c r="L155" i="13"/>
  <c r="N155" i="13" s="1"/>
  <c r="M155" i="13" s="1"/>
  <c r="AH154" i="13"/>
  <c r="AH153" i="13"/>
  <c r="S153" i="13"/>
  <c r="N153" i="13"/>
  <c r="M153" i="13" s="1"/>
  <c r="AH152" i="13"/>
  <c r="S152" i="13"/>
  <c r="N152" i="13"/>
  <c r="M152" i="13" s="1"/>
  <c r="AH151" i="13"/>
  <c r="S151" i="13"/>
  <c r="N151" i="13"/>
  <c r="M151" i="13" s="1"/>
  <c r="AH150" i="13"/>
  <c r="S150" i="13"/>
  <c r="N150" i="13"/>
  <c r="M150" i="13" s="1"/>
  <c r="AH149" i="13"/>
  <c r="S149" i="13"/>
  <c r="N149" i="13"/>
  <c r="M149" i="13" s="1"/>
  <c r="AH148" i="13"/>
  <c r="S148" i="13"/>
  <c r="N148" i="13"/>
  <c r="M148" i="13" s="1"/>
  <c r="AH147" i="13"/>
  <c r="S147" i="13"/>
  <c r="N147" i="13"/>
  <c r="M147" i="13" s="1"/>
  <c r="AH146" i="13"/>
  <c r="S146" i="13"/>
  <c r="N146" i="13"/>
  <c r="AH145" i="13"/>
  <c r="T145" i="13"/>
  <c r="S145" i="13"/>
  <c r="AH144" i="13"/>
  <c r="S144" i="13"/>
  <c r="AH143" i="13"/>
  <c r="S143" i="13"/>
  <c r="AH142" i="13"/>
  <c r="S142" i="13"/>
  <c r="AH141" i="13"/>
  <c r="S141" i="13"/>
  <c r="N141" i="13"/>
  <c r="M141" i="13" s="1"/>
  <c r="AH140" i="13"/>
  <c r="S140" i="13"/>
  <c r="N140" i="13"/>
  <c r="M140" i="13" s="1"/>
  <c r="AH139" i="13"/>
  <c r="S139" i="13"/>
  <c r="AH138" i="13"/>
  <c r="S138" i="13"/>
  <c r="N138" i="13"/>
  <c r="M138" i="13" s="1"/>
  <c r="AH137" i="13"/>
  <c r="S137" i="13"/>
  <c r="N137" i="13"/>
  <c r="M137" i="13" s="1"/>
  <c r="AH136" i="13"/>
  <c r="S136" i="13"/>
  <c r="N136" i="13"/>
  <c r="AH135" i="13"/>
  <c r="S135" i="13"/>
  <c r="N135" i="13"/>
  <c r="M135" i="13" s="1"/>
  <c r="AH134" i="13"/>
  <c r="S134" i="13"/>
  <c r="N134" i="13"/>
  <c r="M134" i="13" s="1"/>
  <c r="AH133" i="13"/>
  <c r="S133" i="13"/>
  <c r="N133" i="13"/>
  <c r="M133" i="13"/>
  <c r="AH132" i="13"/>
  <c r="R132" i="13"/>
  <c r="S132" i="13" s="1"/>
  <c r="N132" i="13"/>
  <c r="M132" i="13" s="1"/>
  <c r="AH131" i="13"/>
  <c r="S131" i="13"/>
  <c r="N131" i="13"/>
  <c r="AH130" i="13"/>
  <c r="S130" i="13"/>
  <c r="N130" i="13"/>
  <c r="M130" i="13" s="1"/>
  <c r="AH129" i="13"/>
  <c r="S129" i="13"/>
  <c r="N129" i="13"/>
  <c r="M129" i="13" s="1"/>
  <c r="AH128" i="13"/>
  <c r="S128" i="13"/>
  <c r="L128" i="13"/>
  <c r="N128" i="13" s="1"/>
  <c r="M128" i="13" s="1"/>
  <c r="AH127" i="13"/>
  <c r="S127" i="13"/>
  <c r="AH126" i="13"/>
  <c r="S126" i="13"/>
  <c r="N126" i="13"/>
  <c r="M126" i="13" s="1"/>
  <c r="AH125" i="13"/>
  <c r="S125" i="13"/>
  <c r="N125" i="13"/>
  <c r="M125" i="13" s="1"/>
  <c r="AH124" i="13"/>
  <c r="S124" i="13"/>
  <c r="N124" i="13"/>
  <c r="M124" i="13" s="1"/>
  <c r="AH123" i="13"/>
  <c r="S123" i="13"/>
  <c r="N123" i="13"/>
  <c r="M123" i="13" s="1"/>
  <c r="AH122" i="13"/>
  <c r="S122" i="13"/>
  <c r="AH121" i="13"/>
  <c r="S121" i="13"/>
  <c r="AH120" i="13"/>
  <c r="S120" i="13"/>
  <c r="AH119" i="13"/>
  <c r="S119" i="13"/>
  <c r="AH118" i="13"/>
  <c r="S118" i="13"/>
  <c r="N118" i="13"/>
  <c r="M118" i="13" s="1"/>
  <c r="AH117" i="13"/>
  <c r="S117" i="13"/>
  <c r="N117" i="13"/>
  <c r="AH116" i="13"/>
  <c r="S116" i="13"/>
  <c r="AH115" i="13"/>
  <c r="R115" i="13"/>
  <c r="S115" i="13" s="1"/>
  <c r="N115" i="13"/>
  <c r="AH114" i="13"/>
  <c r="T114" i="13"/>
  <c r="S114" i="13"/>
  <c r="AH113" i="13"/>
  <c r="S113" i="13"/>
  <c r="AH112" i="13"/>
  <c r="R112" i="13"/>
  <c r="S112" i="13" s="1"/>
  <c r="AH111" i="13"/>
  <c r="S111" i="13"/>
  <c r="AH110" i="13"/>
  <c r="S110" i="13"/>
  <c r="N110" i="13"/>
  <c r="M110" i="13" s="1"/>
  <c r="AH109" i="13"/>
  <c r="R109" i="13"/>
  <c r="AH108" i="13"/>
  <c r="AH107" i="13"/>
  <c r="S107" i="13"/>
  <c r="N107" i="13"/>
  <c r="M107" i="13" s="1"/>
  <c r="AH106" i="13"/>
  <c r="S106" i="13"/>
  <c r="N106" i="13"/>
  <c r="M106" i="13" s="1"/>
  <c r="AH105" i="13"/>
  <c r="S105" i="13"/>
  <c r="AH104" i="13"/>
  <c r="S104" i="13"/>
  <c r="N104" i="13"/>
  <c r="M104" i="13" s="1"/>
  <c r="AH103" i="13"/>
  <c r="S103" i="13"/>
  <c r="AH102" i="13"/>
  <c r="S102" i="13"/>
  <c r="N102" i="13"/>
  <c r="M102" i="13" s="1"/>
  <c r="AH101" i="13"/>
  <c r="S101" i="13"/>
  <c r="L101" i="13"/>
  <c r="N101" i="13" s="1"/>
  <c r="M101" i="13" s="1"/>
  <c r="AH100" i="13"/>
  <c r="S100" i="13"/>
  <c r="L100" i="13"/>
  <c r="N100" i="13" s="1"/>
  <c r="AH99" i="13"/>
  <c r="S99" i="13"/>
  <c r="N99" i="13"/>
  <c r="AH98" i="13"/>
  <c r="S98" i="13"/>
  <c r="L98" i="13"/>
  <c r="N98" i="13" s="1"/>
  <c r="M98" i="13" s="1"/>
  <c r="AH97" i="13"/>
  <c r="AH96" i="13"/>
  <c r="S96" i="13"/>
  <c r="N96" i="13"/>
  <c r="M96" i="13" s="1"/>
  <c r="AH95" i="13"/>
  <c r="S95" i="13"/>
  <c r="N95" i="13"/>
  <c r="M95" i="13" s="1"/>
  <c r="AH94" i="13"/>
  <c r="S94" i="13"/>
  <c r="N94" i="13"/>
  <c r="M94" i="13" s="1"/>
  <c r="AH93" i="13"/>
  <c r="S93" i="13"/>
  <c r="N93" i="13"/>
  <c r="M93" i="13"/>
  <c r="AH91" i="13"/>
  <c r="S91" i="13"/>
  <c r="L91" i="13"/>
  <c r="N91" i="13" s="1"/>
  <c r="M91" i="13" s="1"/>
  <c r="AH90" i="13"/>
  <c r="S90" i="13"/>
  <c r="N90" i="13"/>
  <c r="AH89" i="13"/>
  <c r="S89" i="13"/>
  <c r="L89" i="13"/>
  <c r="AH88" i="13"/>
  <c r="S88" i="13"/>
  <c r="AH87" i="13"/>
  <c r="S87" i="13"/>
  <c r="AH86" i="13"/>
  <c r="S86" i="13"/>
  <c r="AH85" i="13"/>
  <c r="R85" i="13"/>
  <c r="S85" i="13" s="1"/>
  <c r="AH84" i="13"/>
  <c r="S84" i="13"/>
  <c r="AH83" i="13"/>
  <c r="S83" i="13"/>
  <c r="L83" i="13"/>
  <c r="N83" i="13" s="1"/>
  <c r="M83" i="13" s="1"/>
  <c r="AH82" i="13"/>
  <c r="S82" i="13"/>
  <c r="N82" i="13"/>
  <c r="AH81" i="13"/>
  <c r="S81" i="13"/>
  <c r="N81" i="13"/>
  <c r="M81" i="13" s="1"/>
  <c r="AH80" i="13"/>
  <c r="S80" i="13"/>
  <c r="N80" i="13"/>
  <c r="M80" i="13" s="1"/>
  <c r="AH79" i="13"/>
  <c r="S79" i="13"/>
  <c r="L79" i="13"/>
  <c r="AH78" i="13"/>
  <c r="S78" i="13"/>
  <c r="N78" i="13"/>
  <c r="M78" i="13" s="1"/>
  <c r="AH77" i="13"/>
  <c r="S77" i="13"/>
  <c r="N77" i="13"/>
  <c r="M77" i="13" s="1"/>
  <c r="AH76" i="13"/>
  <c r="S76" i="13"/>
  <c r="L76" i="13"/>
  <c r="N76" i="13" s="1"/>
  <c r="M76" i="13" s="1"/>
  <c r="AH75" i="13"/>
  <c r="S75" i="13"/>
  <c r="L75" i="13"/>
  <c r="N75" i="13" s="1"/>
  <c r="M75" i="13" s="1"/>
  <c r="AH74" i="13"/>
  <c r="AH73" i="13"/>
  <c r="S73" i="13"/>
  <c r="M73" i="13"/>
  <c r="AH72" i="13"/>
  <c r="S72" i="13"/>
  <c r="AH71" i="13"/>
  <c r="S71" i="13"/>
  <c r="L71" i="13"/>
  <c r="N71" i="13" s="1"/>
  <c r="M71" i="13" s="1"/>
  <c r="AH70" i="13"/>
  <c r="S70" i="13"/>
  <c r="N70" i="13"/>
  <c r="M70" i="13" s="1"/>
  <c r="AH69" i="13"/>
  <c r="S69" i="13"/>
  <c r="L69" i="13"/>
  <c r="N69" i="13" s="1"/>
  <c r="M69" i="13" s="1"/>
  <c r="AH68" i="13"/>
  <c r="AH67" i="13"/>
  <c r="S67" i="13"/>
  <c r="N67" i="13"/>
  <c r="M67" i="13" s="1"/>
  <c r="AH66" i="13"/>
  <c r="S66" i="13"/>
  <c r="AH65" i="13"/>
  <c r="S65" i="13"/>
  <c r="N65" i="13"/>
  <c r="M65" i="13" s="1"/>
  <c r="AH64" i="13"/>
  <c r="S64" i="13"/>
  <c r="N64" i="13"/>
  <c r="M64" i="13" s="1"/>
  <c r="AH63" i="13"/>
  <c r="S63" i="13"/>
  <c r="AH62" i="13"/>
  <c r="S62" i="13"/>
  <c r="AH61" i="13"/>
  <c r="R61" i="13"/>
  <c r="S61" i="13" s="1"/>
  <c r="N61" i="13"/>
  <c r="AH60" i="13"/>
  <c r="S60" i="13"/>
  <c r="AH59" i="13"/>
  <c r="R59" i="13"/>
  <c r="S59" i="13" s="1"/>
  <c r="L59" i="13"/>
  <c r="AH58" i="13"/>
  <c r="S58" i="13"/>
  <c r="AH57" i="13"/>
  <c r="S57" i="13"/>
  <c r="N57" i="13"/>
  <c r="M57" i="13" s="1"/>
  <c r="AH56" i="13"/>
  <c r="S56" i="13"/>
  <c r="N56" i="13"/>
  <c r="M56" i="13" s="1"/>
  <c r="AH55" i="13"/>
  <c r="S55" i="13"/>
  <c r="N55" i="13"/>
  <c r="M55" i="13" s="1"/>
  <c r="AH54" i="13"/>
  <c r="S54" i="13"/>
  <c r="L54" i="13"/>
  <c r="N54" i="13" s="1"/>
  <c r="AH53" i="13"/>
  <c r="S53" i="13"/>
  <c r="AH52" i="13"/>
  <c r="S52" i="13"/>
  <c r="AH51" i="13"/>
  <c r="S51" i="13"/>
  <c r="AH50" i="13"/>
  <c r="S50" i="13"/>
  <c r="AH49" i="13"/>
  <c r="S49" i="13"/>
  <c r="AH48" i="13"/>
  <c r="S48" i="13"/>
  <c r="AH47" i="13"/>
  <c r="S47" i="13"/>
  <c r="AH46" i="13"/>
  <c r="S46" i="13"/>
  <c r="AH45" i="13"/>
  <c r="S45" i="13"/>
  <c r="L45" i="13"/>
  <c r="N45" i="13" s="1"/>
  <c r="S44" i="13"/>
  <c r="L44" i="13"/>
  <c r="N44" i="13" s="1"/>
  <c r="M44" i="13" s="1"/>
  <c r="AH43" i="13"/>
  <c r="S43" i="13"/>
  <c r="AH42" i="13"/>
  <c r="S42" i="13"/>
  <c r="AH41" i="13"/>
  <c r="S41" i="13"/>
  <c r="N41" i="13"/>
  <c r="M41" i="13" s="1"/>
  <c r="AH40" i="13"/>
  <c r="S40" i="13"/>
  <c r="N40" i="13"/>
  <c r="M40" i="13" s="1"/>
  <c r="AH39" i="13"/>
  <c r="N39" i="13"/>
  <c r="M39" i="13" s="1"/>
  <c r="AH38" i="13"/>
  <c r="S38" i="13"/>
  <c r="N38" i="13"/>
  <c r="AH37" i="13"/>
  <c r="S37" i="13"/>
  <c r="N37" i="13"/>
  <c r="M37" i="13" s="1"/>
  <c r="AH36" i="13"/>
  <c r="S36" i="13"/>
  <c r="N36" i="13"/>
  <c r="M36" i="13" s="1"/>
  <c r="AH35" i="13"/>
  <c r="R35" i="13"/>
  <c r="S35" i="13" s="1"/>
  <c r="N35" i="13"/>
  <c r="M35" i="13" s="1"/>
  <c r="AH34" i="13"/>
  <c r="S34" i="13"/>
  <c r="L34" i="13"/>
  <c r="N34" i="13" s="1"/>
  <c r="M34" i="13" s="1"/>
  <c r="AH33" i="13"/>
  <c r="S33" i="13"/>
  <c r="L33" i="13"/>
  <c r="N33" i="13" s="1"/>
  <c r="M33" i="13" s="1"/>
  <c r="AH32" i="13"/>
  <c r="S32" i="13"/>
  <c r="L32" i="13"/>
  <c r="N32" i="13" s="1"/>
  <c r="AH31" i="13"/>
  <c r="S31" i="13"/>
  <c r="L31" i="13"/>
  <c r="N31" i="13" s="1"/>
  <c r="AH30" i="13"/>
  <c r="S30" i="13"/>
  <c r="L30" i="13"/>
  <c r="N30" i="13" s="1"/>
  <c r="M30" i="13" s="1"/>
  <c r="AH29" i="13"/>
  <c r="S29" i="13"/>
  <c r="N29" i="13"/>
  <c r="AH28" i="13"/>
  <c r="S28" i="13"/>
  <c r="N28" i="13"/>
  <c r="M28" i="13" s="1"/>
  <c r="AH27" i="13"/>
  <c r="S27" i="13"/>
  <c r="N27" i="13"/>
  <c r="M27" i="13" s="1"/>
  <c r="AH26" i="13"/>
  <c r="S26" i="13"/>
  <c r="N26" i="13"/>
  <c r="M26" i="13"/>
  <c r="AH25" i="13"/>
  <c r="S25" i="13"/>
  <c r="L25" i="13"/>
  <c r="AH24" i="13"/>
  <c r="S24" i="13"/>
  <c r="N24" i="13"/>
  <c r="AH23" i="13"/>
  <c r="S23" i="13"/>
  <c r="N23" i="13"/>
  <c r="M23" i="13" s="1"/>
  <c r="AH22" i="13"/>
  <c r="S22" i="13"/>
  <c r="N22" i="13"/>
  <c r="M22" i="13" s="1"/>
  <c r="AH21" i="13"/>
  <c r="S21" i="13"/>
  <c r="L21" i="13"/>
  <c r="N21" i="13" s="1"/>
  <c r="M21" i="13" s="1"/>
  <c r="AH20" i="13"/>
  <c r="S20" i="13"/>
  <c r="N20" i="13"/>
  <c r="M20" i="13" s="1"/>
  <c r="AH19" i="13"/>
  <c r="S19" i="13"/>
  <c r="N19" i="13"/>
  <c r="M19" i="13" s="1"/>
  <c r="AH18" i="13"/>
  <c r="S18" i="13"/>
  <c r="L18" i="13"/>
  <c r="AH17" i="13"/>
  <c r="R17" i="13"/>
  <c r="S17" i="13" s="1"/>
  <c r="AH16" i="13"/>
  <c r="S16" i="13"/>
  <c r="N16" i="13"/>
  <c r="AH15" i="13"/>
  <c r="S15" i="13"/>
  <c r="N15" i="13"/>
  <c r="AH14" i="13"/>
  <c r="S14" i="13"/>
  <c r="AH13" i="13"/>
  <c r="R13" i="13"/>
  <c r="S13" i="13" s="1"/>
  <c r="AH12" i="13"/>
  <c r="S12" i="13"/>
  <c r="N12" i="13"/>
  <c r="AH11" i="13"/>
  <c r="N11" i="13"/>
  <c r="M11" i="13" s="1"/>
  <c r="AH10" i="13"/>
  <c r="N10" i="13"/>
  <c r="M10" i="13" s="1"/>
  <c r="AH9" i="13"/>
  <c r="N9" i="13"/>
  <c r="M9" i="13" s="1"/>
  <c r="AH8" i="13"/>
  <c r="N8" i="13"/>
  <c r="M8" i="13" s="1"/>
  <c r="AH7" i="13"/>
  <c r="M7" i="13"/>
  <c r="AH6" i="13"/>
  <c r="L6" i="13"/>
  <c r="N6" i="13" s="1"/>
  <c r="M6" i="13" s="1"/>
  <c r="AH5" i="13"/>
  <c r="N5" i="13"/>
  <c r="M5" i="13" s="1"/>
  <c r="AH4" i="13"/>
  <c r="N4" i="13"/>
  <c r="M4" i="13" s="1"/>
  <c r="AH3" i="13"/>
  <c r="S3" i="13"/>
  <c r="N3" i="13"/>
  <c r="M3" i="13" s="1"/>
  <c r="AH2" i="13"/>
  <c r="S2" i="13"/>
  <c r="N13" i="8"/>
  <c r="N26" i="8"/>
  <c r="O26" i="8" s="1"/>
  <c r="N8" i="8"/>
  <c r="N34" i="8"/>
  <c r="N19" i="8"/>
  <c r="N32" i="8"/>
  <c r="N10" i="8"/>
  <c r="C23" i="8"/>
  <c r="R1489" i="10"/>
  <c r="P1448" i="10"/>
  <c r="R1444" i="10"/>
  <c r="N1440" i="10"/>
  <c r="N1439" i="10"/>
  <c r="R1437" i="10"/>
  <c r="N1437" i="10"/>
  <c r="N1436" i="10"/>
  <c r="N1435" i="10"/>
  <c r="N1434" i="10"/>
  <c r="N1433" i="10"/>
  <c r="R1432" i="10"/>
  <c r="N1432" i="10"/>
  <c r="N1431" i="10"/>
  <c r="N1430" i="10"/>
  <c r="L1427" i="10"/>
  <c r="N1427" i="10" s="1"/>
  <c r="M1427" i="10" s="1"/>
  <c r="N1426" i="10"/>
  <c r="M1426" i="10"/>
  <c r="L1425" i="10"/>
  <c r="N1425" i="10" s="1"/>
  <c r="M1425" i="10" s="1"/>
  <c r="L1424" i="10"/>
  <c r="N1424" i="10" s="1"/>
  <c r="M1424" i="10" s="1"/>
  <c r="N1422" i="10"/>
  <c r="M1422" i="10"/>
  <c r="N1421" i="10"/>
  <c r="M1421" i="10"/>
  <c r="N1420" i="10"/>
  <c r="M1420" i="10"/>
  <c r="N1419" i="10"/>
  <c r="M1419" i="10"/>
  <c r="N1418" i="10"/>
  <c r="M1418" i="10"/>
  <c r="N1417" i="10"/>
  <c r="M1417" i="10"/>
  <c r="N1416" i="10"/>
  <c r="M1416" i="10"/>
  <c r="N1415" i="10"/>
  <c r="M1415" i="10"/>
  <c r="L1414" i="10"/>
  <c r="N1413" i="10"/>
  <c r="N1409" i="10"/>
  <c r="N1408" i="10"/>
  <c r="N1407" i="10"/>
  <c r="N1406" i="10"/>
  <c r="N1405" i="10"/>
  <c r="N1404" i="10"/>
  <c r="N1403" i="10"/>
  <c r="N1402" i="10"/>
  <c r="N1401" i="10"/>
  <c r="N1400" i="10"/>
  <c r="N1399" i="10"/>
  <c r="N1398" i="10"/>
  <c r="N1397" i="10"/>
  <c r="N1395" i="10"/>
  <c r="N1394" i="10"/>
  <c r="N1393" i="10"/>
  <c r="N1392" i="10"/>
  <c r="N1391" i="10"/>
  <c r="N1381" i="10"/>
  <c r="M1381" i="10"/>
  <c r="N1370" i="10"/>
  <c r="L1368" i="10"/>
  <c r="L1367" i="10"/>
  <c r="N1367" i="10" s="1"/>
  <c r="M1367" i="10" s="1"/>
  <c r="N1366" i="10"/>
  <c r="M1366" i="10"/>
  <c r="R1363" i="10"/>
  <c r="N1363" i="10"/>
  <c r="M1363" i="10"/>
  <c r="N1362" i="10"/>
  <c r="M1362" i="10" s="1"/>
  <c r="N1361" i="10"/>
  <c r="M1361" i="10" s="1"/>
  <c r="N1360" i="10"/>
  <c r="N1359" i="10"/>
  <c r="M1359" i="10" s="1"/>
  <c r="N1358" i="10"/>
  <c r="M1358" i="10"/>
  <c r="N1356" i="10"/>
  <c r="M1356" i="10"/>
  <c r="N1353" i="10"/>
  <c r="M1353" i="10"/>
  <c r="N1352" i="10"/>
  <c r="M1352" i="10" s="1"/>
  <c r="N1348" i="10"/>
  <c r="M1348" i="10"/>
  <c r="N1347" i="10"/>
  <c r="M1347" i="10"/>
  <c r="N1346" i="10"/>
  <c r="M1346" i="10"/>
  <c r="N1345" i="10"/>
  <c r="M1345" i="10" s="1"/>
  <c r="N1344" i="10"/>
  <c r="M1344" i="10"/>
  <c r="N1343" i="10"/>
  <c r="M1341" i="10"/>
  <c r="N1340" i="10"/>
  <c r="M1340" i="10"/>
  <c r="N1336" i="10"/>
  <c r="M1336" i="10" s="1"/>
  <c r="N1335" i="10"/>
  <c r="M1335" i="10"/>
  <c r="L1334" i="10"/>
  <c r="N1334" i="10" s="1"/>
  <c r="M1334" i="10" s="1"/>
  <c r="M1333" i="10"/>
  <c r="N1332" i="10"/>
  <c r="M1332" i="10"/>
  <c r="N1331" i="10"/>
  <c r="M1331" i="10" s="1"/>
  <c r="L1330" i="10"/>
  <c r="N1330" i="10" s="1"/>
  <c r="M1330" i="10" s="1"/>
  <c r="N1329" i="10"/>
  <c r="M1329" i="10" s="1"/>
  <c r="M1327" i="10"/>
  <c r="L1327" i="10"/>
  <c r="N1326" i="10"/>
  <c r="M1326" i="10"/>
  <c r="N1323" i="10"/>
  <c r="M1323" i="10"/>
  <c r="N1322" i="10"/>
  <c r="N1321" i="10"/>
  <c r="M1321" i="10"/>
  <c r="L1320" i="10"/>
  <c r="N1320" i="10" s="1"/>
  <c r="M1320" i="10" s="1"/>
  <c r="L1319" i="10"/>
  <c r="N1319" i="10" s="1"/>
  <c r="N1317" i="10"/>
  <c r="M1317" i="10" s="1"/>
  <c r="L1315" i="10"/>
  <c r="N1315" i="10" s="1"/>
  <c r="M1315" i="10" s="1"/>
  <c r="N1314" i="10"/>
  <c r="M1314" i="10" s="1"/>
  <c r="N1313" i="10"/>
  <c r="M1313" i="10" s="1"/>
  <c r="N1312" i="10"/>
  <c r="M1312" i="10"/>
  <c r="L1309" i="10"/>
  <c r="N1309" i="10" s="1"/>
  <c r="R1308" i="10"/>
  <c r="N1308" i="10"/>
  <c r="M1308" i="10" s="1"/>
  <c r="N1307" i="10"/>
  <c r="M1307" i="10" s="1"/>
  <c r="L1306" i="10"/>
  <c r="N1306" i="10" s="1"/>
  <c r="N1305" i="10"/>
  <c r="M1305" i="10" s="1"/>
  <c r="L1304" i="10"/>
  <c r="L1303" i="10"/>
  <c r="N1303" i="10" s="1"/>
  <c r="N1302" i="10"/>
  <c r="M1302" i="10"/>
  <c r="L1301" i="10"/>
  <c r="L1300" i="10"/>
  <c r="N1300" i="10" s="1"/>
  <c r="M1300" i="10" s="1"/>
  <c r="L1299" i="10"/>
  <c r="N1299" i="10" s="1"/>
  <c r="M1299" i="10" s="1"/>
  <c r="L1298" i="10"/>
  <c r="N1298" i="10" s="1"/>
  <c r="M1298" i="10" s="1"/>
  <c r="N1296" i="10"/>
  <c r="M1296" i="10"/>
  <c r="N1293" i="10"/>
  <c r="N1292" i="10"/>
  <c r="M1292" i="10" s="1"/>
  <c r="N1291" i="10"/>
  <c r="M1291" i="10"/>
  <c r="N1288" i="10"/>
  <c r="M1288" i="10"/>
  <c r="N1287" i="10"/>
  <c r="N1286" i="10"/>
  <c r="N1285" i="10"/>
  <c r="M1285" i="10" s="1"/>
  <c r="N1284" i="10"/>
  <c r="N1283" i="10"/>
  <c r="N1282" i="10"/>
  <c r="M1282" i="10"/>
  <c r="N1280" i="10"/>
  <c r="M1280" i="10" s="1"/>
  <c r="L1279" i="10"/>
  <c r="N1279" i="10" s="1"/>
  <c r="M1279" i="10" s="1"/>
  <c r="L1278" i="10"/>
  <c r="N1278" i="10" s="1"/>
  <c r="M1278" i="10" s="1"/>
  <c r="M1275" i="10"/>
  <c r="L1275" i="10"/>
  <c r="M1274" i="10"/>
  <c r="L1274" i="10"/>
  <c r="M1273" i="10"/>
  <c r="L1273" i="10"/>
  <c r="L1272" i="10"/>
  <c r="N1272" i="10" s="1"/>
  <c r="M1272" i="10" s="1"/>
  <c r="N1271" i="10"/>
  <c r="M1271" i="10"/>
  <c r="N1270" i="10"/>
  <c r="M1270" i="10" s="1"/>
  <c r="L1269" i="10"/>
  <c r="N1269" i="10" s="1"/>
  <c r="L1268" i="10"/>
  <c r="N1268" i="10" s="1"/>
  <c r="L1267" i="10"/>
  <c r="N1267" i="10" s="1"/>
  <c r="M1267" i="10" s="1"/>
  <c r="L1266" i="10"/>
  <c r="N1266" i="10" s="1"/>
  <c r="M1266" i="10" s="1"/>
  <c r="N1265" i="10"/>
  <c r="M1265" i="10"/>
  <c r="N1264" i="10"/>
  <c r="M1264" i="10" s="1"/>
  <c r="L1263" i="10"/>
  <c r="N1263" i="10" s="1"/>
  <c r="M1263" i="10" s="1"/>
  <c r="N1262" i="10"/>
  <c r="M1262" i="10" s="1"/>
  <c r="N1261" i="10"/>
  <c r="M1261" i="10" s="1"/>
  <c r="L1259" i="10"/>
  <c r="N1259" i="10" s="1"/>
  <c r="M1259" i="10" s="1"/>
  <c r="L1257" i="10"/>
  <c r="N1257" i="10" s="1"/>
  <c r="M1257" i="10" s="1"/>
  <c r="N1256" i="10"/>
  <c r="M1256" i="10"/>
  <c r="N1253" i="10"/>
  <c r="M1253" i="10" s="1"/>
  <c r="R1252" i="10"/>
  <c r="N1252" i="10"/>
  <c r="M1252" i="10"/>
  <c r="N1251" i="10"/>
  <c r="M1251" i="10" s="1"/>
  <c r="N1250" i="10"/>
  <c r="M1250" i="10"/>
  <c r="N1249" i="10"/>
  <c r="M1249" i="10"/>
  <c r="N1248" i="10"/>
  <c r="M1248" i="10"/>
  <c r="L1247" i="10"/>
  <c r="N1247" i="10" s="1"/>
  <c r="M1247" i="10" s="1"/>
  <c r="N1246" i="10"/>
  <c r="M1246" i="10"/>
  <c r="N1245" i="10"/>
  <c r="M1245" i="10" s="1"/>
  <c r="N1244" i="10"/>
  <c r="M1244" i="10" s="1"/>
  <c r="N1243" i="10"/>
  <c r="M1243" i="10"/>
  <c r="N1242" i="10"/>
  <c r="M1242" i="10"/>
  <c r="N1241" i="10"/>
  <c r="M1241" i="10" s="1"/>
  <c r="L1240" i="10"/>
  <c r="N1240" i="10" s="1"/>
  <c r="M1240" i="10" s="1"/>
  <c r="L1239" i="10"/>
  <c r="N1239" i="10" s="1"/>
  <c r="M1239" i="10" s="1"/>
  <c r="N1238" i="10"/>
  <c r="M1238" i="10"/>
  <c r="L1237" i="10"/>
  <c r="N1237" i="10" s="1"/>
  <c r="M1237" i="10" s="1"/>
  <c r="L1236" i="10"/>
  <c r="N1236" i="10" s="1"/>
  <c r="M1236" i="10" s="1"/>
  <c r="L1235" i="10"/>
  <c r="N1235" i="10" s="1"/>
  <c r="M1235" i="10" s="1"/>
  <c r="N1234" i="10"/>
  <c r="M1234" i="10"/>
  <c r="N1233" i="10"/>
  <c r="M1233" i="10"/>
  <c r="N1232" i="10"/>
  <c r="M1232" i="10" s="1"/>
  <c r="N1231" i="10"/>
  <c r="M1231" i="10"/>
  <c r="N1230" i="10"/>
  <c r="M1230" i="10"/>
  <c r="N1229" i="10"/>
  <c r="M1229" i="10"/>
  <c r="L1228" i="10"/>
  <c r="N1228" i="10" s="1"/>
  <c r="M1228" i="10" s="1"/>
  <c r="N1227" i="10"/>
  <c r="M1227" i="10"/>
  <c r="N1226" i="10"/>
  <c r="M1226" i="10" s="1"/>
  <c r="N1225" i="10"/>
  <c r="M1225" i="10" s="1"/>
  <c r="N1224" i="10"/>
  <c r="M1224" i="10"/>
  <c r="O1222" i="10"/>
  <c r="N1218" i="10"/>
  <c r="M1218" i="10"/>
  <c r="N1217" i="10"/>
  <c r="M1217" i="10"/>
  <c r="N1216" i="10"/>
  <c r="M1216" i="10"/>
  <c r="N1215" i="10"/>
  <c r="M1215" i="10" s="1"/>
  <c r="N1214" i="10"/>
  <c r="M1214" i="10"/>
  <c r="N1213" i="10"/>
  <c r="M1213" i="10"/>
  <c r="N1212" i="10"/>
  <c r="M1212" i="10"/>
  <c r="N1211" i="10"/>
  <c r="M1211" i="10" s="1"/>
  <c r="N1210" i="10"/>
  <c r="M1210" i="10"/>
  <c r="N1209" i="10"/>
  <c r="M1209" i="10"/>
  <c r="N1208" i="10"/>
  <c r="N1207" i="10"/>
  <c r="N1206" i="10"/>
  <c r="M1206" i="10" s="1"/>
  <c r="N1205" i="10"/>
  <c r="M1205" i="10"/>
  <c r="N1204" i="10"/>
  <c r="L1203" i="10"/>
  <c r="N1203" i="10" s="1"/>
  <c r="M1203" i="10" s="1"/>
  <c r="L1200" i="10"/>
  <c r="L1199" i="10"/>
  <c r="L1198" i="10"/>
  <c r="L1197" i="10"/>
  <c r="N1197" i="10" s="1"/>
  <c r="M1197" i="10" s="1"/>
  <c r="N1196" i="10"/>
  <c r="M1196" i="10"/>
  <c r="N1195" i="10"/>
  <c r="M1195" i="10"/>
  <c r="N1194" i="10"/>
  <c r="M1194" i="10"/>
  <c r="N1193" i="10"/>
  <c r="M1193" i="10" s="1"/>
  <c r="N1192" i="10"/>
  <c r="M1192" i="10"/>
  <c r="N1191" i="10"/>
  <c r="M1191" i="10"/>
  <c r="N1190" i="10"/>
  <c r="M1190" i="10"/>
  <c r="N1189" i="10"/>
  <c r="M1189" i="10" s="1"/>
  <c r="N1188" i="10"/>
  <c r="M1188" i="10"/>
  <c r="N1187" i="10"/>
  <c r="M1187" i="10"/>
  <c r="L1186" i="10"/>
  <c r="N1186" i="10" s="1"/>
  <c r="N1185" i="10"/>
  <c r="M1185" i="10"/>
  <c r="L1184" i="10"/>
  <c r="N1184" i="10" s="1"/>
  <c r="M1184" i="10" s="1"/>
  <c r="N1181" i="10"/>
  <c r="M1181" i="10"/>
  <c r="N1180" i="10"/>
  <c r="M1180" i="10"/>
  <c r="N1179" i="10"/>
  <c r="M1179" i="10"/>
  <c r="N1178" i="10"/>
  <c r="R1177" i="10"/>
  <c r="N1177" i="10"/>
  <c r="M1177" i="10"/>
  <c r="N1176" i="10"/>
  <c r="M1176" i="10"/>
  <c r="N1175" i="10"/>
  <c r="M1175" i="10"/>
  <c r="N1174" i="10"/>
  <c r="M1174" i="10" s="1"/>
  <c r="N1173" i="10"/>
  <c r="M1173" i="10"/>
  <c r="N1172" i="10"/>
  <c r="M1172" i="10"/>
  <c r="R1171" i="10"/>
  <c r="N1171" i="10"/>
  <c r="M1171" i="10"/>
  <c r="L1170" i="10"/>
  <c r="N1170" i="10" s="1"/>
  <c r="M1170" i="10" s="1"/>
  <c r="L1168" i="10"/>
  <c r="N1168" i="10" s="1"/>
  <c r="M1168" i="10" s="1"/>
  <c r="L1167" i="10"/>
  <c r="N1167" i="10" s="1"/>
  <c r="M1167" i="10" s="1"/>
  <c r="L1166" i="10"/>
  <c r="N1166" i="10" s="1"/>
  <c r="M1166" i="10" s="1"/>
  <c r="L1165" i="10"/>
  <c r="N1165" i="10" s="1"/>
  <c r="M1165" i="10" s="1"/>
  <c r="L1164" i="10"/>
  <c r="N1164" i="10" s="1"/>
  <c r="M1164" i="10" s="1"/>
  <c r="L1163" i="10"/>
  <c r="N1163" i="10" s="1"/>
  <c r="M1163" i="10" s="1"/>
  <c r="L1162" i="10"/>
  <c r="N1162" i="10" s="1"/>
  <c r="M1162" i="10" s="1"/>
  <c r="N1161" i="10"/>
  <c r="M1161" i="10"/>
  <c r="N1160" i="10"/>
  <c r="M1160" i="10" s="1"/>
  <c r="N1159" i="10"/>
  <c r="N1158" i="10"/>
  <c r="M1158" i="10"/>
  <c r="N1157" i="10"/>
  <c r="M1157" i="10" s="1"/>
  <c r="L1156" i="10"/>
  <c r="N1156" i="10" s="1"/>
  <c r="M1156" i="10" s="1"/>
  <c r="L1155" i="10"/>
  <c r="N1155" i="10" s="1"/>
  <c r="M1155" i="10" s="1"/>
  <c r="R1154" i="10"/>
  <c r="N1154" i="10"/>
  <c r="M1154" i="10" s="1"/>
  <c r="N1153" i="10"/>
  <c r="M1153" i="10"/>
  <c r="L1151" i="10"/>
  <c r="N1151" i="10" s="1"/>
  <c r="M1151" i="10" s="1"/>
  <c r="L1150" i="10"/>
  <c r="N1150" i="10" s="1"/>
  <c r="M1150" i="10" s="1"/>
  <c r="L1149" i="10"/>
  <c r="N1149" i="10" s="1"/>
  <c r="M1149" i="10" s="1"/>
  <c r="N1148" i="10"/>
  <c r="M1148" i="10"/>
  <c r="L1147" i="10"/>
  <c r="N1147" i="10" s="1"/>
  <c r="M1147" i="10" s="1"/>
  <c r="L1146" i="10"/>
  <c r="N1146" i="10" s="1"/>
  <c r="M1146" i="10" s="1"/>
  <c r="L1145" i="10"/>
  <c r="N1145" i="10" s="1"/>
  <c r="M1145" i="10" s="1"/>
  <c r="N1143" i="10"/>
  <c r="M1143" i="10"/>
  <c r="N1142" i="10"/>
  <c r="R1141" i="10"/>
  <c r="N1141" i="10"/>
  <c r="N1140" i="10"/>
  <c r="M1140" i="10"/>
  <c r="N1139" i="10"/>
  <c r="M1139" i="10" s="1"/>
  <c r="N1138" i="10"/>
  <c r="M1138" i="10"/>
  <c r="L1137" i="10"/>
  <c r="N1137" i="10" s="1"/>
  <c r="M1137" i="10" s="1"/>
  <c r="N1134" i="10"/>
  <c r="M1134" i="10" s="1"/>
  <c r="N1132" i="10"/>
  <c r="M1132" i="10"/>
  <c r="N1131" i="10"/>
  <c r="M1131" i="10"/>
  <c r="N1130" i="10"/>
  <c r="M1130" i="10" s="1"/>
  <c r="N1129" i="10"/>
  <c r="M1129" i="10" s="1"/>
  <c r="N1128" i="10"/>
  <c r="M1128" i="10"/>
  <c r="N1127" i="10"/>
  <c r="M1127" i="10"/>
  <c r="N1126" i="10"/>
  <c r="M1126" i="10" s="1"/>
  <c r="N1125" i="10"/>
  <c r="M1125" i="10" s="1"/>
  <c r="N1124" i="10"/>
  <c r="N1123" i="10"/>
  <c r="N1122" i="10"/>
  <c r="M1122" i="10"/>
  <c r="N1121" i="10"/>
  <c r="M1121" i="10" s="1"/>
  <c r="N1120" i="10"/>
  <c r="M1120" i="10" s="1"/>
  <c r="N1119" i="10"/>
  <c r="M1119" i="10"/>
  <c r="L1118" i="10"/>
  <c r="N1118" i="10" s="1"/>
  <c r="M1118" i="10" s="1"/>
  <c r="L1117" i="10"/>
  <c r="N1117" i="10" s="1"/>
  <c r="M1117" i="10" s="1"/>
  <c r="N1116" i="10"/>
  <c r="M1116" i="10" s="1"/>
  <c r="N1115" i="10"/>
  <c r="M1115" i="10" s="1"/>
  <c r="L1114" i="10"/>
  <c r="N1114" i="10" s="1"/>
  <c r="M1114" i="10" s="1"/>
  <c r="N1113" i="10"/>
  <c r="M1113" i="10" s="1"/>
  <c r="N1112" i="10"/>
  <c r="M1112" i="10"/>
  <c r="N1111" i="10"/>
  <c r="M1111" i="10"/>
  <c r="N1110" i="10"/>
  <c r="N1109" i="10"/>
  <c r="L1108" i="10"/>
  <c r="N1108" i="10" s="1"/>
  <c r="M1108" i="10" s="1"/>
  <c r="L1107" i="10"/>
  <c r="N1107" i="10" s="1"/>
  <c r="M1107" i="10" s="1"/>
  <c r="N1106" i="10"/>
  <c r="M1106" i="10"/>
  <c r="N1105" i="10"/>
  <c r="M1105" i="10"/>
  <c r="N1104" i="10"/>
  <c r="M1104" i="10"/>
  <c r="N1103" i="10"/>
  <c r="M1103" i="10" s="1"/>
  <c r="N1102" i="10"/>
  <c r="M1102" i="10"/>
  <c r="N1101" i="10"/>
  <c r="M1101" i="10"/>
  <c r="N1100" i="10"/>
  <c r="M1100" i="10"/>
  <c r="N1099" i="10"/>
  <c r="M1099" i="10" s="1"/>
  <c r="N1098" i="10"/>
  <c r="M1098" i="10"/>
  <c r="L1097" i="10"/>
  <c r="N1097" i="10" s="1"/>
  <c r="M1097" i="10" s="1"/>
  <c r="N1096" i="10"/>
  <c r="N1095" i="10"/>
  <c r="M1095" i="10"/>
  <c r="N1094" i="10"/>
  <c r="M1094" i="10" s="1"/>
  <c r="L1093" i="10"/>
  <c r="N1093" i="10" s="1"/>
  <c r="M1093" i="10" s="1"/>
  <c r="N1091" i="10"/>
  <c r="M1091" i="10" s="1"/>
  <c r="L1090" i="10"/>
  <c r="N1090" i="10" s="1"/>
  <c r="M1090" i="10" s="1"/>
  <c r="L1089" i="10"/>
  <c r="N1089" i="10" s="1"/>
  <c r="M1089" i="10" s="1"/>
  <c r="L1088" i="10"/>
  <c r="N1088" i="10" s="1"/>
  <c r="M1088" i="10" s="1"/>
  <c r="N1086" i="10"/>
  <c r="L1085" i="10"/>
  <c r="N1085" i="10" s="1"/>
  <c r="M1085" i="10" s="1"/>
  <c r="N1081" i="10"/>
  <c r="M1081" i="10"/>
  <c r="L1080" i="10"/>
  <c r="N1080" i="10" s="1"/>
  <c r="M1080" i="10" s="1"/>
  <c r="L1079" i="10"/>
  <c r="N1079" i="10" s="1"/>
  <c r="M1079" i="10" s="1"/>
  <c r="L1075" i="10"/>
  <c r="N1075" i="10" s="1"/>
  <c r="M1075" i="10" s="1"/>
  <c r="N1074" i="10"/>
  <c r="M1074" i="10"/>
  <c r="N1073" i="10"/>
  <c r="M1073" i="10"/>
  <c r="N1072" i="10"/>
  <c r="M1072" i="10" s="1"/>
  <c r="N1071" i="10"/>
  <c r="M1071" i="10" s="1"/>
  <c r="R1070" i="10"/>
  <c r="P1070" i="10"/>
  <c r="N1070" i="10"/>
  <c r="M1070" i="10"/>
  <c r="N1069" i="10"/>
  <c r="M1069" i="10" s="1"/>
  <c r="L1067" i="10"/>
  <c r="N1067" i="10" s="1"/>
  <c r="M1067" i="10" s="1"/>
  <c r="L1066" i="10"/>
  <c r="N1066" i="10" s="1"/>
  <c r="M1066" i="10" s="1"/>
  <c r="L1065" i="10"/>
  <c r="N1065" i="10" s="1"/>
  <c r="M1065" i="10" s="1"/>
  <c r="N1064" i="10"/>
  <c r="M1064" i="10" s="1"/>
  <c r="L1063" i="10"/>
  <c r="N1063" i="10" s="1"/>
  <c r="M1063" i="10" s="1"/>
  <c r="N1062" i="10"/>
  <c r="M1062" i="10" s="1"/>
  <c r="L1060" i="10"/>
  <c r="N1060" i="10" s="1"/>
  <c r="M1060" i="10" s="1"/>
  <c r="L1059" i="10"/>
  <c r="N1059" i="10" s="1"/>
  <c r="N1058" i="10"/>
  <c r="M1058" i="10"/>
  <c r="N1057" i="10"/>
  <c r="M1057" i="10"/>
  <c r="N1056" i="10"/>
  <c r="M1056" i="10" s="1"/>
  <c r="L1055" i="10"/>
  <c r="N1055" i="10" s="1"/>
  <c r="M1055" i="10" s="1"/>
  <c r="M1054" i="10"/>
  <c r="L1054" i="10"/>
  <c r="N1051" i="10"/>
  <c r="M1051" i="10" s="1"/>
  <c r="L1050" i="10"/>
  <c r="N1050" i="10" s="1"/>
  <c r="N1049" i="10"/>
  <c r="M1049" i="10" s="1"/>
  <c r="N1048" i="10"/>
  <c r="M1048" i="10" s="1"/>
  <c r="N1047" i="10"/>
  <c r="M1047" i="10"/>
  <c r="L1046" i="10"/>
  <c r="N1046" i="10" s="1"/>
  <c r="M1046" i="10" s="1"/>
  <c r="N1045" i="10"/>
  <c r="M1045" i="10"/>
  <c r="L1044" i="10"/>
  <c r="N1044" i="10" s="1"/>
  <c r="M1044" i="10" s="1"/>
  <c r="N1043" i="10"/>
  <c r="O1035" i="10"/>
  <c r="N1034" i="10"/>
  <c r="M1034" i="10"/>
  <c r="M1033" i="10"/>
  <c r="N1032" i="10"/>
  <c r="N1030" i="10"/>
  <c r="M1030" i="10" s="1"/>
  <c r="N1029" i="10"/>
  <c r="N1028" i="10"/>
  <c r="N1027" i="10"/>
  <c r="N1026" i="10"/>
  <c r="N1025" i="10"/>
  <c r="N1024" i="10"/>
  <c r="N1023" i="10"/>
  <c r="N1022" i="10"/>
  <c r="N1021" i="10"/>
  <c r="N1020" i="10"/>
  <c r="N1019" i="10"/>
  <c r="N1018" i="10"/>
  <c r="N1017" i="10"/>
  <c r="N1016" i="10"/>
  <c r="R1015" i="10"/>
  <c r="L1014" i="10"/>
  <c r="N1014" i="10" s="1"/>
  <c r="M1014" i="10" s="1"/>
  <c r="N1012" i="10"/>
  <c r="M1012" i="10" s="1"/>
  <c r="N1011" i="10"/>
  <c r="M1011" i="10"/>
  <c r="N1010" i="10"/>
  <c r="M1010" i="10"/>
  <c r="N1009" i="10"/>
  <c r="M1009" i="10" s="1"/>
  <c r="N1008" i="10"/>
  <c r="M1008" i="10" s="1"/>
  <c r="N1007" i="10"/>
  <c r="M1007" i="10"/>
  <c r="N1006" i="10"/>
  <c r="M1006" i="10"/>
  <c r="N1005" i="10"/>
  <c r="M1005" i="10" s="1"/>
  <c r="N1004" i="10"/>
  <c r="M1004" i="10" s="1"/>
  <c r="L1003" i="10"/>
  <c r="N1003" i="10" s="1"/>
  <c r="M1003" i="10" s="1"/>
  <c r="L1002" i="10"/>
  <c r="N1002" i="10" s="1"/>
  <c r="M1002" i="10" s="1"/>
  <c r="N1001" i="10"/>
  <c r="M1001" i="10"/>
  <c r="N1000" i="10"/>
  <c r="M1000" i="10" s="1"/>
  <c r="N999" i="10"/>
  <c r="M999" i="10" s="1"/>
  <c r="N998" i="10"/>
  <c r="M998" i="10"/>
  <c r="L995" i="10"/>
  <c r="N995" i="10" s="1"/>
  <c r="L994" i="10"/>
  <c r="N994" i="10" s="1"/>
  <c r="M994" i="10" s="1"/>
  <c r="L993" i="10"/>
  <c r="N993" i="10" s="1"/>
  <c r="M993" i="10" s="1"/>
  <c r="N992" i="10"/>
  <c r="M992" i="10"/>
  <c r="N991" i="10"/>
  <c r="M991" i="10"/>
  <c r="L990" i="10"/>
  <c r="N990" i="10" s="1"/>
  <c r="M990" i="10" s="1"/>
  <c r="N989" i="10"/>
  <c r="M989" i="10"/>
  <c r="L988" i="10"/>
  <c r="N988" i="10" s="1"/>
  <c r="M988" i="10" s="1"/>
  <c r="L987" i="10"/>
  <c r="N987" i="10" s="1"/>
  <c r="M987" i="10" s="1"/>
  <c r="N986" i="10"/>
  <c r="M986" i="10" s="1"/>
  <c r="L985" i="10"/>
  <c r="N985" i="10" s="1"/>
  <c r="M985" i="10" s="1"/>
  <c r="M983" i="10"/>
  <c r="L983" i="10"/>
  <c r="N982" i="10"/>
  <c r="M982" i="10"/>
  <c r="L977" i="10"/>
  <c r="N977" i="10" s="1"/>
  <c r="M977" i="10" s="1"/>
  <c r="L976" i="10"/>
  <c r="N976" i="10" s="1"/>
  <c r="M976" i="10" s="1"/>
  <c r="L975" i="10"/>
  <c r="N975" i="10" s="1"/>
  <c r="M975" i="10" s="1"/>
  <c r="L974" i="10"/>
  <c r="N974" i="10" s="1"/>
  <c r="M974" i="10" s="1"/>
  <c r="L973" i="10"/>
  <c r="N973" i="10" s="1"/>
  <c r="M973" i="10" s="1"/>
  <c r="L972" i="10"/>
  <c r="N972" i="10" s="1"/>
  <c r="M972" i="10" s="1"/>
  <c r="L971" i="10"/>
  <c r="N971" i="10" s="1"/>
  <c r="M971" i="10" s="1"/>
  <c r="L970" i="10"/>
  <c r="N970" i="10" s="1"/>
  <c r="M970" i="10" s="1"/>
  <c r="L969" i="10"/>
  <c r="N969" i="10" s="1"/>
  <c r="M969" i="10" s="1"/>
  <c r="L968" i="10"/>
  <c r="N968" i="10" s="1"/>
  <c r="M968" i="10" s="1"/>
  <c r="L967" i="10"/>
  <c r="N967" i="10" s="1"/>
  <c r="M967" i="10" s="1"/>
  <c r="L966" i="10"/>
  <c r="N966" i="10" s="1"/>
  <c r="M966" i="10" s="1"/>
  <c r="N965" i="10"/>
  <c r="M965" i="10" s="1"/>
  <c r="N964" i="10"/>
  <c r="M964" i="10"/>
  <c r="L963" i="10"/>
  <c r="N963" i="10" s="1"/>
  <c r="M963" i="10" s="1"/>
  <c r="L962" i="10"/>
  <c r="N962" i="10" s="1"/>
  <c r="M962" i="10" s="1"/>
  <c r="N961" i="10"/>
  <c r="M961" i="10"/>
  <c r="N960" i="10"/>
  <c r="N959" i="10"/>
  <c r="L957" i="10"/>
  <c r="N957" i="10" s="1"/>
  <c r="L956" i="10"/>
  <c r="N956" i="10" s="1"/>
  <c r="M956" i="10" s="1"/>
  <c r="N955" i="10"/>
  <c r="M955" i="10"/>
  <c r="L954" i="10"/>
  <c r="N954" i="10" s="1"/>
  <c r="M954" i="10" s="1"/>
  <c r="N953" i="10"/>
  <c r="M953" i="10"/>
  <c r="L952" i="10"/>
  <c r="N952" i="10" s="1"/>
  <c r="M952" i="10" s="1"/>
  <c r="R949" i="10"/>
  <c r="N949" i="10"/>
  <c r="M949" i="10" s="1"/>
  <c r="N948" i="10"/>
  <c r="R947" i="10"/>
  <c r="N947" i="10"/>
  <c r="M947" i="10"/>
  <c r="N946" i="10"/>
  <c r="N945" i="10"/>
  <c r="N944" i="10"/>
  <c r="N943" i="10"/>
  <c r="N942" i="10"/>
  <c r="N941" i="10"/>
  <c r="N940" i="10"/>
  <c r="N939" i="10"/>
  <c r="N938" i="10"/>
  <c r="N937" i="10"/>
  <c r="N936" i="10"/>
  <c r="N935" i="10"/>
  <c r="N934" i="10"/>
  <c r="N933" i="10"/>
  <c r="N932" i="10"/>
  <c r="N931" i="10"/>
  <c r="N930" i="10"/>
  <c r="N929" i="10"/>
  <c r="N928" i="10"/>
  <c r="N927" i="10"/>
  <c r="N926" i="10"/>
  <c r="N925" i="10"/>
  <c r="N924" i="10"/>
  <c r="N923" i="10"/>
  <c r="N922" i="10"/>
  <c r="N921" i="10"/>
  <c r="N919" i="10"/>
  <c r="M919" i="10" s="1"/>
  <c r="L918" i="10"/>
  <c r="N918" i="10" s="1"/>
  <c r="M918" i="10" s="1"/>
  <c r="N917" i="10"/>
  <c r="M917" i="10"/>
  <c r="L916" i="10"/>
  <c r="N916" i="10" s="1"/>
  <c r="M916" i="10" s="1"/>
  <c r="L915" i="10"/>
  <c r="N915" i="10" s="1"/>
  <c r="M915" i="10" s="1"/>
  <c r="R914" i="10"/>
  <c r="N914" i="10"/>
  <c r="M914" i="10" s="1"/>
  <c r="R913" i="10"/>
  <c r="N913" i="10"/>
  <c r="M913" i="10"/>
  <c r="L912" i="10"/>
  <c r="N912" i="10" s="1"/>
  <c r="M912" i="10" s="1"/>
  <c r="N910" i="10"/>
  <c r="M910" i="10"/>
  <c r="N909" i="10"/>
  <c r="M909" i="10" s="1"/>
  <c r="N908" i="10"/>
  <c r="L906" i="10"/>
  <c r="N906" i="10" s="1"/>
  <c r="M906" i="10" s="1"/>
  <c r="N905" i="10"/>
  <c r="M905" i="10"/>
  <c r="L903" i="10"/>
  <c r="N903" i="10" s="1"/>
  <c r="M903" i="10" s="1"/>
  <c r="L902" i="10"/>
  <c r="N902" i="10" s="1"/>
  <c r="M902" i="10" s="1"/>
  <c r="O901" i="10"/>
  <c r="N900" i="10"/>
  <c r="N899" i="10"/>
  <c r="N898" i="10"/>
  <c r="N897" i="10"/>
  <c r="N896" i="10"/>
  <c r="N894" i="10"/>
  <c r="M894" i="10"/>
  <c r="L893" i="10"/>
  <c r="N893" i="10" s="1"/>
  <c r="M893" i="10" s="1"/>
  <c r="N892" i="10"/>
  <c r="M892" i="10"/>
  <c r="L891" i="10"/>
  <c r="N891" i="10" s="1"/>
  <c r="M891" i="10" s="1"/>
  <c r="L890" i="10"/>
  <c r="N890" i="10" s="1"/>
  <c r="M890" i="10" s="1"/>
  <c r="L888" i="10"/>
  <c r="N888" i="10" s="1"/>
  <c r="M888" i="10" s="1"/>
  <c r="R885" i="10"/>
  <c r="N885" i="10"/>
  <c r="M885" i="10"/>
  <c r="N884" i="10"/>
  <c r="M884" i="10"/>
  <c r="L879" i="10"/>
  <c r="N879" i="10" s="1"/>
  <c r="M879" i="10" s="1"/>
  <c r="L878" i="10"/>
  <c r="N878" i="10" s="1"/>
  <c r="M878" i="10" s="1"/>
  <c r="L877" i="10"/>
  <c r="N877" i="10" s="1"/>
  <c r="M877" i="10" s="1"/>
  <c r="L876" i="10"/>
  <c r="N876" i="10" s="1"/>
  <c r="M876" i="10" s="1"/>
  <c r="L875" i="10"/>
  <c r="N875" i="10" s="1"/>
  <c r="M875" i="10" s="1"/>
  <c r="L874" i="10"/>
  <c r="N874" i="10" s="1"/>
  <c r="M874" i="10" s="1"/>
  <c r="L872" i="10"/>
  <c r="N872" i="10" s="1"/>
  <c r="M872" i="10" s="1"/>
  <c r="L869" i="10"/>
  <c r="N869" i="10" s="1"/>
  <c r="M869" i="10" s="1"/>
  <c r="L868" i="10"/>
  <c r="N868" i="10" s="1"/>
  <c r="M868" i="10" s="1"/>
  <c r="L867" i="10"/>
  <c r="N867" i="10" s="1"/>
  <c r="M867" i="10" s="1"/>
  <c r="N866" i="10"/>
  <c r="L865" i="10"/>
  <c r="N865" i="10" s="1"/>
  <c r="M865" i="10" s="1"/>
  <c r="L863" i="10"/>
  <c r="N863" i="10" s="1"/>
  <c r="M863" i="10" s="1"/>
  <c r="L862" i="10"/>
  <c r="N862" i="10" s="1"/>
  <c r="M862" i="10" s="1"/>
  <c r="L861" i="10"/>
  <c r="N861" i="10" s="1"/>
  <c r="M861" i="10" s="1"/>
  <c r="L860" i="10"/>
  <c r="N860" i="10" s="1"/>
  <c r="M860" i="10" s="1"/>
  <c r="N859" i="10"/>
  <c r="N858" i="10"/>
  <c r="L857" i="10"/>
  <c r="N857" i="10" s="1"/>
  <c r="M857" i="10" s="1"/>
  <c r="R856" i="10"/>
  <c r="L850" i="10"/>
  <c r="N850" i="10" s="1"/>
  <c r="M850" i="10" s="1"/>
  <c r="L849" i="10"/>
  <c r="N849" i="10" s="1"/>
  <c r="M849" i="10" s="1"/>
  <c r="L848" i="10"/>
  <c r="N848" i="10" s="1"/>
  <c r="M848" i="10" s="1"/>
  <c r="N845" i="10"/>
  <c r="N841" i="10"/>
  <c r="M841" i="10"/>
  <c r="L837" i="10"/>
  <c r="N837" i="10" s="1"/>
  <c r="M837" i="10" s="1"/>
  <c r="L829" i="10"/>
  <c r="N829" i="10" s="1"/>
  <c r="M829" i="10" s="1"/>
  <c r="L826" i="10"/>
  <c r="N826" i="10" s="1"/>
  <c r="M826" i="10" s="1"/>
  <c r="L825" i="10"/>
  <c r="N825" i="10" s="1"/>
  <c r="M825" i="10" s="1"/>
  <c r="N817" i="10"/>
  <c r="N813" i="10"/>
  <c r="R807" i="10"/>
  <c r="L802" i="10"/>
  <c r="N802" i="10" s="1"/>
  <c r="M802" i="10" s="1"/>
  <c r="L800" i="10"/>
  <c r="N800" i="10" s="1"/>
  <c r="M800" i="10" s="1"/>
  <c r="L797" i="10"/>
  <c r="N797" i="10" s="1"/>
  <c r="M797" i="10" s="1"/>
  <c r="L796" i="10"/>
  <c r="N796" i="10" s="1"/>
  <c r="M796" i="10" s="1"/>
  <c r="L795" i="10"/>
  <c r="N795" i="10" s="1"/>
  <c r="M795" i="10" s="1"/>
  <c r="N794" i="10"/>
  <c r="N793" i="10"/>
  <c r="N792" i="10"/>
  <c r="N791" i="10"/>
  <c r="N790" i="10"/>
  <c r="R789" i="10"/>
  <c r="N783" i="10"/>
  <c r="M783" i="10"/>
  <c r="L771" i="10"/>
  <c r="N771" i="10" s="1"/>
  <c r="M771" i="10" s="1"/>
  <c r="R767" i="10"/>
  <c r="L751" i="10"/>
  <c r="N751" i="10" s="1"/>
  <c r="M751" i="10" s="1"/>
  <c r="N741" i="10"/>
  <c r="M741" i="10"/>
  <c r="N736" i="10"/>
  <c r="N729" i="10"/>
  <c r="M729" i="10"/>
  <c r="L686" i="10"/>
  <c r="N686" i="10" s="1"/>
  <c r="M686" i="10" s="1"/>
  <c r="L685" i="10"/>
  <c r="N685" i="10" s="1"/>
  <c r="M685" i="10" s="1"/>
  <c r="L681" i="10"/>
  <c r="N681" i="10" s="1"/>
  <c r="M681" i="10" s="1"/>
  <c r="L680" i="10"/>
  <c r="N680" i="10" s="1"/>
  <c r="M680" i="10" s="1"/>
  <c r="L679" i="10"/>
  <c r="N679" i="10" s="1"/>
  <c r="M679" i="10" s="1"/>
  <c r="L675" i="10"/>
  <c r="N675" i="10" s="1"/>
  <c r="M675" i="10" s="1"/>
  <c r="N669" i="10"/>
  <c r="M649" i="10"/>
  <c r="L649" i="10"/>
  <c r="M645" i="10"/>
  <c r="L645" i="10"/>
  <c r="N635" i="10"/>
  <c r="M635" i="10"/>
  <c r="N627" i="10"/>
  <c r="L600" i="10"/>
  <c r="N600" i="10" s="1"/>
  <c r="M600" i="10" s="1"/>
  <c r="R592" i="10"/>
  <c r="N589" i="10"/>
  <c r="N588" i="10"/>
  <c r="M579" i="10"/>
  <c r="N553" i="10"/>
  <c r="M553" i="10"/>
  <c r="N542" i="10"/>
  <c r="M542" i="10"/>
  <c r="R539" i="10"/>
  <c r="R525" i="10"/>
  <c r="AE518" i="10"/>
  <c r="R511" i="10"/>
  <c r="R477" i="10"/>
  <c r="N477" i="10"/>
  <c r="R465" i="10"/>
  <c r="R464" i="10"/>
  <c r="R449" i="10"/>
  <c r="R443" i="10"/>
  <c r="R442" i="10"/>
  <c r="AE407" i="10"/>
  <c r="L407" i="10"/>
  <c r="N407" i="10" s="1"/>
  <c r="M407" i="10" s="1"/>
  <c r="N393" i="10"/>
  <c r="M393" i="10" s="1"/>
  <c r="R386" i="10"/>
  <c r="M352" i="10"/>
  <c r="P352" i="10" s="1"/>
  <c r="O352" i="10" s="1"/>
  <c r="N346" i="10"/>
  <c r="M346" i="10"/>
  <c r="N345" i="10"/>
  <c r="M345" i="10"/>
  <c r="N344" i="10"/>
  <c r="M344" i="10" s="1"/>
  <c r="R342" i="10"/>
  <c r="L306" i="10"/>
  <c r="N306" i="10" s="1"/>
  <c r="M306" i="10" s="1"/>
  <c r="AE297" i="10"/>
  <c r="AE220" i="10"/>
  <c r="R213" i="10"/>
  <c r="R210" i="10"/>
  <c r="R197" i="10"/>
  <c r="M58" i="10"/>
  <c r="AF435" i="3"/>
  <c r="N435" i="3"/>
  <c r="M435" i="3"/>
  <c r="AF434" i="3"/>
  <c r="N434" i="3"/>
  <c r="M434" i="3"/>
  <c r="AF433" i="3"/>
  <c r="N433" i="3"/>
  <c r="M433" i="3"/>
  <c r="AF432" i="3"/>
  <c r="N432" i="3"/>
  <c r="M432" i="3"/>
  <c r="AF431" i="3"/>
  <c r="AF430" i="3"/>
  <c r="L430" i="3"/>
  <c r="AF429" i="3"/>
  <c r="N429" i="3"/>
  <c r="M429" i="3"/>
  <c r="AF428" i="3"/>
  <c r="N428" i="3"/>
  <c r="M428" i="3"/>
  <c r="AF427" i="3"/>
  <c r="N427" i="3"/>
  <c r="M427" i="3"/>
  <c r="AF426" i="3"/>
  <c r="N426" i="3"/>
  <c r="M426" i="3"/>
  <c r="AF425" i="3"/>
  <c r="AF424" i="3"/>
  <c r="N424" i="3"/>
  <c r="AF423" i="3"/>
  <c r="N423" i="3"/>
  <c r="M423" i="3"/>
  <c r="AF422" i="3"/>
  <c r="AF421" i="3"/>
  <c r="N421" i="3"/>
  <c r="M421" i="3"/>
  <c r="AF420" i="3"/>
  <c r="AF419" i="3"/>
  <c r="AF418" i="3"/>
  <c r="L418" i="3"/>
  <c r="N418" i="3" s="1"/>
  <c r="M418" i="3" s="1"/>
  <c r="AF417" i="3"/>
  <c r="N417" i="3"/>
  <c r="M417" i="3"/>
  <c r="AF416" i="3"/>
  <c r="AF415" i="3"/>
  <c r="L415" i="3"/>
  <c r="N415" i="3" s="1"/>
  <c r="M415" i="3" s="1"/>
  <c r="AF414" i="3"/>
  <c r="N414" i="3"/>
  <c r="M414" i="3"/>
  <c r="AF413" i="3"/>
  <c r="N413" i="3"/>
  <c r="M413" i="3"/>
  <c r="AF412" i="3"/>
  <c r="L412" i="3"/>
  <c r="N412" i="3" s="1"/>
  <c r="M412" i="3" s="1"/>
  <c r="AF411" i="3"/>
  <c r="AF410" i="3"/>
  <c r="AF409" i="3"/>
  <c r="AF408" i="3"/>
  <c r="R408" i="3"/>
  <c r="AF407" i="3"/>
  <c r="AF406" i="3"/>
  <c r="N406" i="3"/>
  <c r="M406" i="3"/>
  <c r="AF405" i="3"/>
  <c r="AF404" i="3"/>
  <c r="N404" i="3"/>
  <c r="M404" i="3"/>
  <c r="AF403" i="3"/>
  <c r="N403" i="3"/>
  <c r="M403" i="3"/>
  <c r="AF402" i="3"/>
  <c r="AF401" i="3"/>
  <c r="AF400" i="3"/>
  <c r="N400" i="3"/>
  <c r="M400" i="3"/>
  <c r="AF399" i="3"/>
  <c r="N399" i="3"/>
  <c r="M399" i="3"/>
  <c r="AF398" i="3"/>
  <c r="L398" i="3"/>
  <c r="N398" i="3" s="1"/>
  <c r="M398" i="3" s="1"/>
  <c r="AF397" i="3"/>
  <c r="AF396" i="3"/>
  <c r="N396" i="3"/>
  <c r="AF395" i="3"/>
  <c r="N395" i="3"/>
  <c r="M395" i="3"/>
  <c r="AF394" i="3"/>
  <c r="N394" i="3"/>
  <c r="AF393" i="3"/>
  <c r="N393" i="3"/>
  <c r="M393" i="3"/>
  <c r="AF392" i="3"/>
  <c r="N392" i="3"/>
  <c r="M392" i="3"/>
  <c r="AF391" i="3"/>
  <c r="O391" i="3"/>
  <c r="AF390" i="3"/>
  <c r="AF389" i="3"/>
  <c r="N389" i="3"/>
  <c r="AF388" i="3"/>
  <c r="N388" i="3"/>
  <c r="AF387" i="3"/>
  <c r="R387" i="3"/>
  <c r="N387" i="3"/>
  <c r="AF386" i="3"/>
  <c r="N386" i="3"/>
  <c r="AF385" i="3"/>
  <c r="N385" i="3"/>
  <c r="AF384" i="3"/>
  <c r="AF383" i="3"/>
  <c r="AF382" i="3"/>
  <c r="N382" i="3"/>
  <c r="AF381" i="3"/>
  <c r="N381" i="3"/>
  <c r="AF380" i="3"/>
  <c r="N380" i="3"/>
  <c r="AF379" i="3"/>
  <c r="N379" i="3"/>
  <c r="AF378" i="3"/>
  <c r="N378" i="3"/>
  <c r="AF377" i="3"/>
  <c r="N377" i="3"/>
  <c r="AF376" i="3"/>
  <c r="AF375" i="3"/>
  <c r="N375" i="3"/>
  <c r="M375" i="3"/>
  <c r="AF374" i="3"/>
  <c r="N374" i="3"/>
  <c r="M374" i="3"/>
  <c r="AF373" i="3"/>
  <c r="L373" i="3"/>
  <c r="N373" i="3" s="1"/>
  <c r="M373" i="3" s="1"/>
  <c r="AF372" i="3"/>
  <c r="N372" i="3"/>
  <c r="M372" i="3"/>
  <c r="AF371" i="3"/>
  <c r="M371" i="3"/>
  <c r="L371" i="3"/>
  <c r="N371" i="3" s="1"/>
  <c r="AF370" i="3"/>
  <c r="AF369" i="3"/>
  <c r="AF368" i="3"/>
  <c r="AF367" i="3"/>
  <c r="AF366" i="3"/>
  <c r="AF365" i="3"/>
  <c r="AF364" i="3"/>
  <c r="AF363" i="3"/>
  <c r="AF362" i="3"/>
  <c r="AF361" i="3"/>
  <c r="AF360" i="3"/>
  <c r="AF359" i="3"/>
  <c r="AF358" i="3"/>
  <c r="AF357" i="3"/>
  <c r="AF356" i="3"/>
  <c r="AF355" i="3"/>
  <c r="AF354" i="3"/>
  <c r="AF353" i="3"/>
  <c r="AF352" i="3"/>
  <c r="AF351" i="3"/>
  <c r="L351" i="3"/>
  <c r="N351" i="3" s="1"/>
  <c r="M351" i="3" s="1"/>
  <c r="AF350" i="3"/>
  <c r="N350" i="3"/>
  <c r="M350" i="3"/>
  <c r="AF349" i="3"/>
  <c r="AF348" i="3"/>
  <c r="N348" i="3"/>
  <c r="M348" i="3"/>
  <c r="AF347" i="3"/>
  <c r="R347" i="3"/>
  <c r="AF346" i="3"/>
  <c r="AF345" i="3"/>
  <c r="N345" i="3"/>
  <c r="AF344" i="3"/>
  <c r="N344" i="3"/>
  <c r="M344" i="3"/>
  <c r="AF343" i="3"/>
  <c r="N343" i="3"/>
  <c r="AF342" i="3"/>
  <c r="R342" i="3"/>
  <c r="N342" i="3"/>
  <c r="AF341" i="3"/>
  <c r="R341" i="3"/>
  <c r="N341" i="3"/>
  <c r="AF340" i="3"/>
  <c r="R340" i="3"/>
  <c r="N340" i="3"/>
  <c r="AF339" i="3"/>
  <c r="R339" i="3"/>
  <c r="N339" i="3"/>
  <c r="AF338" i="3"/>
  <c r="R338" i="3"/>
  <c r="N338" i="3"/>
  <c r="AF337" i="3"/>
  <c r="R337" i="3"/>
  <c r="N337" i="3"/>
  <c r="AF336" i="3"/>
  <c r="N336" i="3"/>
  <c r="AF335" i="3"/>
  <c r="N335" i="3"/>
  <c r="M335" i="3"/>
  <c r="AF334" i="3"/>
  <c r="AF333" i="3"/>
  <c r="N333" i="3"/>
  <c r="AF332" i="3"/>
  <c r="R332" i="3"/>
  <c r="AF331" i="3"/>
  <c r="AF330" i="3"/>
  <c r="AF329" i="3"/>
  <c r="R329" i="3"/>
  <c r="AF328" i="3"/>
  <c r="L328" i="3"/>
  <c r="N328" i="3" s="1"/>
  <c r="M328" i="3" s="1"/>
  <c r="AF327" i="3"/>
  <c r="R327" i="3"/>
  <c r="N327" i="3"/>
  <c r="AF326" i="3"/>
  <c r="R326" i="3"/>
  <c r="AF325" i="3"/>
  <c r="R325" i="3"/>
  <c r="AF324" i="3"/>
  <c r="AF323" i="3"/>
  <c r="N323" i="3"/>
  <c r="M323" i="3"/>
  <c r="AF322" i="3"/>
  <c r="R322" i="3"/>
  <c r="AF321" i="3"/>
  <c r="AF320" i="3"/>
  <c r="N320" i="3"/>
  <c r="AF319" i="3"/>
  <c r="AF318" i="3"/>
  <c r="AF317" i="3"/>
  <c r="N317" i="3"/>
  <c r="M317" i="3"/>
  <c r="AF316" i="3"/>
  <c r="N316" i="3"/>
  <c r="M316" i="3"/>
  <c r="AF315" i="3"/>
  <c r="N315" i="3"/>
  <c r="M315" i="3"/>
  <c r="AF314" i="3"/>
  <c r="N314" i="3"/>
  <c r="AF313" i="3"/>
  <c r="AF312" i="3"/>
  <c r="N312" i="3"/>
  <c r="AF311" i="3"/>
  <c r="AF310" i="3"/>
  <c r="AF309" i="3"/>
  <c r="AF308" i="3"/>
  <c r="AF307" i="3"/>
  <c r="AF306" i="3"/>
  <c r="N306" i="3"/>
  <c r="AF305" i="3"/>
  <c r="L305" i="3"/>
  <c r="N305" i="3" s="1"/>
  <c r="M305" i="3" s="1"/>
  <c r="AF304" i="3"/>
  <c r="AF303" i="3"/>
  <c r="AF302" i="3"/>
  <c r="N302" i="3"/>
  <c r="AF301" i="3"/>
  <c r="N301" i="3"/>
  <c r="AF300" i="3"/>
  <c r="AF299" i="3"/>
  <c r="AF298" i="3"/>
  <c r="N298" i="3"/>
  <c r="M298" i="3"/>
  <c r="AF297" i="3"/>
  <c r="L297" i="3"/>
  <c r="N297" i="3" s="1"/>
  <c r="M297" i="3" s="1"/>
  <c r="AF296" i="3"/>
  <c r="R296" i="3"/>
  <c r="AF295" i="3"/>
  <c r="N295" i="3"/>
  <c r="AF294" i="3"/>
  <c r="AF293" i="3"/>
  <c r="L293" i="3"/>
  <c r="N293" i="3" s="1"/>
  <c r="M293" i="3" s="1"/>
  <c r="AF292" i="3"/>
  <c r="N292" i="3"/>
  <c r="AF291" i="3"/>
  <c r="N291" i="3"/>
  <c r="M291" i="3"/>
  <c r="AF290" i="3"/>
  <c r="AF289" i="3"/>
  <c r="L289" i="3"/>
  <c r="AF288" i="3"/>
  <c r="AF287" i="3"/>
  <c r="N287" i="3"/>
  <c r="AF286" i="3"/>
  <c r="N286" i="3"/>
  <c r="AF285" i="3"/>
  <c r="N285" i="3"/>
  <c r="M285" i="3"/>
  <c r="AF284" i="3"/>
  <c r="N284" i="3"/>
  <c r="M284" i="3"/>
  <c r="AF283" i="3"/>
  <c r="N283" i="3"/>
  <c r="AF282" i="3"/>
  <c r="N282" i="3"/>
  <c r="M282" i="3"/>
  <c r="AF281" i="3"/>
  <c r="N281" i="3"/>
  <c r="AF280" i="3"/>
  <c r="N280" i="3"/>
  <c r="AF279" i="3"/>
  <c r="AF278" i="3"/>
  <c r="AF277" i="3"/>
  <c r="AF276" i="3"/>
  <c r="AF275" i="3"/>
  <c r="R275" i="3"/>
  <c r="N275" i="3"/>
  <c r="AF274" i="3"/>
  <c r="N274" i="3"/>
  <c r="AF273" i="3"/>
  <c r="L273" i="3"/>
  <c r="N273" i="3" s="1"/>
  <c r="AF272" i="3"/>
  <c r="AF271" i="3"/>
  <c r="N271" i="3"/>
  <c r="AF270" i="3"/>
  <c r="N270" i="3"/>
  <c r="AF269" i="3"/>
  <c r="R269" i="3"/>
  <c r="N269" i="3"/>
  <c r="AF268" i="3"/>
  <c r="R268" i="3"/>
  <c r="N268" i="3"/>
  <c r="AF267" i="3"/>
  <c r="AF266" i="3"/>
  <c r="AF265" i="3"/>
  <c r="R265" i="3"/>
  <c r="AF264" i="3"/>
  <c r="N264" i="3"/>
  <c r="M264" i="3"/>
  <c r="AF263" i="3"/>
  <c r="AF262" i="3"/>
  <c r="R262" i="3"/>
  <c r="N262" i="3"/>
  <c r="AF261" i="3"/>
  <c r="N261" i="3"/>
  <c r="AF260" i="3"/>
  <c r="AF259" i="3"/>
  <c r="R259" i="3"/>
  <c r="N259" i="3"/>
  <c r="AF258" i="3"/>
  <c r="R258" i="3"/>
  <c r="N258" i="3"/>
  <c r="AF257" i="3"/>
  <c r="R257" i="3"/>
  <c r="N257" i="3"/>
  <c r="AF256" i="3"/>
  <c r="AF255" i="3"/>
  <c r="R255" i="3"/>
  <c r="N255" i="3"/>
  <c r="AF254" i="3"/>
  <c r="N254" i="3"/>
  <c r="AF253" i="3"/>
  <c r="N253" i="3"/>
  <c r="AF252" i="3"/>
  <c r="L252" i="3"/>
  <c r="AF251" i="3"/>
  <c r="N251" i="3"/>
  <c r="AF250" i="3"/>
  <c r="N250" i="3"/>
  <c r="M250" i="3"/>
  <c r="AF249" i="3"/>
  <c r="N249" i="3"/>
  <c r="M249" i="3"/>
  <c r="AF248" i="3"/>
  <c r="N248" i="3"/>
  <c r="M248" i="3"/>
  <c r="AF247" i="3"/>
  <c r="N247" i="3"/>
  <c r="M247" i="3"/>
  <c r="AF246" i="3"/>
  <c r="N246" i="3"/>
  <c r="M246" i="3"/>
  <c r="AF245" i="3"/>
  <c r="N245" i="3"/>
  <c r="M245" i="3"/>
  <c r="AF244" i="3"/>
  <c r="AF243" i="3"/>
  <c r="AF242" i="3"/>
  <c r="N242" i="3"/>
  <c r="AF241" i="3"/>
  <c r="AF240" i="3"/>
  <c r="N240" i="3"/>
  <c r="M240" i="3"/>
  <c r="AF239" i="3"/>
  <c r="N239" i="3"/>
  <c r="AF238" i="3"/>
  <c r="R238" i="3"/>
  <c r="AF237" i="3"/>
  <c r="R237" i="3"/>
  <c r="N237" i="3"/>
  <c r="AF236" i="3"/>
  <c r="N236" i="3"/>
  <c r="AF235" i="3"/>
  <c r="AF234" i="3"/>
  <c r="AF233" i="3"/>
  <c r="AF232" i="3"/>
  <c r="AF231" i="3"/>
  <c r="R231" i="3"/>
  <c r="AF230" i="3"/>
  <c r="N230" i="3"/>
  <c r="M230" i="3"/>
  <c r="AF229" i="3"/>
  <c r="N229" i="3"/>
  <c r="AF228" i="3"/>
  <c r="L228" i="3"/>
  <c r="N228" i="3" s="1"/>
  <c r="M228" i="3" s="1"/>
  <c r="AF227" i="3"/>
  <c r="N227" i="3"/>
  <c r="AF226" i="3"/>
  <c r="N226" i="3"/>
  <c r="AF225" i="3"/>
  <c r="N225" i="3"/>
  <c r="AF224" i="3"/>
  <c r="N224" i="3"/>
  <c r="AF223" i="3"/>
  <c r="N223" i="3"/>
  <c r="M223" i="3"/>
  <c r="AF222" i="3"/>
  <c r="L222" i="3"/>
  <c r="N222" i="3" s="1"/>
  <c r="M222" i="3" s="1"/>
  <c r="AF221" i="3"/>
  <c r="N221" i="3"/>
  <c r="M221" i="3"/>
  <c r="AF220" i="3"/>
  <c r="N220" i="3"/>
  <c r="M220" i="3"/>
  <c r="AF219" i="3"/>
  <c r="N219" i="3"/>
  <c r="M219" i="3"/>
  <c r="AF218" i="3"/>
  <c r="N218" i="3"/>
  <c r="M218" i="3"/>
  <c r="AF217" i="3"/>
  <c r="N217" i="3"/>
  <c r="M217" i="3"/>
  <c r="AF216" i="3"/>
  <c r="N216" i="3"/>
  <c r="M216" i="3"/>
  <c r="AF215" i="3"/>
  <c r="N215" i="3"/>
  <c r="M215" i="3"/>
  <c r="AF214" i="3"/>
  <c r="N214" i="3"/>
  <c r="AF213" i="3"/>
  <c r="R213" i="3"/>
  <c r="N213" i="3"/>
  <c r="AF212" i="3"/>
  <c r="R212" i="3"/>
  <c r="N212" i="3"/>
  <c r="AF211" i="3"/>
  <c r="R211" i="3"/>
  <c r="N211" i="3"/>
  <c r="AF210" i="3"/>
  <c r="N210" i="3"/>
  <c r="AF209" i="3"/>
  <c r="R209" i="3"/>
  <c r="N209" i="3"/>
  <c r="AF208" i="3"/>
  <c r="N208" i="3"/>
  <c r="AF207" i="3"/>
  <c r="N207" i="3"/>
  <c r="AF206" i="3"/>
  <c r="N206" i="3"/>
  <c r="AF205" i="3"/>
  <c r="N205" i="3"/>
  <c r="AF204" i="3"/>
  <c r="N204" i="3"/>
  <c r="AF203" i="3"/>
  <c r="N203" i="3"/>
  <c r="AF202" i="3"/>
  <c r="R202" i="3"/>
  <c r="N202" i="3"/>
  <c r="AF201" i="3"/>
  <c r="N201" i="3"/>
  <c r="AF200" i="3"/>
  <c r="N200" i="3"/>
  <c r="AF199" i="3"/>
  <c r="N199" i="3"/>
  <c r="AF198" i="3"/>
  <c r="N198" i="3"/>
  <c r="AF197" i="3"/>
  <c r="N197" i="3"/>
  <c r="AF196" i="3"/>
  <c r="N196" i="3"/>
  <c r="AF195" i="3"/>
  <c r="N195" i="3"/>
  <c r="AF194" i="3"/>
  <c r="N194" i="3"/>
  <c r="AF193" i="3"/>
  <c r="N193" i="3"/>
  <c r="AF192" i="3"/>
  <c r="N192" i="3"/>
  <c r="AF191" i="3"/>
  <c r="N191" i="3"/>
  <c r="M191" i="3"/>
  <c r="AF190" i="3"/>
  <c r="N190" i="3"/>
  <c r="AF189" i="3"/>
  <c r="R189" i="3"/>
  <c r="N189" i="3"/>
  <c r="AF188" i="3"/>
  <c r="AF187" i="3"/>
  <c r="N187" i="3"/>
  <c r="AF186" i="3"/>
  <c r="R186" i="3"/>
  <c r="N186" i="3"/>
  <c r="AF185" i="3"/>
  <c r="N185" i="3"/>
  <c r="AF184" i="3"/>
  <c r="AF183" i="3"/>
  <c r="N183" i="3"/>
  <c r="AF182" i="3"/>
  <c r="N182" i="3"/>
  <c r="M182" i="3"/>
  <c r="AF181" i="3"/>
  <c r="N181" i="3"/>
  <c r="AF180" i="3"/>
  <c r="AF179" i="3"/>
  <c r="L179" i="3"/>
  <c r="N179" i="3" s="1"/>
  <c r="AF178" i="3"/>
  <c r="N178" i="3"/>
  <c r="AF177" i="3"/>
  <c r="N177" i="3"/>
  <c r="AF176" i="3"/>
  <c r="N176" i="3"/>
  <c r="AF175" i="3"/>
  <c r="N175" i="3"/>
  <c r="AF174" i="3"/>
  <c r="N174" i="3"/>
  <c r="AF173" i="3"/>
  <c r="N173" i="3"/>
  <c r="AF172" i="3"/>
  <c r="N172" i="3"/>
  <c r="AF171" i="3"/>
  <c r="N171" i="3"/>
  <c r="AF170" i="3"/>
  <c r="N170" i="3"/>
  <c r="AF169" i="3"/>
  <c r="N169" i="3"/>
  <c r="AF168" i="3"/>
  <c r="N168" i="3"/>
  <c r="AF167" i="3"/>
  <c r="N167" i="3"/>
  <c r="AF166" i="3"/>
  <c r="R166" i="3"/>
  <c r="N166" i="3"/>
  <c r="AF165" i="3"/>
  <c r="R165" i="3"/>
  <c r="N165" i="3"/>
  <c r="AF164" i="3"/>
  <c r="N164" i="3"/>
  <c r="AF163" i="3"/>
  <c r="R163" i="3"/>
  <c r="N163" i="3"/>
  <c r="AF162" i="3"/>
  <c r="R162" i="3"/>
  <c r="N162" i="3"/>
  <c r="AF161" i="3"/>
  <c r="R161" i="3"/>
  <c r="N161" i="3"/>
  <c r="AF160" i="3"/>
  <c r="AF159" i="3"/>
  <c r="N159" i="3"/>
  <c r="M159" i="3"/>
  <c r="AF158" i="3"/>
  <c r="R158" i="3"/>
  <c r="N158" i="3"/>
  <c r="AF157" i="3"/>
  <c r="N157" i="3"/>
  <c r="AF156" i="3"/>
  <c r="L156" i="3"/>
  <c r="N156" i="3" s="1"/>
  <c r="AF155" i="3"/>
  <c r="N155" i="3"/>
  <c r="AF154" i="3"/>
  <c r="AF153" i="3"/>
  <c r="N153" i="3"/>
  <c r="AF152" i="3"/>
  <c r="L152" i="3"/>
  <c r="N152" i="3" s="1"/>
  <c r="AF151" i="3"/>
  <c r="AF150" i="3"/>
  <c r="L150" i="3"/>
  <c r="N150" i="3" s="1"/>
  <c r="M150" i="3" s="1"/>
  <c r="AF149" i="3"/>
  <c r="L149" i="3"/>
  <c r="N149" i="3" s="1"/>
  <c r="M149" i="3" s="1"/>
  <c r="AF148" i="3"/>
  <c r="N148" i="3"/>
  <c r="M148" i="3"/>
  <c r="AF147" i="3"/>
  <c r="N147" i="3"/>
  <c r="M147" i="3"/>
  <c r="AF146" i="3"/>
  <c r="N146" i="3"/>
  <c r="M146" i="3"/>
  <c r="AF145" i="3"/>
  <c r="N145" i="3"/>
  <c r="M145" i="3"/>
  <c r="AF144" i="3"/>
  <c r="N144" i="3"/>
  <c r="AF143" i="3"/>
  <c r="N143" i="3"/>
  <c r="M143" i="3"/>
  <c r="AF142" i="3"/>
  <c r="N142" i="3"/>
  <c r="M142" i="3"/>
  <c r="AF141" i="3"/>
  <c r="N141" i="3"/>
  <c r="AF140" i="3"/>
  <c r="N140" i="3"/>
  <c r="AF139" i="3"/>
  <c r="L139" i="3"/>
  <c r="N139" i="3" s="1"/>
  <c r="M139" i="3" s="1"/>
  <c r="AF138" i="3"/>
  <c r="N138" i="3"/>
  <c r="AF137" i="3"/>
  <c r="N137" i="3"/>
  <c r="M137" i="3"/>
  <c r="AF136" i="3"/>
  <c r="N136" i="3"/>
  <c r="AF135" i="3"/>
  <c r="R135" i="3"/>
  <c r="N135" i="3"/>
  <c r="AF134" i="3"/>
  <c r="R134" i="3"/>
  <c r="N134" i="3"/>
  <c r="AF133" i="3"/>
  <c r="R133" i="3"/>
  <c r="N133" i="3"/>
  <c r="AF132" i="3"/>
  <c r="R132" i="3"/>
  <c r="N132" i="3"/>
  <c r="AF131" i="3"/>
  <c r="L131" i="3"/>
  <c r="N131" i="3" s="1"/>
  <c r="M131" i="3" s="1"/>
  <c r="AF130" i="3"/>
  <c r="L130" i="3"/>
  <c r="N130" i="3" s="1"/>
  <c r="M130" i="3" s="1"/>
  <c r="AF129" i="3"/>
  <c r="N129" i="3"/>
  <c r="M129" i="3"/>
  <c r="AF128" i="3"/>
  <c r="N128" i="3"/>
  <c r="M128" i="3"/>
  <c r="AF127" i="3"/>
  <c r="N127" i="3"/>
  <c r="M127" i="3"/>
  <c r="AF126" i="3"/>
  <c r="L126" i="3"/>
  <c r="N126" i="3" s="1"/>
  <c r="AF125" i="3"/>
  <c r="N125" i="3"/>
  <c r="M125" i="3"/>
  <c r="AF124" i="3"/>
  <c r="L124" i="3"/>
  <c r="N124" i="3" s="1"/>
  <c r="M124" i="3" s="1"/>
  <c r="AF123" i="3"/>
  <c r="M123" i="3"/>
  <c r="AF122" i="3"/>
  <c r="L122" i="3"/>
  <c r="N122" i="3" s="1"/>
  <c r="M122" i="3" s="1"/>
  <c r="AF121" i="3"/>
  <c r="N121" i="3"/>
  <c r="AF120" i="3"/>
  <c r="N120" i="3"/>
  <c r="M120" i="3"/>
  <c r="AF119" i="3"/>
  <c r="L119" i="3"/>
  <c r="N119" i="3" s="1"/>
  <c r="M119" i="3" s="1"/>
  <c r="AF118" i="3"/>
  <c r="N118" i="3"/>
  <c r="AF117" i="3"/>
  <c r="N117" i="3"/>
  <c r="AF116" i="3"/>
  <c r="N116" i="3"/>
  <c r="AF115" i="3"/>
  <c r="N115" i="3"/>
  <c r="M115" i="3"/>
  <c r="AF114" i="3"/>
  <c r="AF113" i="3"/>
  <c r="N113" i="3"/>
  <c r="M113" i="3"/>
  <c r="AF112" i="3"/>
  <c r="N112" i="3"/>
  <c r="M112" i="3"/>
  <c r="AF111" i="3"/>
  <c r="N111" i="3"/>
  <c r="M111" i="3"/>
  <c r="AF110" i="3"/>
  <c r="N110" i="3"/>
  <c r="M110" i="3"/>
  <c r="AF109" i="3"/>
  <c r="N109" i="3"/>
  <c r="AF108" i="3"/>
  <c r="N108" i="3"/>
  <c r="M108" i="3"/>
  <c r="AF107" i="3"/>
  <c r="N107" i="3"/>
  <c r="M107" i="3"/>
  <c r="AF106" i="3"/>
  <c r="N106" i="3"/>
  <c r="M106" i="3"/>
  <c r="AF105" i="3"/>
  <c r="L105" i="3"/>
  <c r="N105" i="3" s="1"/>
  <c r="M105" i="3" s="1"/>
  <c r="AF104" i="3"/>
  <c r="N104" i="3"/>
  <c r="M104" i="3"/>
  <c r="AF103" i="3"/>
  <c r="N103" i="3"/>
  <c r="M103" i="3"/>
  <c r="AF102" i="3"/>
  <c r="N102" i="3"/>
  <c r="M102" i="3"/>
  <c r="AF101" i="3"/>
  <c r="N101" i="3"/>
  <c r="M101" i="3"/>
  <c r="AF100" i="3"/>
  <c r="L100" i="3"/>
  <c r="N100" i="3" s="1"/>
  <c r="M100" i="3" s="1"/>
  <c r="AF99" i="3"/>
  <c r="R99" i="3"/>
  <c r="N99" i="3"/>
  <c r="M99" i="3"/>
  <c r="AF98" i="3"/>
  <c r="N98" i="3"/>
  <c r="M98" i="3"/>
  <c r="AF97" i="3"/>
  <c r="N97" i="3"/>
  <c r="M97" i="3"/>
  <c r="AF96" i="3"/>
  <c r="N96" i="3"/>
  <c r="M96" i="3"/>
  <c r="AF95" i="3"/>
  <c r="N95" i="3"/>
  <c r="M95" i="3"/>
  <c r="AF94" i="3"/>
  <c r="N94" i="3"/>
  <c r="M94" i="3"/>
  <c r="AF93" i="3"/>
  <c r="N93" i="3"/>
  <c r="M93" i="3"/>
  <c r="AF92" i="3"/>
  <c r="N92" i="3"/>
  <c r="AF91" i="3"/>
  <c r="L91" i="3"/>
  <c r="N91" i="3" s="1"/>
  <c r="M91" i="3" s="1"/>
  <c r="AF90" i="3"/>
  <c r="L90" i="3"/>
  <c r="N90" i="3" s="1"/>
  <c r="M90" i="3" s="1"/>
  <c r="AF89" i="3"/>
  <c r="L89" i="3"/>
  <c r="N89" i="3" s="1"/>
  <c r="M89" i="3" s="1"/>
  <c r="AF88" i="3"/>
  <c r="L88" i="3"/>
  <c r="N88" i="3" s="1"/>
  <c r="M88" i="3" s="1"/>
  <c r="AF87" i="3"/>
  <c r="N87" i="3"/>
  <c r="M87" i="3"/>
  <c r="AF86" i="3"/>
  <c r="N86" i="3"/>
  <c r="M86" i="3"/>
  <c r="AF85" i="3"/>
  <c r="N85" i="3"/>
  <c r="M85" i="3"/>
  <c r="AF84" i="3"/>
  <c r="N84" i="3"/>
  <c r="M84" i="3"/>
  <c r="AF83" i="3"/>
  <c r="L83" i="3"/>
  <c r="N83" i="3" s="1"/>
  <c r="M83" i="3" s="1"/>
  <c r="AF82" i="3"/>
  <c r="L82" i="3"/>
  <c r="N82" i="3" s="1"/>
  <c r="M82" i="3" s="1"/>
  <c r="AF81" i="3"/>
  <c r="L81" i="3"/>
  <c r="N81" i="3" s="1"/>
  <c r="M81" i="3" s="1"/>
  <c r="AF80" i="3"/>
  <c r="N80" i="3"/>
  <c r="M80" i="3"/>
  <c r="AF79" i="3"/>
  <c r="N79" i="3"/>
  <c r="M79" i="3"/>
  <c r="AF78" i="3"/>
  <c r="N78" i="3"/>
  <c r="M78" i="3"/>
  <c r="AF77" i="3"/>
  <c r="N77" i="3"/>
  <c r="M77" i="3"/>
  <c r="AF76" i="3"/>
  <c r="N76" i="3"/>
  <c r="M76" i="3"/>
  <c r="AF75" i="3"/>
  <c r="N75" i="3"/>
  <c r="M75" i="3"/>
  <c r="AF74" i="3"/>
  <c r="L74" i="3"/>
  <c r="N74" i="3" s="1"/>
  <c r="M74" i="3" s="1"/>
  <c r="AF73" i="3"/>
  <c r="N73" i="3"/>
  <c r="M73" i="3"/>
  <c r="AF72" i="3"/>
  <c r="N72" i="3"/>
  <c r="M72" i="3"/>
  <c r="AF71" i="3"/>
  <c r="P71" i="3"/>
  <c r="N71" i="3"/>
  <c r="M71" i="3"/>
  <c r="AF70" i="3"/>
  <c r="N70" i="3"/>
  <c r="M70" i="3"/>
  <c r="AF69" i="3"/>
  <c r="L69" i="3"/>
  <c r="N69" i="3" s="1"/>
  <c r="M69" i="3" s="1"/>
  <c r="AF68" i="3"/>
  <c r="L68" i="3"/>
  <c r="N68" i="3" s="1"/>
  <c r="M68" i="3" s="1"/>
  <c r="AF67" i="3"/>
  <c r="L67" i="3"/>
  <c r="N67" i="3" s="1"/>
  <c r="M67" i="3" s="1"/>
  <c r="AF66" i="3"/>
  <c r="N66" i="3"/>
  <c r="M66" i="3"/>
  <c r="AF65" i="3"/>
  <c r="N65" i="3"/>
  <c r="M65" i="3"/>
  <c r="AF64" i="3"/>
  <c r="L64" i="3"/>
  <c r="N64" i="3" s="1"/>
  <c r="M64" i="3" s="1"/>
  <c r="AF63" i="3"/>
  <c r="L63" i="3"/>
  <c r="N63" i="3" s="1"/>
  <c r="M63" i="3" s="1"/>
  <c r="AF62" i="3"/>
  <c r="N62" i="3"/>
  <c r="M62" i="3"/>
  <c r="AF61" i="3"/>
  <c r="AF60" i="3"/>
  <c r="AF59" i="3"/>
  <c r="N59" i="3"/>
  <c r="M59" i="3"/>
  <c r="AF58" i="3"/>
  <c r="N58" i="3"/>
  <c r="M58" i="3"/>
  <c r="AF57" i="3"/>
  <c r="L57" i="3"/>
  <c r="N57" i="3" s="1"/>
  <c r="M57" i="3" s="1"/>
  <c r="AF56" i="3"/>
  <c r="L56" i="3"/>
  <c r="N56" i="3" s="1"/>
  <c r="AF55" i="3"/>
  <c r="L55" i="3"/>
  <c r="N55" i="3" s="1"/>
  <c r="M55" i="3" s="1"/>
  <c r="AF54" i="3"/>
  <c r="L54" i="3"/>
  <c r="N54" i="3" s="1"/>
  <c r="M54" i="3" s="1"/>
  <c r="AF53" i="3"/>
  <c r="L53" i="3"/>
  <c r="N53" i="3" s="1"/>
  <c r="M53" i="3" s="1"/>
  <c r="AF52" i="3"/>
  <c r="L52" i="3"/>
  <c r="N52" i="3" s="1"/>
  <c r="AF51" i="3"/>
  <c r="N51" i="3"/>
  <c r="M51" i="3"/>
  <c r="AF50" i="3"/>
  <c r="L50" i="3"/>
  <c r="N50" i="3" s="1"/>
  <c r="AF49" i="3"/>
  <c r="L49" i="3"/>
  <c r="N49" i="3" s="1"/>
  <c r="M49" i="3" s="1"/>
  <c r="AF48" i="3"/>
  <c r="L48" i="3"/>
  <c r="N48" i="3" s="1"/>
  <c r="M48" i="3" s="1"/>
  <c r="AF47" i="3"/>
  <c r="N47" i="3"/>
  <c r="M47" i="3"/>
  <c r="AF46" i="3"/>
  <c r="N46" i="3"/>
  <c r="M46" i="3"/>
  <c r="AF45" i="3"/>
  <c r="L45" i="3"/>
  <c r="N45" i="3" s="1"/>
  <c r="AF44" i="3"/>
  <c r="L44" i="3"/>
  <c r="N44" i="3" s="1"/>
  <c r="AF43" i="3"/>
  <c r="L43" i="3"/>
  <c r="N43" i="3" s="1"/>
  <c r="M43" i="3" s="1"/>
  <c r="AF42" i="3"/>
  <c r="L42" i="3"/>
  <c r="N42" i="3" s="1"/>
  <c r="M42" i="3" s="1"/>
  <c r="AF41" i="3"/>
  <c r="L41" i="3"/>
  <c r="N41" i="3" s="1"/>
  <c r="M41" i="3" s="1"/>
  <c r="AF40" i="3"/>
  <c r="N40" i="3"/>
  <c r="M40" i="3"/>
  <c r="AF39" i="3"/>
  <c r="L39" i="3"/>
  <c r="N39" i="3" s="1"/>
  <c r="AF38" i="3"/>
  <c r="L38" i="3"/>
  <c r="N38" i="3" s="1"/>
  <c r="M38" i="3" s="1"/>
  <c r="AF37" i="3"/>
  <c r="N37" i="3"/>
  <c r="M37" i="3"/>
  <c r="AF36" i="3"/>
  <c r="L36" i="3"/>
  <c r="N36" i="3" s="1"/>
  <c r="M36" i="3" s="1"/>
  <c r="AF35" i="3"/>
  <c r="N35" i="3"/>
  <c r="M35" i="3"/>
  <c r="AF34" i="3"/>
  <c r="R34" i="3"/>
  <c r="N34" i="3"/>
  <c r="M34" i="3"/>
  <c r="AF33" i="3"/>
  <c r="N33" i="3"/>
  <c r="M33" i="3"/>
  <c r="AF32" i="3"/>
  <c r="N32" i="3"/>
  <c r="M32" i="3"/>
  <c r="AF31" i="3"/>
  <c r="R31" i="3"/>
  <c r="N31" i="3"/>
  <c r="M31" i="3"/>
  <c r="AF30" i="3"/>
  <c r="N30" i="3"/>
  <c r="M30" i="3"/>
  <c r="AF29" i="3"/>
  <c r="N29" i="3"/>
  <c r="M29" i="3"/>
  <c r="AF28" i="3"/>
  <c r="N28" i="3"/>
  <c r="M28" i="3"/>
  <c r="AF27" i="3"/>
  <c r="N27" i="3"/>
  <c r="M27" i="3"/>
  <c r="AF26" i="3"/>
  <c r="L26" i="3"/>
  <c r="N26" i="3" s="1"/>
  <c r="M26" i="3" s="1"/>
  <c r="AF25" i="3"/>
  <c r="L25" i="3"/>
  <c r="N25" i="3" s="1"/>
  <c r="M25" i="3" s="1"/>
  <c r="AF24" i="3"/>
  <c r="L24" i="3"/>
  <c r="N24" i="3" s="1"/>
  <c r="M24" i="3" s="1"/>
  <c r="AF23" i="3"/>
  <c r="M23" i="3"/>
  <c r="L23" i="3"/>
  <c r="AF22" i="3"/>
  <c r="L22" i="3"/>
  <c r="N22" i="3" s="1"/>
  <c r="M22" i="3" s="1"/>
  <c r="AF21" i="3"/>
  <c r="L21" i="3"/>
  <c r="N21" i="3" s="1"/>
  <c r="M21" i="3" s="1"/>
  <c r="AF20" i="3"/>
  <c r="L20" i="3"/>
  <c r="N20" i="3" s="1"/>
  <c r="M20" i="3" s="1"/>
  <c r="AF19" i="3"/>
  <c r="L19" i="3"/>
  <c r="N19" i="3" s="1"/>
  <c r="M19" i="3" s="1"/>
  <c r="AF18" i="3"/>
  <c r="L18" i="3"/>
  <c r="N18" i="3" s="1"/>
  <c r="M18" i="3" s="1"/>
  <c r="AF17" i="3"/>
  <c r="L17" i="3"/>
  <c r="N17" i="3" s="1"/>
  <c r="M17" i="3" s="1"/>
  <c r="AF16" i="3"/>
  <c r="N16" i="3"/>
  <c r="M16" i="3"/>
  <c r="AF15" i="3"/>
  <c r="N15" i="3"/>
  <c r="M15" i="3"/>
  <c r="AF14" i="3"/>
  <c r="N14" i="3"/>
  <c r="M14" i="3"/>
  <c r="AF13" i="3"/>
  <c r="N13" i="3"/>
  <c r="M13" i="3"/>
  <c r="AF12" i="3"/>
  <c r="N12" i="3"/>
  <c r="M12" i="3"/>
  <c r="AF11" i="3"/>
  <c r="L11" i="3"/>
  <c r="N11" i="3" s="1"/>
  <c r="M11" i="3" s="1"/>
  <c r="AF10" i="3"/>
  <c r="L10" i="3"/>
  <c r="N10" i="3" s="1"/>
  <c r="M10" i="3" s="1"/>
  <c r="AF9" i="3"/>
  <c r="N9" i="3"/>
  <c r="M9" i="3"/>
  <c r="AF8" i="3"/>
  <c r="N8" i="3"/>
  <c r="M8" i="3"/>
  <c r="AF7" i="3"/>
  <c r="N7" i="3"/>
  <c r="M7" i="3"/>
  <c r="AF6" i="3"/>
  <c r="N6" i="3"/>
  <c r="AF5" i="3"/>
  <c r="N5" i="3"/>
  <c r="AF4" i="3"/>
  <c r="N4" i="3"/>
  <c r="AF3" i="3"/>
  <c r="AF2" i="3"/>
  <c r="O2" i="3"/>
  <c r="M2" i="3"/>
  <c r="O10" i="8" l="1"/>
  <c r="T109" i="13"/>
  <c r="S109" i="13"/>
  <c r="O8" i="8"/>
  <c r="N28" i="8"/>
  <c r="O28" i="8" s="1"/>
  <c r="H27" i="8"/>
  <c r="I27" i="8" s="1"/>
  <c r="J20" i="8"/>
  <c r="J11" i="8"/>
  <c r="C5" i="8"/>
  <c r="D5" i="8" s="1"/>
  <c r="J16" i="8"/>
  <c r="J17" i="8"/>
  <c r="J8" i="8"/>
  <c r="J24" i="8"/>
  <c r="N12" i="8"/>
  <c r="J6" i="8"/>
  <c r="J12" i="8"/>
  <c r="J36" i="8"/>
  <c r="C29" i="8"/>
  <c r="G29" i="8" s="1"/>
  <c r="H29" i="8" s="1"/>
  <c r="I29" i="8" s="1"/>
  <c r="C35" i="8"/>
  <c r="G35" i="8" s="1"/>
  <c r="H35" i="8" s="1"/>
  <c r="J18" i="8"/>
  <c r="J33" i="8"/>
  <c r="C11" i="8"/>
  <c r="G11" i="8" s="1"/>
  <c r="H11" i="8" s="1"/>
  <c r="I11" i="8" s="1"/>
  <c r="J34" i="8"/>
  <c r="C9" i="8"/>
  <c r="D9" i="8" s="1"/>
  <c r="J25" i="8"/>
  <c r="J29" i="8"/>
  <c r="J13" i="8"/>
  <c r="J7" i="8"/>
  <c r="J26" i="8"/>
  <c r="J15" i="8"/>
  <c r="J10" i="8"/>
  <c r="J9" i="8"/>
  <c r="J32" i="8"/>
  <c r="C21" i="8"/>
  <c r="G21" i="8" s="1"/>
  <c r="J37" i="8"/>
  <c r="J5" i="8"/>
  <c r="C12" i="8"/>
  <c r="D12" i="8" s="1"/>
  <c r="C16" i="8"/>
  <c r="D16" i="8" s="1"/>
  <c r="J23" i="8"/>
  <c r="C25" i="8"/>
  <c r="G25" i="8" s="1"/>
  <c r="H25" i="8" s="1"/>
  <c r="J38" i="8"/>
  <c r="C20" i="8"/>
  <c r="G20" i="8" s="1"/>
  <c r="N37" i="8"/>
  <c r="C38" i="8"/>
  <c r="D38" i="8" s="1"/>
  <c r="J14" i="8"/>
  <c r="J35" i="8"/>
  <c r="J22" i="8"/>
  <c r="J28" i="8"/>
  <c r="J19" i="8"/>
  <c r="J21" i="8"/>
  <c r="N9" i="8"/>
  <c r="O9" i="8" s="1"/>
  <c r="G23" i="8"/>
  <c r="C24" i="8"/>
  <c r="C28" i="8"/>
  <c r="C33" i="8"/>
  <c r="C37" i="8"/>
  <c r="C17" i="8"/>
  <c r="C18" i="8"/>
  <c r="C22" i="8"/>
  <c r="C36" i="8"/>
  <c r="C6" i="8"/>
  <c r="C8" i="8"/>
  <c r="C26" i="8"/>
  <c r="C32" i="8"/>
  <c r="C34" i="8"/>
  <c r="C14" i="8"/>
  <c r="C19" i="8"/>
  <c r="C7" i="8"/>
  <c r="C10" i="8"/>
  <c r="C13" i="8"/>
  <c r="C15" i="8"/>
  <c r="G5" i="8" l="1"/>
  <c r="H5" i="8" s="1"/>
  <c r="I5" i="8" s="1"/>
  <c r="G38" i="8"/>
  <c r="H38" i="8" s="1"/>
  <c r="I38" i="8" s="1"/>
  <c r="G9" i="8"/>
  <c r="H9" i="8" s="1"/>
  <c r="D25" i="8"/>
  <c r="D20" i="8"/>
  <c r="D29" i="8"/>
  <c r="D11" i="8"/>
  <c r="D35" i="8"/>
  <c r="D21" i="8"/>
  <c r="G16" i="8"/>
  <c r="H16" i="8" s="1"/>
  <c r="I16" i="8" s="1"/>
  <c r="I25" i="8"/>
  <c r="G12" i="8"/>
  <c r="H12" i="8" s="1"/>
  <c r="I12" i="8" s="1"/>
  <c r="H23" i="8"/>
  <c r="I23" i="8" s="1"/>
  <c r="H20" i="8"/>
  <c r="I20" i="8" s="1"/>
  <c r="G36" i="8"/>
  <c r="H36" i="8" s="1"/>
  <c r="I36" i="8" s="1"/>
  <c r="D36" i="8"/>
  <c r="I35" i="8"/>
  <c r="G22" i="8"/>
  <c r="H22" i="8" s="1"/>
  <c r="I22" i="8" s="1"/>
  <c r="D22" i="8"/>
  <c r="G19" i="8"/>
  <c r="H19" i="8" s="1"/>
  <c r="I19" i="8" s="1"/>
  <c r="D19" i="8"/>
  <c r="G18" i="8"/>
  <c r="D18" i="8"/>
  <c r="G7" i="8"/>
  <c r="D7" i="8"/>
  <c r="G14" i="8"/>
  <c r="D14" i="8"/>
  <c r="G17" i="8"/>
  <c r="D17" i="8"/>
  <c r="G34" i="8"/>
  <c r="D34" i="8"/>
  <c r="G37" i="8"/>
  <c r="D37" i="8"/>
  <c r="G32" i="8"/>
  <c r="D32" i="8"/>
  <c r="G33" i="8"/>
  <c r="D33" i="8"/>
  <c r="G26" i="8"/>
  <c r="H26" i="8" s="1"/>
  <c r="D26" i="8"/>
  <c r="G28" i="8"/>
  <c r="D28" i="8"/>
  <c r="G15" i="8"/>
  <c r="D15" i="8"/>
  <c r="G8" i="8"/>
  <c r="D8" i="8"/>
  <c r="G24" i="8"/>
  <c r="D24" i="8"/>
  <c r="G6" i="8"/>
  <c r="D6" i="8"/>
  <c r="H21" i="8"/>
  <c r="I21" i="8" s="1"/>
  <c r="G13" i="8"/>
  <c r="H13" i="8" s="1"/>
  <c r="I13" i="8" s="1"/>
  <c r="D13" i="8"/>
  <c r="G10" i="8"/>
  <c r="H10" i="8" s="1"/>
  <c r="D10" i="8"/>
  <c r="I9" i="8" l="1"/>
  <c r="H14" i="8"/>
  <c r="I14" i="8" s="1"/>
  <c r="H37" i="8"/>
  <c r="I37" i="8" s="1"/>
  <c r="I26" i="8"/>
  <c r="H6" i="8"/>
  <c r="I6" i="8" s="1"/>
  <c r="H15" i="8"/>
  <c r="I15" i="8" s="1"/>
  <c r="H33" i="8"/>
  <c r="I33" i="8" s="1"/>
  <c r="H34" i="8"/>
  <c r="I34" i="8" s="1"/>
  <c r="H7" i="8"/>
  <c r="I7" i="8" s="1"/>
  <c r="I10" i="8"/>
  <c r="H24" i="8"/>
  <c r="I24" i="8" s="1"/>
  <c r="H28" i="8"/>
  <c r="I28" i="8" s="1"/>
  <c r="H32" i="8"/>
  <c r="I32" i="8" s="1"/>
  <c r="H17" i="8"/>
  <c r="I17" i="8" s="1"/>
  <c r="H18" i="8"/>
  <c r="I18" i="8" s="1"/>
  <c r="H8" i="8"/>
  <c r="I8" i="8" s="1"/>
  <c r="N39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Simpson</author>
    <author>tc={C861D2F1-25B6-4B0F-A753-0819AB2D75ED}</author>
  </authors>
  <commentList>
    <comment ref="O62" authorId="0" shapeId="0" xr:uid="{B24C7D0D-78A9-45B7-9957-CC9866654195}">
      <text>
        <r>
          <rPr>
            <b/>
            <sz val="9"/>
            <color indexed="81"/>
            <rFont val="Tahoma"/>
            <family val="2"/>
          </rPr>
          <t>Martin Simpson:</t>
        </r>
        <r>
          <rPr>
            <sz val="9"/>
            <color indexed="81"/>
            <rFont val="Tahoma"/>
            <family val="2"/>
          </rPr>
          <t xml:space="preserve">
G4 agreed, start date now 2022 from 01/03/2020
</t>
        </r>
      </text>
    </comment>
    <comment ref="O139" authorId="1" shapeId="0" xr:uid="{00000000-0006-0000-0200-000008000000}">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@Sophie Midcalf can you update this information please.</t>
      </text>
    </comment>
    <comment ref="R194" authorId="0" shapeId="0" xr:uid="{2ACDA498-8B87-4CFC-885A-368216649871}">
      <text>
        <r>
          <rPr>
            <sz val="12"/>
            <color theme="1"/>
            <rFont val="Arial"/>
            <family val="2"/>
          </rPr>
          <t>Martin Simpson:
Est</t>
        </r>
      </text>
    </comment>
    <comment ref="R204" authorId="0" shapeId="0" xr:uid="{8ABABC61-4296-48A3-A5D4-4AE05335548D}">
      <text>
        <r>
          <rPr>
            <sz val="12"/>
            <color theme="1"/>
            <rFont val="Arial"/>
            <family val="2"/>
          </rPr>
          <t>Martin Simpson:
Est</t>
        </r>
      </text>
    </comment>
    <comment ref="R206" authorId="0" shapeId="0" xr:uid="{39887301-0634-4948-964F-A7D457C589D3}">
      <text>
        <r>
          <rPr>
            <sz val="12"/>
            <color theme="1"/>
            <rFont val="Arial"/>
            <family val="2"/>
          </rPr>
          <t>Martin Simpson:
Est.</t>
        </r>
      </text>
    </comment>
    <comment ref="R207" authorId="0" shapeId="0" xr:uid="{DC140FE3-F1B6-49C8-B745-18ED8FFCAB88}">
      <text>
        <r>
          <rPr>
            <sz val="12"/>
            <color theme="1"/>
            <rFont val="Arial"/>
            <family val="2"/>
          </rPr>
          <t>Martin Simpson:
Est.</t>
        </r>
      </text>
    </comment>
    <comment ref="R265" authorId="0" shapeId="0" xr:uid="{87163614-4AFA-4F01-8BF5-4B29BE7D2E36}">
      <text>
        <r>
          <rPr>
            <sz val="12"/>
            <color theme="1"/>
            <rFont val="Arial"/>
            <family val="2"/>
          </rPr>
          <t>Martin Simpson:
Seamer £20M
Thirsk £5M
Scarb £5.9M now 7.1M 
all including 10% local investment
Malton £20M (18+2 local investment)
Catterick £20M</t>
        </r>
      </text>
    </comment>
    <comment ref="O325" authorId="0" shapeId="0" xr:uid="{7B87F252-E46F-4CDC-A623-4BF4BC3A4FE1}">
      <text>
        <r>
          <rPr>
            <sz val="12"/>
            <color theme="1"/>
            <rFont val="Arial"/>
            <family val="2"/>
          </rPr>
          <t>Martin Simpson:
pdf dated 01/03/2023 unachievable</t>
        </r>
      </text>
    </comment>
    <comment ref="R325" authorId="0" shapeId="0" xr:uid="{446947CE-022B-40ED-B41E-3D6748AD8787}">
      <text>
        <r>
          <rPr>
            <sz val="12"/>
            <color theme="1"/>
            <rFont val="Arial"/>
            <family val="2"/>
          </rPr>
          <t xml:space="preserve">Martin Simpson:
£655,736 on sheet, but math built on two individual projects as herein </t>
        </r>
      </text>
    </comment>
    <comment ref="O326" authorId="0" shapeId="0" xr:uid="{D0AA2B5C-7FE6-4FD1-B486-8A90FE7A9640}">
      <text>
        <r>
          <rPr>
            <sz val="12"/>
            <color theme="1"/>
            <rFont val="Arial"/>
            <family val="2"/>
          </rPr>
          <t>Martin Simpson:
pdf dated 01/02/2023 unachievable</t>
        </r>
      </text>
    </comment>
    <comment ref="R336" authorId="0" shapeId="0" xr:uid="{B888997C-DF73-465C-8AE0-016E90275BF1}">
      <text>
        <r>
          <rPr>
            <sz val="12"/>
            <color theme="1"/>
            <rFont val="Arial"/>
            <family val="2"/>
          </rPr>
          <t>Martin Simpson:
Est.</t>
        </r>
      </text>
    </comment>
    <comment ref="O404" authorId="0" shapeId="0" xr:uid="{5C8C0EB0-AC18-436A-B393-53012A690FEA}">
      <text>
        <r>
          <rPr>
            <sz val="12"/>
            <color theme="1"/>
            <rFont val="Arial"/>
            <family val="2"/>
          </rPr>
          <t>Martin Simpson:
Assumed post enabling works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Simpson</author>
    <author>Stacey Speakman</author>
    <author>Graham Pearey</author>
  </authors>
  <commentList>
    <comment ref="L22" authorId="0" shapeId="0" xr:uid="{71B6319F-6BFB-4BAF-82A4-FACAC4D1D059}">
      <text>
        <r>
          <rPr>
            <sz val="9"/>
            <color indexed="81"/>
            <rFont val="Tahoma"/>
            <family val="2"/>
          </rPr>
          <t xml:space="preserve">For review
</t>
        </r>
      </text>
    </comment>
    <comment ref="R54" authorId="0" shapeId="0" xr:uid="{C9F97AAF-87CF-42EF-98F0-894D7B98DE03}">
      <text>
        <r>
          <rPr>
            <sz val="9"/>
            <color indexed="81"/>
            <rFont val="Tahoma"/>
            <family val="2"/>
          </rPr>
          <t xml:space="preserve">was £800K
</t>
        </r>
      </text>
    </comment>
    <comment ref="J66" authorId="0" shapeId="0" xr:uid="{BCB1F44E-213A-43AA-B577-A3CE46202138}">
      <text>
        <r>
          <rPr>
            <sz val="9"/>
            <color indexed="81"/>
            <rFont val="Tahoma"/>
            <family val="2"/>
          </rPr>
          <t xml:space="preserve">Was
Kex Gill / A59 / Blubberhouses re-alignment
</t>
        </r>
      </text>
    </comment>
    <comment ref="J75" authorId="1" shapeId="0" xr:uid="{00000000-0006-0000-0200-000009000000}">
      <text>
        <r>
          <rPr>
            <b/>
            <sz val="9"/>
            <color indexed="81"/>
            <rFont val="Tahoma"/>
            <family val="2"/>
          </rPr>
          <t>Stacey Speakman:</t>
        </r>
        <r>
          <rPr>
            <sz val="9"/>
            <color indexed="81"/>
            <rFont val="Tahoma"/>
            <family val="2"/>
          </rPr>
          <t xml:space="preserve">
included with Security review.
</t>
        </r>
      </text>
    </comment>
    <comment ref="R103" authorId="0" shapeId="0" xr:uid="{35F619EB-B668-47E9-B4DD-11FB06021604}">
      <text>
        <r>
          <rPr>
            <sz val="9"/>
            <color indexed="81"/>
            <rFont val="Tahoma"/>
            <family val="2"/>
          </rPr>
          <t xml:space="preserve">Was 700K
</t>
        </r>
      </text>
    </comment>
    <comment ref="R107" authorId="0" shapeId="0" xr:uid="{934804E4-E6CD-4D92-9A8D-9C797D1F2133}">
      <text>
        <r>
          <rPr>
            <sz val="9"/>
            <color indexed="81"/>
            <rFont val="Tahoma"/>
            <family val="2"/>
          </rPr>
          <t>Est was 50000</t>
        </r>
        <r>
          <rPr>
            <sz val="9"/>
            <color indexed="81"/>
            <rFont val="Tahoma"/>
            <family val="2"/>
          </rPr>
          <t xml:space="preserve">
</t>
        </r>
      </text>
    </comment>
    <comment ref="R134" authorId="0" shapeId="0" xr:uid="{5DE42148-B0DA-4894-9CDD-E15894FB3EE6}">
      <text>
        <r>
          <rPr>
            <b/>
            <sz val="9"/>
            <color indexed="81"/>
            <rFont val="Tahoma"/>
            <family val="2"/>
          </rPr>
          <t>Martin Simpson:</t>
        </r>
        <r>
          <rPr>
            <sz val="9"/>
            <color indexed="81"/>
            <rFont val="Tahoma"/>
            <family val="2"/>
          </rPr>
          <t xml:space="preserve">
Was £300K.  Update from PMcL 17/04/18 increased to £900K.
</t>
        </r>
      </text>
    </comment>
    <comment ref="R135" authorId="0" shapeId="0" xr:uid="{479758D4-FF43-4512-93A9-DA2F0CCD8CC2}">
      <text>
        <r>
          <rPr>
            <sz val="9"/>
            <color indexed="81"/>
            <rFont val="Tahoma"/>
            <family val="2"/>
          </rPr>
          <t xml:space="preserve">Was 50k
</t>
        </r>
      </text>
    </comment>
    <comment ref="AE157" authorId="2" shapeId="0" xr:uid="{00000000-0006-0000-0200-000001000000}">
      <text>
        <r>
          <rPr>
            <b/>
            <sz val="9"/>
            <color indexed="81"/>
            <rFont val="Tahoma"/>
            <family val="2"/>
          </rPr>
          <t>Graham Pearey:</t>
        </r>
        <r>
          <rPr>
            <sz val="9"/>
            <color indexed="81"/>
            <rFont val="Tahoma"/>
            <family val="2"/>
          </rPr>
          <t xml:space="preserve">
Based on last renewal price.
</t>
        </r>
      </text>
    </comment>
    <comment ref="J210" authorId="0" shapeId="0" xr:uid="{B1D42DC4-7EEE-4B8C-8815-628FCDFC847B}">
      <text>
        <r>
          <rPr>
            <sz val="9"/>
            <color indexed="81"/>
            <rFont val="Tahoma"/>
            <family val="2"/>
          </rPr>
          <t xml:space="preserve">Meteogroup
</t>
        </r>
      </text>
    </comment>
    <comment ref="AE212" authorId="2" shapeId="0" xr:uid="{00000000-0006-0000-0200-000002000000}">
      <text>
        <r>
          <rPr>
            <b/>
            <sz val="9"/>
            <color indexed="81"/>
            <rFont val="Tahoma"/>
            <family val="2"/>
          </rPr>
          <t>Graham Pearey:</t>
        </r>
        <r>
          <rPr>
            <sz val="9"/>
            <color indexed="81"/>
            <rFont val="Tahoma"/>
            <family val="2"/>
          </rPr>
          <t xml:space="preserve">
Total cost is based on 400 ID devices.  This may increase depending on usage.
</t>
        </r>
      </text>
    </comment>
    <comment ref="L251" authorId="0" shapeId="0" xr:uid="{2938B7E6-9162-42B4-AD03-3533CDF912D9}">
      <text>
        <r>
          <rPr>
            <b/>
            <sz val="9"/>
            <color indexed="81"/>
            <rFont val="Tahoma"/>
            <family val="2"/>
          </rPr>
          <t>Martin Simpson:</t>
        </r>
        <r>
          <rPr>
            <sz val="9"/>
            <color indexed="81"/>
            <rFont val="Tahoma"/>
            <family val="2"/>
          </rPr>
          <t xml:space="preserve">
Was 30/04/2018
</t>
        </r>
      </text>
    </comment>
    <comment ref="R279" authorId="2" shapeId="0" xr:uid="{00000000-0006-0000-0200-000003000000}">
      <text>
        <r>
          <rPr>
            <b/>
            <sz val="9"/>
            <color indexed="81"/>
            <rFont val="Tahoma"/>
            <family val="2"/>
          </rPr>
          <t>Graham Pearey:</t>
        </r>
        <r>
          <rPr>
            <sz val="9"/>
            <color indexed="81"/>
            <rFont val="Tahoma"/>
            <family val="2"/>
          </rPr>
          <t xml:space="preserve">
Subject to inflation charge in years 3 and 4.
</t>
        </r>
      </text>
    </comment>
    <comment ref="AE279" authorId="2" shapeId="0" xr:uid="{00000000-0006-0000-0200-000004000000}">
      <text>
        <r>
          <rPr>
            <b/>
            <sz val="9"/>
            <color indexed="81"/>
            <rFont val="Tahoma"/>
            <family val="2"/>
          </rPr>
          <t>Graham Pearey:</t>
        </r>
        <r>
          <rPr>
            <sz val="9"/>
            <color indexed="81"/>
            <rFont val="Tahoma"/>
            <family val="2"/>
          </rPr>
          <t xml:space="preserve">
Subject to inflation charge in years 3 and 4.
</t>
        </r>
      </text>
    </comment>
    <comment ref="O330" authorId="2" shapeId="0" xr:uid="{00000000-0006-0000-0200-000005000000}">
      <text>
        <r>
          <rPr>
            <b/>
            <sz val="9"/>
            <color indexed="81"/>
            <rFont val="Tahoma"/>
            <family val="2"/>
          </rPr>
          <t>Graham Pearey:</t>
        </r>
        <r>
          <rPr>
            <sz val="9"/>
            <color indexed="81"/>
            <rFont val="Tahoma"/>
            <family val="2"/>
          </rPr>
          <t xml:space="preserve">
Contract commencement date: 01/11/18
Go-live date: 01/01/19
</t>
        </r>
      </text>
    </comment>
    <comment ref="R483" authorId="0" shapeId="0" xr:uid="{5BFBECA4-9E04-44B0-8664-766CACECB522}">
      <text>
        <r>
          <rPr>
            <b/>
            <sz val="9"/>
            <color indexed="81"/>
            <rFont val="Tahoma"/>
            <family val="2"/>
          </rPr>
          <t>Martin Simpson:</t>
        </r>
        <r>
          <rPr>
            <sz val="9"/>
            <color indexed="81"/>
            <rFont val="Tahoma"/>
            <family val="2"/>
          </rPr>
          <t xml:space="preserve">
£165,000? 17/04 JPWin
</t>
        </r>
      </text>
    </comment>
    <comment ref="R486" authorId="0" shapeId="0" xr:uid="{A245EA0F-4297-4A3B-94E6-082C756815CD}">
      <text>
        <r>
          <rPr>
            <b/>
            <sz val="9"/>
            <color indexed="81"/>
            <rFont val="Tahoma"/>
            <family val="2"/>
          </rPr>
          <t>Martin Simpson:</t>
        </r>
        <r>
          <rPr>
            <sz val="9"/>
            <color indexed="81"/>
            <rFont val="Tahoma"/>
            <family val="2"/>
          </rPr>
          <t xml:space="preserve">
£1.56M? 17/04 JPWin
</t>
        </r>
      </text>
    </comment>
    <comment ref="R512" authorId="0" shapeId="0" xr:uid="{CE608A87-1F60-410C-AB98-473C9EB3584E}">
      <text>
        <r>
          <rPr>
            <b/>
            <sz val="9"/>
            <color indexed="81"/>
            <rFont val="Tahoma"/>
            <family val="2"/>
          </rPr>
          <t>Martin Simpson:</t>
        </r>
        <r>
          <rPr>
            <sz val="9"/>
            <color indexed="81"/>
            <rFont val="Tahoma"/>
            <family val="2"/>
          </rPr>
          <t xml:space="preserve">
Was £258,355
</t>
        </r>
      </text>
    </comment>
    <comment ref="R525" authorId="0" shapeId="0" xr:uid="{EB94296B-BCCA-4CD1-9102-2DDF286E0CBD}">
      <text>
        <r>
          <rPr>
            <sz val="9"/>
            <color indexed="81"/>
            <rFont val="Tahoma"/>
            <family val="2"/>
          </rPr>
          <t xml:space="preserve">Phase 1 £225, 569 and Phase 2 £100,000
</t>
        </r>
      </text>
    </comment>
    <comment ref="R562" authorId="0" shapeId="0" xr:uid="{8C0C59E5-EBFA-4031-A013-2C726A032CAD}">
      <text>
        <r>
          <rPr>
            <sz val="9"/>
            <color indexed="81"/>
            <rFont val="Tahoma"/>
            <family val="2"/>
          </rPr>
          <t xml:space="preserve">Was £450K, increased by CSm MGa 24/04
</t>
        </r>
      </text>
    </comment>
    <comment ref="T638" authorId="1" shapeId="0" xr:uid="{00000000-0006-0000-0200-000006000000}">
      <text>
        <r>
          <rPr>
            <b/>
            <sz val="9"/>
            <color indexed="81"/>
            <rFont val="Tahoma"/>
            <family val="2"/>
          </rPr>
          <t>Stacey Speakman:</t>
        </r>
        <r>
          <rPr>
            <sz val="9"/>
            <color indexed="81"/>
            <rFont val="Tahoma"/>
            <family val="2"/>
          </rPr>
          <t xml:space="preserve">
If these is consolidated with all MS levels this should be 1 line and the date needs to be added.</t>
        </r>
      </text>
    </comment>
    <comment ref="R650" authorId="0" shapeId="0" xr:uid="{378E0109-924F-4F9E-A6D3-7ED249C5FEF0}">
      <text>
        <r>
          <rPr>
            <b/>
            <sz val="9"/>
            <color indexed="81"/>
            <rFont val="Tahoma"/>
            <family val="2"/>
          </rPr>
          <t>Martin Simpson:</t>
        </r>
        <r>
          <rPr>
            <sz val="9"/>
            <color indexed="81"/>
            <rFont val="Tahoma"/>
            <family val="2"/>
          </rPr>
          <t xml:space="preserve">
£456,420? 17/04 JPWin
</t>
        </r>
      </text>
    </comment>
    <comment ref="L1015" authorId="0" shapeId="0" xr:uid="{DC3B537C-B1F8-48E8-B8EE-5AE29B6EBCD4}">
      <text>
        <r>
          <rPr>
            <sz val="9"/>
            <color indexed="81"/>
            <rFont val="Tahoma"/>
            <family val="2"/>
          </rPr>
          <t xml:space="preserve">Check in advance.  When are the schools signed up?  Sept 2019 for 01/04/2020 start?  So for 2021 need to be in place by?
</t>
        </r>
      </text>
    </comment>
    <comment ref="R1031" authorId="0" shapeId="0" xr:uid="{FB10F096-FE2D-4300-A082-0DE93D819F7B}">
      <text>
        <r>
          <rPr>
            <b/>
            <sz val="9"/>
            <color indexed="81"/>
            <rFont val="Tahoma"/>
            <family val="2"/>
          </rPr>
          <t>Martin Simpson:</t>
        </r>
        <r>
          <rPr>
            <sz val="9"/>
            <color indexed="81"/>
            <rFont val="Tahoma"/>
            <family val="2"/>
          </rPr>
          <t xml:space="preserve">
Guestimate
</t>
        </r>
      </text>
    </comment>
    <comment ref="R1171" authorId="0" shapeId="0" xr:uid="{361C3668-5C35-4AF9-A0DB-B0E4ACD04CD0}">
      <text>
        <r>
          <rPr>
            <b/>
            <sz val="9"/>
            <color indexed="81"/>
            <rFont val="Tahoma"/>
            <family val="2"/>
          </rPr>
          <t>Martin Simpson:</t>
        </r>
        <r>
          <rPr>
            <sz val="9"/>
            <color indexed="81"/>
            <rFont val="Tahoma"/>
            <family val="2"/>
          </rPr>
          <t xml:space="preserve">
Martin Simpson:
Expenditure from 2016/17/ 2017/18 and 2018/19 (2019/20 incomplete as at July 2019)
</t>
        </r>
      </text>
    </comment>
    <comment ref="AE1396" authorId="2" shapeId="0" xr:uid="{00000000-0006-0000-0200-000007000000}">
      <text>
        <r>
          <rPr>
            <b/>
            <sz val="9"/>
            <color indexed="81"/>
            <rFont val="Tahoma"/>
            <family val="2"/>
          </rPr>
          <t>Graham Pearey:</t>
        </r>
        <r>
          <rPr>
            <sz val="9"/>
            <color indexed="81"/>
            <rFont val="Tahoma"/>
            <family val="2"/>
          </rPr>
          <t xml:space="preserve">
First Year Cost:
£35,193.00
Year 2 &amp; 3 Total:
£21,965.00</t>
        </r>
        <r>
          <rPr>
            <sz val="9"/>
            <color indexed="81"/>
            <rFont val="Tahoma"/>
            <family val="2"/>
          </rPr>
          <t xml:space="preserve">
</t>
        </r>
      </text>
    </comment>
    <comment ref="O1430" authorId="0" shapeId="0" xr:uid="{0A7FC379-BEE0-41A2-BFAF-47E8E6F87A3E}">
      <text>
        <r>
          <rPr>
            <sz val="9"/>
            <color indexed="81"/>
            <rFont val="Tahoma"/>
            <family val="2"/>
          </rPr>
          <t xml:space="preserve">Assumed start for Feb live tender
</t>
        </r>
      </text>
    </comment>
    <comment ref="L1455" authorId="0" shapeId="0" xr:uid="{1C050710-068C-4848-83A0-D041676BF025}">
      <text>
        <r>
          <rPr>
            <sz val="9"/>
            <color indexed="81"/>
            <rFont val="Tahoma"/>
            <family val="2"/>
          </rPr>
          <t xml:space="preserve">James Smith 24/08/2017
</t>
        </r>
      </text>
    </comment>
    <comment ref="R1504" authorId="0" shapeId="0" xr:uid="{7643E7C9-1EAB-44D5-B9A8-FFADC05AE5A8}">
      <text>
        <r>
          <rPr>
            <b/>
            <sz val="9"/>
            <color indexed="81"/>
            <rFont val="Tahoma"/>
            <family val="2"/>
          </rPr>
          <t>Martin Simpson:</t>
        </r>
        <r>
          <rPr>
            <sz val="9"/>
            <color indexed="81"/>
            <rFont val="Tahoma"/>
            <family val="2"/>
          </rPr>
          <t xml:space="preserve">
was £250K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tc={BA4AEB92-0A6F-40A1-8EC8-832EF079360F}</author>
    <author>Martin Simpson</author>
  </authors>
  <commentList>
    <comment ref="AF47" authorId="0" shapeId="0" xr:uid="{00000000-0006-0000-0500-000001000000}">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@Victoria Moss  Just for clarity you have updated the dates but to check is this closed as you have completed the docs for the 1st extension?
Reply:
    No This is closed because it must have been a old extension. The new contract for this was put in place last year (1st Feb 2021-31st Jan 2023) Its then got 2 x 12 month extension after that to 2025.</t>
      </text>
    </comment>
    <comment ref="O259" authorId="1" shapeId="0" xr:uid="{25B9E769-0025-49E9-96B2-0FC38FFF13D2}">
      <text>
        <r>
          <rPr>
            <sz val="12"/>
            <color theme="1"/>
            <rFont val="Arial"/>
            <family val="2"/>
          </rPr>
          <t>Martin Simpson:
Anticipated</t>
        </r>
      </text>
    </comment>
    <comment ref="R273" authorId="1" shapeId="0" xr:uid="{766184A5-FD1C-441D-B78A-F718952111E2}">
      <text>
        <r>
          <rPr>
            <sz val="12"/>
            <color theme="1"/>
            <rFont val="Arial"/>
            <family val="2"/>
          </rPr>
          <t>Martin Simpson:
was noted as 1.4M; CBo data 999583</t>
        </r>
      </text>
    </comment>
    <comment ref="N285" authorId="1" shapeId="0" xr:uid="{9CDB039D-51B4-4FCA-ABFB-8F0C70F2F479}">
      <text>
        <r>
          <rPr>
            <sz val="12"/>
            <color theme="1"/>
            <rFont val="Arial"/>
            <family val="2"/>
          </rPr>
          <t>Martin Simpson:
est tbc</t>
        </r>
      </text>
    </comment>
    <comment ref="O306" authorId="1" shapeId="0" xr:uid="{F2D66424-7071-440A-9163-5014D5AD95AE}">
      <text>
        <r>
          <rPr>
            <sz val="12"/>
            <color theme="1"/>
            <rFont val="Arial"/>
            <family val="2"/>
          </rPr>
          <t>Martin Simpson:
estimated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Simpson</author>
    <author>tc={6421E254-CBBF-49CF-BB24-EDE1CA8D3561}</author>
    <author>tc={3F671F77-BD16-4818-AE2A-828254A6A3EA}</author>
    <author>tc={22DAC421-0C56-48FD-9700-1FF4611CB38A}</author>
    <author>Debbie Walton</author>
  </authors>
  <commentList>
    <comment ref="R12" authorId="0" shapeId="0" xr:uid="{649AC995-9E59-42E5-9C83-363A9D47C19F}">
      <text>
        <r>
          <rPr>
            <sz val="12"/>
            <color theme="1"/>
            <rFont val="Arial"/>
            <family val="2"/>
          </rPr>
          <t>Martin Simpson:
estimated</t>
        </r>
      </text>
    </comment>
    <comment ref="O13" authorId="0" shapeId="0" xr:uid="{46768552-7B11-407E-A17F-A0C386580DE4}">
      <text>
        <r>
          <rPr>
            <sz val="12"/>
            <color theme="1"/>
            <rFont val="Arial"/>
            <family val="2"/>
          </rPr>
          <t>Martin Simpson:
Estimated</t>
        </r>
      </text>
    </comment>
    <comment ref="O14" authorId="0" shapeId="0" xr:uid="{744B6BA6-A850-4FFD-98D0-D97AA3F47CB6}">
      <text>
        <r>
          <rPr>
            <sz val="12"/>
            <color theme="1"/>
            <rFont val="Arial"/>
            <family val="2"/>
          </rPr>
          <t>Martin Simpson:
Estimated</t>
        </r>
      </text>
    </comment>
    <comment ref="O25" authorId="0" shapeId="0" xr:uid="{E0C25C25-69E1-4303-A081-F4431BD7F07F}">
      <text>
        <r>
          <rPr>
            <sz val="12"/>
            <color theme="1"/>
            <rFont val="Arial"/>
            <family val="2"/>
          </rPr>
          <t>Martin Simpson:
Estimated</t>
        </r>
      </text>
    </comment>
    <comment ref="R25" authorId="0" shapeId="0" xr:uid="{431C5A58-6C97-434B-8EE8-8A4EE89AD6E2}">
      <text>
        <r>
          <rPr>
            <sz val="12"/>
            <color theme="1"/>
            <rFont val="Arial"/>
            <family val="2"/>
          </rPr>
          <t>Martin Simpson:
257580 estimate from KRu, now revised down to £180K TCo 25/10</t>
        </r>
      </text>
    </comment>
    <comment ref="AF58" authorId="1" shapeId="0" xr:uid="{6421E254-CBBF-49CF-BB24-EDE1CA8D3561}">
      <text>
        <t>[Threaded comment]
Your version of Excel allows you to read this threaded comment; however, any edits to it will get removed if the file is opened in a newer version of Excel. Learn more: https://go.microsoft.com/fwlink/?linkid=870924
Comment:
    @Benjamin Hudson  can this one be closed and archived off?
Reply:
    @Martin Simpson This can be closed.  Thanks.</t>
      </text>
    </comment>
    <comment ref="AF59" authorId="2" shapeId="0" xr:uid="{3F671F77-BD16-4818-AE2A-828254A6A3EA}">
      <text>
        <t>[Threaded comment]
Your version of Excel allows you to read this threaded comment; however, any edits to it will get removed if the file is opened in a newer version of Excel. Learn more: https://go.microsoft.com/fwlink/?linkid=870924
Comment:
    @Benjamin Hudson can this one be closed off / archived?
Reply:
    @Martin Simpson Yes this can now be closed.  Thanks.</t>
      </text>
    </comment>
    <comment ref="N60" authorId="0" shapeId="0" xr:uid="{810C9917-AF0D-4D0D-AF47-36D976BFCC32}">
      <text>
        <r>
          <rPr>
            <sz val="12"/>
            <color theme="1"/>
            <rFont val="Arial"/>
            <family val="2"/>
          </rPr>
          <t>Martin Simpson:
est tbc</t>
        </r>
      </text>
    </comment>
    <comment ref="AF112" authorId="3" shapeId="0" xr:uid="{22DAC421-0C56-48FD-9700-1FF4611CB38A}">
      <text>
        <t>[Threaded comment]
Your version of Excel allows you to read this threaded comment; however, any edits to it will get removed if the file is opened in a newer version of Excel. Learn more: https://go.microsoft.com/fwlink/?linkid=870924
Comment:
    @Helen Newall Please reach out to Donna to establish the requirement and necxt steps
Reply:
    Done
Reply:
    @Martin Simpson - can this line be deleted now that its to be included in the New Contractor DPS?</t>
      </text>
    </comment>
    <comment ref="O131" authorId="0" shapeId="0" xr:uid="{CB062399-469B-44ED-A1EE-FD565E908979}">
      <text>
        <r>
          <rPr>
            <sz val="12"/>
            <color theme="1"/>
            <rFont val="Arial"/>
            <family val="2"/>
          </rPr>
          <t>Martin Simpson:
First date of set</t>
        </r>
      </text>
    </comment>
    <comment ref="N142" authorId="0" shapeId="0" xr:uid="{0F0F9626-870D-4523-8C7C-83CF86B160C4}">
      <text>
        <r>
          <rPr>
            <sz val="12"/>
            <color theme="1"/>
            <rFont val="Arial"/>
            <family val="2"/>
          </rPr>
          <t>Martin Simpson:
est tbc</t>
        </r>
      </text>
    </comment>
    <comment ref="C147" authorId="4" shapeId="0" xr:uid="{01421A7D-BE81-4A0D-AD9D-8D6693190178}">
      <text>
        <r>
          <rPr>
            <sz val="12"/>
            <color theme="1"/>
            <rFont val="Arial"/>
            <family val="2"/>
          </rPr>
          <t xml:space="preserve">Contract is between Home Office and Leeds. No NYC funding involved, however we are hosting the contract in North Yorkshire.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Simpson</author>
  </authors>
  <commentList>
    <comment ref="G1" authorId="0" shapeId="0" xr:uid="{A3731B10-D1DF-4C46-8907-1A74980F6C23}">
      <text>
        <r>
          <rPr>
            <b/>
            <sz val="9"/>
            <color indexed="81"/>
            <rFont val="Tahoma"/>
            <family val="2"/>
          </rPr>
          <t>Includes PID, premarket discovery and all work to Gate 1</t>
        </r>
      </text>
    </comment>
    <comment ref="H1" authorId="0" shapeId="0" xr:uid="{A26F642E-14AC-4360-81E3-D82CF77F8B09}">
      <text>
        <r>
          <rPr>
            <b/>
            <sz val="9"/>
            <color indexed="81"/>
            <rFont val="Tahoma"/>
            <family val="2"/>
          </rPr>
          <t>Specification, pricing, evaluation all through to Gate 2</t>
        </r>
      </text>
    </comment>
    <comment ref="I1" authorId="0" shapeId="0" xr:uid="{4EF2DB32-F625-42AB-86F3-26755CAD8BDE}">
      <text>
        <r>
          <rPr>
            <b/>
            <sz val="9"/>
            <color indexed="81"/>
            <rFont val="Tahoma"/>
            <family val="2"/>
          </rPr>
          <t>All clarifications and work from gate 2 upto return of submissions</t>
        </r>
      </text>
    </comment>
    <comment ref="J1" authorId="0" shapeId="0" xr:uid="{99798AB7-6431-4662-930B-C6A65C03BD01}">
      <text>
        <r>
          <rPr>
            <b/>
            <sz val="9"/>
            <color indexed="81"/>
            <rFont val="Tahoma"/>
            <family val="2"/>
          </rPr>
          <t>All evaluation through consensus to Gate 3</t>
        </r>
      </text>
    </comment>
    <comment ref="K1" authorId="0" shapeId="0" xr:uid="{1E97CAEE-9F18-4DEF-9D59-C4762E5A40D9}">
      <text>
        <r>
          <rPr>
            <b/>
            <sz val="9"/>
            <color indexed="81"/>
            <rFont val="Tahoma"/>
            <family val="2"/>
          </rPr>
          <t>Completion of contract, PO, Gate 4 etc to completion and handover</t>
        </r>
      </text>
    </comment>
  </commentList>
</comments>
</file>

<file path=xl/sharedStrings.xml><?xml version="1.0" encoding="utf-8"?>
<sst xmlns="http://schemas.openxmlformats.org/spreadsheetml/2006/main" count="44603" uniqueCount="7102">
  <si>
    <t>Date on FPP</t>
  </si>
  <si>
    <t>Category</t>
  </si>
  <si>
    <t>Yortender Ref</t>
  </si>
  <si>
    <t>Directorate</t>
  </si>
  <si>
    <t>Original Authority</t>
  </si>
  <si>
    <t>Post LGR: Directorate</t>
  </si>
  <si>
    <t>Post LGR: Service unit</t>
  </si>
  <si>
    <t>Spend category</t>
  </si>
  <si>
    <t>Procurement stage - Initial term or extension</t>
  </si>
  <si>
    <t xml:space="preserve">Contract title </t>
  </si>
  <si>
    <t>Current Supplier (if applicable)</t>
  </si>
  <si>
    <r>
      <rPr>
        <b/>
        <sz val="11"/>
        <color rgb="FFFF0000"/>
        <rFont val="Calibri"/>
        <family val="2"/>
        <scheme val="minor"/>
      </rPr>
      <t>*Not to publish, Auto complete but can be overriden*</t>
    </r>
    <r>
      <rPr>
        <b/>
        <sz val="11"/>
        <rFont val="Calibri"/>
        <family val="2"/>
        <scheme val="minor"/>
      </rPr>
      <t xml:space="preserve"> Trigger timescale in months</t>
    </r>
  </si>
  <si>
    <r>
      <rPr>
        <b/>
        <sz val="11"/>
        <color rgb="FFFF0000"/>
        <rFont val="Calibri"/>
        <family val="2"/>
        <scheme val="minor"/>
      </rPr>
      <t>*Auto complete*</t>
    </r>
    <r>
      <rPr>
        <b/>
        <sz val="11"/>
        <rFont val="Calibri"/>
        <family val="2"/>
        <scheme val="minor"/>
      </rPr>
      <t xml:space="preserve"> Procurement resource to be assigned.</t>
    </r>
  </si>
  <si>
    <r>
      <rPr>
        <b/>
        <sz val="11"/>
        <color rgb="FFFF0000"/>
        <rFont val="Calibri"/>
        <family val="2"/>
        <scheme val="minor"/>
      </rPr>
      <t>*Not to publish, Auto complete*</t>
    </r>
    <r>
      <rPr>
        <b/>
        <sz val="11"/>
        <rFont val="Calibri"/>
        <family val="2"/>
        <scheme val="minor"/>
      </rPr>
      <t xml:space="preserve"> GW1 or procurement to start</t>
    </r>
  </si>
  <si>
    <t>Date contract to start</t>
  </si>
  <si>
    <t>Total duration of contract in months including extensions</t>
  </si>
  <si>
    <t>Breakdown of total duration including extensions</t>
  </si>
  <si>
    <t>Estimated Whole Life Cost including extensions</t>
  </si>
  <si>
    <t>Proposed procurement method</t>
  </si>
  <si>
    <t>Key Decision required? (or Decision Record)</t>
  </si>
  <si>
    <t>Key Decision Date</t>
  </si>
  <si>
    <t>Previous Method Used district info</t>
  </si>
  <si>
    <t>Commissioner/ Responsible Officer / Contract Manager</t>
  </si>
  <si>
    <t>Procurement Lead</t>
  </si>
  <si>
    <t>Project Status</t>
  </si>
  <si>
    <t>Tiering</t>
  </si>
  <si>
    <t>To publish Yes / No</t>
  </si>
  <si>
    <t>Completed Q / Date of Lead Officer update/review (DD/MM/YYYY)</t>
  </si>
  <si>
    <t>Review/Notes</t>
  </si>
  <si>
    <t xml:space="preserve">Annual Cost of Contract </t>
  </si>
  <si>
    <t>Days since FPP Last Updated</t>
  </si>
  <si>
    <t>DN442629</t>
  </si>
  <si>
    <t>CS</t>
  </si>
  <si>
    <t>ICT</t>
  </si>
  <si>
    <t>Extension</t>
  </si>
  <si>
    <t>Hevacomp Electrical Designer Licenses - Bentley Systems Limited</t>
  </si>
  <si>
    <r>
      <t>12+</t>
    </r>
    <r>
      <rPr>
        <sz val="11"/>
        <color rgb="FFFF0000"/>
        <rFont val="Calibri"/>
        <family val="2"/>
        <scheme val="minor"/>
      </rPr>
      <t>12</t>
    </r>
  </si>
  <si>
    <t>Best Value</t>
  </si>
  <si>
    <t>No</t>
  </si>
  <si>
    <t>Vicky Moss</t>
  </si>
  <si>
    <t>Closed</t>
  </si>
  <si>
    <t>FY2021Q3</t>
  </si>
  <si>
    <t xml:space="preserve">Self service - Spoke with Nic and Keren re this. Confirmed PO needs paying for this. Chased to see if this has been raised. Michaela confirmed PO has been raised for another year of service. </t>
  </si>
  <si>
    <t>School's ICT</t>
  </si>
  <si>
    <t>Professional</t>
  </si>
  <si>
    <t>TBC</t>
  </si>
  <si>
    <t>Consultancy</t>
  </si>
  <si>
    <t>Initial Term</t>
  </si>
  <si>
    <t>Consultancy for LGR / Devolution Editoral Support</t>
  </si>
  <si>
    <t>Branksome Partners Ltd</t>
  </si>
  <si>
    <t>12</t>
  </si>
  <si>
    <t>Director's Recommendation</t>
  </si>
  <si>
    <t>Communications Unit</t>
  </si>
  <si>
    <t>Vanessa Glover / Ali Westgarth</t>
  </si>
  <si>
    <t>Stacey Speakman</t>
  </si>
  <si>
    <t>Director's recommendation gone back to Services area for additional information</t>
  </si>
  <si>
    <t>Place</t>
  </si>
  <si>
    <t>BES</t>
  </si>
  <si>
    <t>Engineering &amp; Environment</t>
  </si>
  <si>
    <t xml:space="preserve">Area 1 - </t>
  </si>
  <si>
    <t>tbc</t>
  </si>
  <si>
    <t>Further Comp - Internal (Non OJEU)</t>
  </si>
  <si>
    <t>Decision Record</t>
  </si>
  <si>
    <t>Neil Linfoot
/
WSP</t>
  </si>
  <si>
    <t xml:space="preserve">Area 1 </t>
  </si>
  <si>
    <t>Property</t>
  </si>
  <si>
    <t>Pest Control</t>
  </si>
  <si>
    <t>NA</t>
  </si>
  <si>
    <t>Karen Adamson</t>
  </si>
  <si>
    <t>Silver</t>
  </si>
  <si>
    <t>Yes</t>
  </si>
  <si>
    <t>N/A</t>
  </si>
  <si>
    <t>20/08 - Following LGR review, the service area are happy to continue with existing best value processes</t>
  </si>
  <si>
    <t>Soft FM</t>
  </si>
  <si>
    <t>Gartner for IT leaders (subscription)</t>
  </si>
  <si>
    <t>Further Comp - External (non OJEU)</t>
  </si>
  <si>
    <t>Jon Learoyd</t>
  </si>
  <si>
    <t>Chris Hebdon</t>
  </si>
  <si>
    <r>
      <rPr>
        <sz val="10"/>
        <color rgb="FF000000"/>
        <rFont val="Calibri"/>
        <family val="2"/>
      </rPr>
      <t xml:space="preserve">29/11/2022- Contract signed, added to Contracts Finder, Contracts Register, and Benifits Form sent to G-Cloud - COMPLETE. </t>
    </r>
    <r>
      <rPr>
        <b/>
        <sz val="10"/>
        <color rgb="FF000000"/>
        <rFont val="Calibri"/>
        <family val="2"/>
      </rPr>
      <t>30/11/2022: PROJECT COMPLETE</t>
    </r>
  </si>
  <si>
    <t>Subscriptions</t>
  </si>
  <si>
    <t>Catering</t>
  </si>
  <si>
    <t>Groceries and Ambient [exc. Milk]
(currently supplied by YPO)</t>
  </si>
  <si>
    <t>24+24</t>
  </si>
  <si>
    <t>48</t>
  </si>
  <si>
    <t>Direct Award</t>
  </si>
  <si>
    <t>Joanne Simpson / Shaun Mancrief</t>
  </si>
  <si>
    <t>Katie Longstaff</t>
  </si>
  <si>
    <t>Gold</t>
  </si>
  <si>
    <t>FY2122Q4</t>
  </si>
  <si>
    <t>Completed.</t>
  </si>
  <si>
    <t>Framework Agreement Automated Collection and Analysis of Carriageway Condition Data Services</t>
  </si>
  <si>
    <t>OJEU</t>
  </si>
  <si>
    <t xml:space="preserve">Key Decision </t>
  </si>
  <si>
    <t>James Gilroy</t>
  </si>
  <si>
    <t>Mark Taylor</t>
  </si>
  <si>
    <t xml:space="preserve">Framework Agreement signed. Complete. </t>
  </si>
  <si>
    <t>T&amp;C (Miscellaneous)</t>
  </si>
  <si>
    <t>Call-Off from Framework Agreement 30012. Automated Collection and Analysis of Carriageway Condition Data Services</t>
  </si>
  <si>
    <t>36</t>
  </si>
  <si>
    <t xml:space="preserve">Call-off signed. Complete. </t>
  </si>
  <si>
    <t>People</t>
  </si>
  <si>
    <t>DN579573</t>
  </si>
  <si>
    <t>HAS/CYPS/CS</t>
  </si>
  <si>
    <t>Social Care</t>
  </si>
  <si>
    <t>Advocacy Services :
'- Independent Health Complaints
- CYPS Advoacy
- HAS Advoacy</t>
  </si>
  <si>
    <t>OJEU - LTR</t>
  </si>
  <si>
    <t>HASLT: 22/07/2021
HAS EX: 13/08/2021</t>
  </si>
  <si>
    <t>Daniel Harry/ Staurt Williams/ Stacey Annandale</t>
  </si>
  <si>
    <t>Tim Wood</t>
  </si>
  <si>
    <t>DN567561</t>
  </si>
  <si>
    <t>HAS</t>
  </si>
  <si>
    <t>Home From Hospital</t>
  </si>
  <si>
    <t>60+24</t>
  </si>
  <si>
    <t>HASLT: 05/08/21
HAS EX: 13/08/21</t>
  </si>
  <si>
    <t>Dale Owens / Abi Barron</t>
  </si>
  <si>
    <t>Non Active</t>
  </si>
  <si>
    <t>Public Health</t>
  </si>
  <si>
    <t xml:space="preserve">Public Health GP Provider List </t>
  </si>
  <si>
    <t>HASLT: 22/04/2021
HAS EX: 14/05/2021</t>
  </si>
  <si>
    <t xml:space="preserve">Louise Wallace / Victoria Ononeze </t>
  </si>
  <si>
    <t>Rosie Wilkinson</t>
  </si>
  <si>
    <t xml:space="preserve">Public Health Pharmacy Provider List </t>
  </si>
  <si>
    <t>CYPS</t>
  </si>
  <si>
    <t>SEN High Needs Placements</t>
  </si>
  <si>
    <t>Jane Le Sage</t>
  </si>
  <si>
    <t>Neil Murray</t>
  </si>
  <si>
    <t xml:space="preserve">Closed </t>
  </si>
  <si>
    <t>Financial Services</t>
  </si>
  <si>
    <t>Internal Audit Services</t>
  </si>
  <si>
    <t>120+36+24</t>
  </si>
  <si>
    <t>Contract Extension</t>
  </si>
  <si>
    <t>Gary Fielding</t>
  </si>
  <si>
    <t>FY2021Q4</t>
  </si>
  <si>
    <t>GW 4 Drafted and sent to SS to present at PAB. This was arranged 12 months in advance for 2022 extension. Extension agreement sent to Max Thomas to review before loading it onto Signing Hub. Max happy with the extension and VM loaded onto Signing Hub.Signed off 8th March 2021</t>
  </si>
  <si>
    <t>DN480599</t>
  </si>
  <si>
    <t>Pensions Independent Investment Advisor</t>
  </si>
  <si>
    <r>
      <t>24+</t>
    </r>
    <r>
      <rPr>
        <sz val="11"/>
        <color rgb="FFFF0000"/>
        <rFont val="Calibri"/>
        <family val="2"/>
        <scheme val="minor"/>
      </rPr>
      <t>12</t>
    </r>
    <r>
      <rPr>
        <sz val="11"/>
        <color theme="1"/>
        <rFont val="Calibri"/>
        <family val="2"/>
        <scheme val="minor"/>
      </rPr>
      <t>+12</t>
    </r>
  </si>
  <si>
    <t>Amanda Alderson</t>
  </si>
  <si>
    <t xml:space="preserve">New DR in place for this. July 21 - 2023. </t>
  </si>
  <si>
    <t>DN405478</t>
  </si>
  <si>
    <t>School Data Collection and Reporting System
(Groupcall Product - Xporter, Virtual School &amp; Xvault)</t>
  </si>
  <si>
    <r>
      <t>24+12+</t>
    </r>
    <r>
      <rPr>
        <sz val="11"/>
        <color rgb="FFFF0000"/>
        <rFont val="Calibri"/>
        <family val="2"/>
        <scheme val="minor"/>
      </rPr>
      <t>12</t>
    </r>
  </si>
  <si>
    <t>Lorena Phillips</t>
  </si>
  <si>
    <t>FY2122Q2</t>
  </si>
  <si>
    <t>Extension signed off 6th October 2020. Extension in place from 1st April 2021 - 31st March 2022. New Gcloud going in for this</t>
  </si>
  <si>
    <t>T&amp;C (Education)</t>
  </si>
  <si>
    <t>DN418717</t>
  </si>
  <si>
    <t>Pupil and School Performance Data Analysis</t>
  </si>
  <si>
    <r>
      <t>12+12+12+</t>
    </r>
    <r>
      <rPr>
        <sz val="11"/>
        <color rgb="FFFF0000"/>
        <rFont val="Calibri"/>
        <family val="2"/>
        <scheme val="minor"/>
      </rPr>
      <t>12</t>
    </r>
  </si>
  <si>
    <t>Adrian Clarke/Julie Pattinson</t>
  </si>
  <si>
    <t xml:space="preserve">Signed and completed for another 12 months until APril 2023. This will need a new procurement for then </t>
  </si>
  <si>
    <t>ID: 28394
Ref: 50254</t>
  </si>
  <si>
    <t>Corporate CRM (Customer Relationship Management) System
(currently Lagan, provided by Verint - contract with boxxe as a re-seller)</t>
  </si>
  <si>
    <t xml:space="preserve">Christopher Taylor </t>
  </si>
  <si>
    <t>Bronze</t>
  </si>
  <si>
    <t>Direct award to re-seller under KCS Framework.</t>
  </si>
  <si>
    <t>T&amp;C (Customer)</t>
  </si>
  <si>
    <t>Fresh Meat and Frozen Products</t>
  </si>
  <si>
    <t>Further Comp - External (OJEU)</t>
  </si>
  <si>
    <t>Project Management System
(currently PPM, provided by Cora)</t>
  </si>
  <si>
    <t>24+12</t>
  </si>
  <si>
    <t>Christopher Taylor</t>
  </si>
  <si>
    <t>Sophie Midcalf</t>
  </si>
  <si>
    <t>04/04 Contract signed. Contract start date 01/04.  Mercell and contracts register updated.
24/03 - Contract now on SigningHub for sign off
14/03 - Contract ends in 2 weeks.  Working on the G-Cloud call of documents based on Direct Award to Cora.  2+1 keeps this under threshold.  Aiming to finalise contract docs this week. 
Met with supplier and T&amp;C recently to discuss options.  T&amp;C have chased pricing but still not received.  Likely to be a large increase in price at some point as apparently we receive quite a large discount on standard frees.  Last discussions were around putting a 2+1+1 contrct in place with the existing supplier via G-Cloud to get us through LGR; however, Silas has mentioned that the licence model (named user) could make it a very expensive platform post-LGR.  Likely to be a G-Cloud contract with contract length depending on prices quoted.</t>
  </si>
  <si>
    <t>T&amp;C (Business)</t>
  </si>
  <si>
    <t>Passenger Transport</t>
  </si>
  <si>
    <t>Local Bus Services and Mainstream Home to School Transport (Craven and Ryedale Areas) - plus additional contract extensions</t>
  </si>
  <si>
    <t>Catherine Price</t>
  </si>
  <si>
    <t>Antonia Smith</t>
  </si>
  <si>
    <t>GW4 approved</t>
  </si>
  <si>
    <t>Traded Service Online Communications Platform
(currently SLA Online - provided by Frontline Data)
(2020 Ref: 3011 - NYES Future Technology Review)</t>
  </si>
  <si>
    <t>36+12+12</t>
  </si>
  <si>
    <t>Simon Swann</t>
  </si>
  <si>
    <t>DN546741 / 26112</t>
  </si>
  <si>
    <t>Legal Services Case Management System</t>
  </si>
  <si>
    <t>24+24+24</t>
  </si>
  <si>
    <t>Bid</t>
  </si>
  <si>
    <t>Katherine Armstrong / Pauline Smurthwaite</t>
  </si>
  <si>
    <t xml:space="preserve">Contract signed. Complete. </t>
  </si>
  <si>
    <t>DN329368</t>
  </si>
  <si>
    <t>Further Competition</t>
  </si>
  <si>
    <t xml:space="preserve">Extra Care Housing - Gargrave </t>
  </si>
  <si>
    <t>Further Comp - Internal (OJEU)</t>
  </si>
  <si>
    <t xml:space="preserve">Dale Owens </t>
  </si>
  <si>
    <t>Extra Care Housing - Malton</t>
  </si>
  <si>
    <t>Extra Care Housing - Whitby</t>
  </si>
  <si>
    <t>Participation Support (previously called Self Advocacy)</t>
  </si>
  <si>
    <t>36+24</t>
  </si>
  <si>
    <t>Shanna Carrell</t>
  </si>
  <si>
    <t>Emma Richards</t>
  </si>
  <si>
    <t>Welfare Benefits information &amp; Advice
Lot 1 - Information &amp; Advice Service
Lot 2 - Welfare rights information &amp; guidance service</t>
  </si>
  <si>
    <t>HASLT: 18/11/2021
HASEX: 14/01/2022</t>
  </si>
  <si>
    <t xml:space="preserve">Linda Porritt </t>
  </si>
  <si>
    <t>HAS/CYPS</t>
  </si>
  <si>
    <t>Targeted Healthy Child Service</t>
  </si>
  <si>
    <t>60+36+24</t>
  </si>
  <si>
    <t>Victoria Ononeze</t>
  </si>
  <si>
    <t>Education &amp; Training</t>
  </si>
  <si>
    <t>Speech and language therapy service - commissioning of specialist  therapists</t>
  </si>
  <si>
    <r>
      <t>12+</t>
    </r>
    <r>
      <rPr>
        <sz val="11"/>
        <color rgb="FFFF0000"/>
        <rFont val="Calibri"/>
        <family val="2"/>
      </rPr>
      <t>24</t>
    </r>
  </si>
  <si>
    <t xml:space="preserve">Yes </t>
  </si>
  <si>
    <t>28/01/2020</t>
  </si>
  <si>
    <t>Janice Nicholson</t>
  </si>
  <si>
    <t>Waste</t>
  </si>
  <si>
    <t>Hazchem collection and disposal "milk round"</t>
  </si>
  <si>
    <t>Joanne Kearney</t>
  </si>
  <si>
    <t>Ed Whitaker</t>
  </si>
  <si>
    <t>Project Complete
12/07/2022 JKe confrims that this project has been abandoned. Wording to send to suppliers to be sought.
05/07/2022 Tendes to go to BES exec this month
25/05/2022 - Evaluation session booked for 27/05/2022
2021/11/23 Planned dicussion with JKe 
28/04/2022 Project now out to tender 
2021/10/28 Unable to resource, postponed two weeks to review
2021/10/25 Outline discussion on requirement.  Potential bid or framework comp ESPO378.  Possibly undertake brief market research as new model of operations.  Spec. drafts from Northumberland.  No recharge to customers.  Pricing - per item or day rate?  Will need BES Exec approval prior to publication, but progress for 01/04/2022 start if possible.   Direct award or possible Bid exercise. Joanne Kaerney happy to proceed with ESPO framework but had questions she wished to ask suppliers, information sessions with suppliers currently orgsinsed, waiting for JKe to confirm availablity and question list.</t>
  </si>
  <si>
    <t>DN386609</t>
  </si>
  <si>
    <t>snart</t>
  </si>
  <si>
    <t>Provision of Support Services to the North Yorkshire Parents and Carers(Parent Carer Voice)</t>
  </si>
  <si>
    <t>12+12+36</t>
  </si>
  <si>
    <t>Carol-Ann Howe</t>
  </si>
  <si>
    <t xml:space="preserve">Direct award to Community First Yorkshire on behalf of Parent Carer Voice.
Iinital Term - 01/04/2020 - 31/3/2021
OTE - 1/4/2021 - 31/3/2022 -COMPLETED 
Further OTE - 01/4/2022 for up to a maximum of 3 years i.e. no longer than 31/3/2025.
Complete
</t>
  </si>
  <si>
    <t>Historic Environment Record System (PMO Ref: 3024)
(currently provided by Exegesis) Now PMO Ref: 3178</t>
  </si>
  <si>
    <t>24+12+12</t>
  </si>
  <si>
    <t>Sarah Bateson (PM)</t>
  </si>
  <si>
    <t>Intend to direct award to incumbent via G-Cloud 12.
Contract has been drafted with a couple of outstanding comments for either the supplier or project team to confirm.
Contract Issued
Complete</t>
  </si>
  <si>
    <t>Adult and Children’s Social Care System &amp; Finance System
Project Kairos (2020 PMO Ref: 1940)</t>
  </si>
  <si>
    <t>LiquidLogic</t>
  </si>
  <si>
    <t>T&amp;C (Case Management)</t>
  </si>
  <si>
    <t>DN388697</t>
  </si>
  <si>
    <t>Property Asset Management System
(currently provided by Concerto)</t>
  </si>
  <si>
    <t>Christopher Taylor / Jon Holden</t>
  </si>
  <si>
    <t>FY2122Q3</t>
  </si>
  <si>
    <t>Completed</t>
  </si>
  <si>
    <t>Complex Contract Management System
(currently provided by Affinitext)</t>
  </si>
  <si>
    <t>Stuart Truman (T&amp;C) / Andrea Devine / Lisa Cooper</t>
  </si>
  <si>
    <t>Direct award under G-Cloud.  Contract drafted and awaiting comments back from supplier and Chris Taylor. Contract signed and saved, published to contract register.</t>
  </si>
  <si>
    <t>E-Books</t>
  </si>
  <si>
    <t>Lee Taylor</t>
  </si>
  <si>
    <t>Awarded - awaiting contract signature - chased.
Complete</t>
  </si>
  <si>
    <t>Local Bus Services (Scarborough Area) and Mainstream Home to School Transport (Hambleton and Scarborough Areas)</t>
  </si>
  <si>
    <t>+12</t>
  </si>
  <si>
    <t>gold</t>
  </si>
  <si>
    <t>Local Bus Services and Mainstream Home to School Transport (Selby Area)</t>
  </si>
  <si>
    <t>Special Educational Needs Home to School Transport - x7 schools (Applefields, Brooklands, The Dales, Hob Moor, Mowbray, Springhead, Welburn Hall)</t>
  </si>
  <si>
    <t>Internet Filtering for Schools (Currently Smoothwall Product via Insight)</t>
  </si>
  <si>
    <t>Exempt</t>
  </si>
  <si>
    <t>Keren Wild</t>
  </si>
  <si>
    <t>T&amp;C (Schools ICT)</t>
  </si>
  <si>
    <t>Client Caseload Information System
(currently Aspire, provided by Capita) PMO 3197</t>
  </si>
  <si>
    <t>YORtender to update.</t>
  </si>
  <si>
    <t>Education Case Management System (Servelec)
Project Kairos (2020 PMO Ref: 1940)</t>
  </si>
  <si>
    <t>Gary Cochrane</t>
  </si>
  <si>
    <t>DN577410</t>
  </si>
  <si>
    <t>Initial term</t>
  </si>
  <si>
    <t xml:space="preserve">Carers Information and Advice Service / 
Young Carers information and advice service </t>
  </si>
  <si>
    <t>3 + 2 + 2</t>
  </si>
  <si>
    <t xml:space="preserve"> HASLT: 15/07/21
HAS EX: 13/08/21</t>
  </si>
  <si>
    <t>Adam Gray / Stuart Williams</t>
  </si>
  <si>
    <t>Complete</t>
  </si>
  <si>
    <t>TEN (Risk Management &amp; Information System) PMO Ref: 3158 (Currently Hitech)</t>
  </si>
  <si>
    <t>Christopher Taylor / Fiona Sowerby</t>
  </si>
  <si>
    <t>Laura Baxter</t>
  </si>
  <si>
    <t>Contract sign-off completed. Contracts register and finder updated.</t>
  </si>
  <si>
    <t>DN395478</t>
  </si>
  <si>
    <t xml:space="preserve">Lone Worker Solutions (Alertcom) </t>
  </si>
  <si>
    <t>36+12</t>
  </si>
  <si>
    <t>Christopher Taylor / Stuart Langston</t>
  </si>
  <si>
    <t>Extension signed and completed 19/04/2022</t>
  </si>
  <si>
    <t>Telephony - ( Virgin / NG Bailey) Provision of support and voice services</t>
  </si>
  <si>
    <t>Andrew Lambert</t>
  </si>
  <si>
    <t>Contract signed 16/02.  Contract start date 01/04/2022.  Contract Title: Telephony - SIP Services, Mitel &amp; Contact Centre Support
Main telephony contract - decisions pending LGR outcome, resource to be assigned, but no action.
RFI issued over 3 Lots on the CCS NS2 Framework.  Lot 13 is to be awarded to Opus Telecom.  Gateway 1&amp;3 to go to PAB 12/01.  Key Decision to be made 17/01.
Lot 3 RFI responses to be reviewed an action later in January</t>
  </si>
  <si>
    <t>T&amp;C (Unified Comms)</t>
  </si>
  <si>
    <t xml:space="preserve">48920	</t>
  </si>
  <si>
    <t xml:space="preserve">Library Management System </t>
  </si>
  <si>
    <t xml:space="preserve">Completed. </t>
  </si>
  <si>
    <t>Variation</t>
  </si>
  <si>
    <t xml:space="preserve">Telephony - Licensing and Support Mitel SWA (Virgin / Mitel) Mitel Software Assurance </t>
  </si>
  <si>
    <t>Contract Variation</t>
  </si>
  <si>
    <t>FY2122Q1</t>
  </si>
  <si>
    <t>This is linked to the main telephony contract - decision pending LGR outcome. This does not need a gateway until 2022. Mitel Software Assurance is what needs renewing. Emailed AL. This might not need an extension. Katy from VMB mentioned the Software Assurance aspect runs until April 2022 alongside the orginial contract. Emailed Stacey for advice. Emailed Katy from Virgin to ask about extensions.  Software assurance is in place until April 2022. This does not need extending. A variation will be sent through to refelct the current service usage. Variation signed off 24th May 2021</t>
  </si>
  <si>
    <t>DN516126</t>
  </si>
  <si>
    <t>Strategic Sales Consultancy NYES</t>
  </si>
  <si>
    <t>12+6</t>
  </si>
  <si>
    <t>Linda Wilson</t>
  </si>
  <si>
    <t>6 Month extension signed and completed. June -December 2022. No new procurement post Dec 2022.</t>
  </si>
  <si>
    <t>DN476670</t>
  </si>
  <si>
    <t>Utilities</t>
  </si>
  <si>
    <t>Water Coolers and Associated goods</t>
  </si>
  <si>
    <r>
      <t>24+</t>
    </r>
    <r>
      <rPr>
        <sz val="11"/>
        <color rgb="FFFF0000"/>
        <rFont val="Calibri"/>
        <family val="2"/>
        <scheme val="minor"/>
      </rPr>
      <t>24</t>
    </r>
  </si>
  <si>
    <t>Amanda Manifield/Becky Naisbitt</t>
  </si>
  <si>
    <t>Becky Naisbitt</t>
  </si>
  <si>
    <t>Letter of Notice to Extend sent 12/07/21</t>
  </si>
  <si>
    <t>Corporate Contracts</t>
  </si>
  <si>
    <t>Anti Virus - Schools (currently Sophos)</t>
  </si>
  <si>
    <t>Nic Watters / Keren Wild</t>
  </si>
  <si>
    <t xml:space="preserve">Potential to accelerate this project and establish a new 3 year contract as no issues with existing supplier. KL to review framework options.
Further comp through KCS based on 100% price, documents being drafted
Complete
</t>
  </si>
  <si>
    <t>Service Area</t>
  </si>
  <si>
    <t>closed</t>
  </si>
  <si>
    <t>Previous 3 year contract executed via Best value Form - value of spend to be checked to see if BVF can be extended or if new procurement is required. Karen has handed this over to Andrew McLay &amp; Kevin Green - awaiting details from them as I can't find any previous best value forms or agreements for any previous info.
20/08 - Following LGR review, the service area are happy to continue with existing best value processes</t>
  </si>
  <si>
    <t>Contract for Pensions Tracing and Mortality Services</t>
  </si>
  <si>
    <r>
      <t>48+</t>
    </r>
    <r>
      <rPr>
        <sz val="11"/>
        <color rgb="FFFF0000"/>
        <rFont val="Calibri"/>
        <family val="2"/>
        <scheme val="minor"/>
      </rPr>
      <t>24</t>
    </r>
  </si>
  <si>
    <t>Jo Foster-Wade/Phillippa Cockerill</t>
  </si>
  <si>
    <t xml:space="preserve">Emailed Jo to confirm the two year extension. Document ready to be signed . Phillippa confirmed they will extend for full two years to June 2024. On signing hub. Signed and completed until July 2024 </t>
  </si>
  <si>
    <t>Tier 2 weight management</t>
  </si>
  <si>
    <r>
      <t>54+</t>
    </r>
    <r>
      <rPr>
        <sz val="11"/>
        <color rgb="FFFF0000"/>
        <rFont val="Calibri"/>
        <family val="2"/>
      </rPr>
      <t>24</t>
    </r>
  </si>
  <si>
    <t>HASLT - 4/11/2021
HASEX - 19/11/2021</t>
  </si>
  <si>
    <t>Door and Security Access System
(currently Semieta, provided by Access IT, under contract with Softcat)</t>
  </si>
  <si>
    <t>Softcat - Access IT</t>
  </si>
  <si>
    <t xml:space="preserve">Nick Leggott / Karen Adamson / Christopher Taylor </t>
  </si>
  <si>
    <t>FY22/23Q2</t>
  </si>
  <si>
    <t>Contract fully signed and contract records updated.</t>
  </si>
  <si>
    <t>Finance</t>
  </si>
  <si>
    <t>Virtual Accounts for Court of Protection (PMO Ref 2313)</t>
  </si>
  <si>
    <t>Nicola Young (PM)</t>
  </si>
  <si>
    <t>13/05 Contract Signed.  Contracts register updated with Corporate Banking Contract details.  
04/05Barclays due to sign 05/05, hoping contract will be fully signed by the end of this week.  Contract start date 01/06
27/04 Split to own project.  This contract is ready to be uploaded to Signing Hub.  It includes a back-dated Barclays banking agreement from 2022 as well as the variation for Virtual Accounts.</t>
  </si>
  <si>
    <t>Built Environment</t>
  </si>
  <si>
    <t>Construction Works (2021 onwards)</t>
  </si>
  <si>
    <t>Key Decision</t>
  </si>
  <si>
    <t>Paula McLean / Gemma Smith (Legal)</t>
  </si>
  <si>
    <t>Sam Spencer</t>
  </si>
  <si>
    <t>15/12/22 - Gateway 1 now fully signed off and filed. This can now be archived.
08/12/22 - MS advised that Finance have some concerns over the use of Yorbuild3. Awaiting further update on actions required.
01/12/22 - Gateway 1 signed off by PAB and Legal. Awaiting signatures from Finance and Corporate Director.
2022/08/06 Issued to HEm / VDi, meeting to dicuss 23/08
26/07/22 - Gateway 1 completed. Aiming to present to PAB 04/08
24/03/22 Awaiting outcome of framework tender before Gateway 1 can be finalised. 
2021/12/20 Gateway developments?
2021/06/16 MSi arranged round table w. stakeholders 26/07/2021
17/02/2021 - Currently working on G1. Awaiting input from project team before it can be finalised.
G1 for this needs to align with the G4 extension, due before Xmas with a view to start the procurement early 2021.
2020/08/10 Update meeting planned
23/04/2020 Catch up meeting held. Financial information provided on past projects along. Agreed to have separate gateways for works, roofing and fenestration.
17/05/2020 Agreed to take work back from Alistair due to PPE commitments.
15/04/2020 Update from Alistair, "Been very side-tracked on sourcing PPE and not had chance to look at this". Hopes to have something by Friday.
06/04/2020 assigned market research task to Alistair.
01/04/2020 Project handed over to Patricia from Sarah.
21/2/2020 - meeting to be held 24/02 on roofing, work on Gate 1 to be developed
18/07/2019 Workshop planned 26/09/2019, to start Gate 1</t>
  </si>
  <si>
    <t>DN430304</t>
  </si>
  <si>
    <t>Digital Signatures System
(currently SigningHub, provided by Ascertia)</t>
  </si>
  <si>
    <r>
      <t>24+</t>
    </r>
    <r>
      <rPr>
        <sz val="11"/>
        <color theme="1"/>
        <rFont val="Calibri"/>
        <family val="2"/>
        <scheme val="minor"/>
      </rPr>
      <t>12</t>
    </r>
    <r>
      <rPr>
        <sz val="11"/>
        <rFont val="Calibri"/>
        <family val="2"/>
        <scheme val="minor"/>
      </rPr>
      <t>+</t>
    </r>
    <r>
      <rPr>
        <sz val="11"/>
        <color rgb="FFFF0000"/>
        <rFont val="Calibri"/>
        <family val="2"/>
        <scheme val="minor"/>
      </rPr>
      <t>12</t>
    </r>
  </si>
  <si>
    <t>Signed extension july 2022-July 2023</t>
  </si>
  <si>
    <t>DN426497</t>
  </si>
  <si>
    <t>ePEP Virtual School Project</t>
  </si>
  <si>
    <t xml:space="preserve">Lorena Philips / Julie Bunn </t>
  </si>
  <si>
    <t xml:space="preserve">New contract due to start </t>
  </si>
  <si>
    <t>DN397068</t>
  </si>
  <si>
    <t>Furniture &amp; Soft Furnishings</t>
  </si>
  <si>
    <t>Removals services</t>
  </si>
  <si>
    <r>
      <t>24+12</t>
    </r>
    <r>
      <rPr>
        <sz val="11"/>
        <color rgb="FFFF0000"/>
        <rFont val="Calibri"/>
        <family val="2"/>
        <scheme val="minor"/>
      </rPr>
      <t>+12</t>
    </r>
  </si>
  <si>
    <t xml:space="preserve"> Roger Fairholm / Donna Stevenson</t>
  </si>
  <si>
    <t>GW4 approved, contract extension letter signed.  No further action required.</t>
  </si>
  <si>
    <t xml:space="preserve">NYCC Personalised Learning and Adult Learning  (High Needs Study Programme) &amp; Supported Internships Approved Provider List </t>
  </si>
  <si>
    <t>A Range of Providers on this APL</t>
  </si>
  <si>
    <r>
      <t>36+</t>
    </r>
    <r>
      <rPr>
        <sz val="10"/>
        <color rgb="FFFF0000"/>
        <rFont val="Calibri"/>
        <family val="2"/>
        <scheme val="minor"/>
      </rPr>
      <t>12</t>
    </r>
  </si>
  <si>
    <t>Debbie Breatcliffe / Rebecca Ward &amp; Stuart Williams</t>
  </si>
  <si>
    <r>
      <rPr>
        <sz val="10"/>
        <color rgb="FFFF0000"/>
        <rFont val="Calibri"/>
        <family val="2"/>
      </rPr>
      <t xml:space="preserve">File Path: People - High Needs Study Programme - 2019- 15 Contract </t>
    </r>
    <r>
      <rPr>
        <sz val="10"/>
        <color rgb="FF000000"/>
        <rFont val="Calibri"/>
        <family val="2"/>
      </rPr>
      <t>APL term 3 years with OTE for 1 yr.  All suppliers signed extensions from 1st August 2022- 31st July 2024. Closed. New Procurement Line added</t>
    </r>
  </si>
  <si>
    <t>Adult Learning System (currently provided by Tribal Education Limited)</t>
  </si>
  <si>
    <r>
      <rPr>
        <sz val="10"/>
        <color rgb="FF000000"/>
        <rFont val="Calibri"/>
        <family val="2"/>
      </rPr>
      <t xml:space="preserve">Tribal - </t>
    </r>
    <r>
      <rPr>
        <sz val="9"/>
        <color rgb="FF000000"/>
        <rFont val="Calibri"/>
        <family val="2"/>
      </rPr>
      <t>Mike.Plackett@tribalgroup.com</t>
    </r>
  </si>
  <si>
    <r>
      <rPr>
        <sz val="10"/>
        <color rgb="FF000000"/>
        <rFont val="Calibri"/>
        <family val="2"/>
      </rPr>
      <t>36 + 12+</t>
    </r>
    <r>
      <rPr>
        <sz val="10"/>
        <color rgb="FFFF0000"/>
        <rFont val="Calibri"/>
        <family val="2"/>
      </rPr>
      <t>12</t>
    </r>
  </si>
  <si>
    <t>09/20/2022</t>
  </si>
  <si>
    <r>
      <rPr>
        <sz val="10"/>
        <color rgb="FFFF0000"/>
        <rFont val="Calibri"/>
        <family val="2"/>
      </rPr>
      <t xml:space="preserve">File Path: Professional - T&amp;C - Education- Awarded- Adult Learning  
</t>
    </r>
    <r>
      <rPr>
        <sz val="10"/>
        <color rgb="FF000000"/>
        <rFont val="Calibri"/>
        <family val="2"/>
      </rPr>
      <t>Variation/ Extension fully signed and shared.</t>
    </r>
  </si>
  <si>
    <t>DN533207</t>
  </si>
  <si>
    <t>Case and Quality Management System
(currently BlackRainbow, under contract with Avatu Ltd as a reseller)</t>
  </si>
  <si>
    <t>Matt Hunter</t>
  </si>
  <si>
    <t>Completed as Director's recommendation prior.</t>
  </si>
  <si>
    <t>DN358533</t>
  </si>
  <si>
    <t>Stock Ordering System 
(Currently Cypad)</t>
  </si>
  <si>
    <t>6</t>
  </si>
  <si>
    <t xml:space="preserve">Shaun Mancrief / Lorena Philips </t>
  </si>
  <si>
    <t>Investigating Officer and Independent Person Stage 2 Service and Stage 3 Chair/Panellist Service</t>
  </si>
  <si>
    <t>Marion Sadler</t>
  </si>
  <si>
    <t>NY H</t>
  </si>
  <si>
    <t>Sutton Bank Geotechnical 2022 Works</t>
  </si>
  <si>
    <t>Stuart Grimston</t>
  </si>
  <si>
    <t>Martyn Chesworth</t>
  </si>
  <si>
    <t>2022/08/24  - award letter issued to IBEX - contract to pull togther.
2022/07/28  eval being completed, submissons being reviewed by WSP                                              
2022/06/23   currently out on tender due to close on 7th July                                                                                          
2022/05/09 - docs due to be ready from WSP around 25th May then will go to NYH for checking aiming to issue tender late may early june. works due start mid sept                                                                                           
2022/05/04 - call booked with Stuart and WSP on 9th May so i can get background on project 
2022/04/28 Swapped from ASm to MCh
2022/04/07 - Still disucssing possibility of using GI Framework for the route to market. 
2022/03/01 - Budget for 2022 confirmed at £195k therefore no stage report required. Docs due April 2022 
2022/02/08 - Documentation due for procurement review April 2022. Awaiting for confirmation of Market engagement and requirements for stage 1 report. 
2022/01/14 - Waiting go ahead from client on proposed procurement routes. Cannot progress without this confirmation
2021/12/07 Scope expansion to wider geo tech framework with specialist call off for the bank
2021/11/22 - Inital meeting discussions meeting today to progress opportunity. 
06/10/2021 - requested initial project meeting with Client - Awaiting confirmation
Is the new framework to be NY H, or was the list for the single order in 2021/22?
09/09/2021 Updated Directorate to NY H following updated list from BES via Kevin. 
03/09/2021 - Initial meeting to discuss requirements requested with the client
2021/08/27 To be actioned
2021/08/04 Preliminary exploration if this could be a solution to enable ECI and improved work planning around road closures.  SGr to raise to JMa / NSm</t>
  </si>
  <si>
    <t xml:space="preserve">Universal Youth Services </t>
  </si>
  <si>
    <t>North Yorkshire Youth</t>
  </si>
  <si>
    <t>36+36+24</t>
  </si>
  <si>
    <t>Key Decision 25/11/2021</t>
  </si>
  <si>
    <t>Rachel Miller</t>
  </si>
  <si>
    <t xml:space="preserve">Laura Baxter </t>
  </si>
  <si>
    <t>Domestic Abuse Safe Accommodation Strategic Needs Assessment</t>
  </si>
  <si>
    <t>Allan Wescott</t>
  </si>
  <si>
    <t>Resources</t>
  </si>
  <si>
    <t xml:space="preserve">Property, Procurement and Commercial </t>
  </si>
  <si>
    <t>Horticulture &amp; Arboriculture</t>
  </si>
  <si>
    <t>Arboriculture services</t>
  </si>
  <si>
    <t>Multiple</t>
  </si>
  <si>
    <t>Framework Establish</t>
  </si>
  <si>
    <t>Helen Arnold and Dennis Gregson</t>
  </si>
  <si>
    <t>Contracts signed off, records updated</t>
  </si>
  <si>
    <t>Horticultural</t>
  </si>
  <si>
    <t>Aruba WiFi  (via Khipu) Hardware replacement and software support</t>
  </si>
  <si>
    <t>CLOSED</t>
  </si>
  <si>
    <t>DN428773</t>
  </si>
  <si>
    <t xml:space="preserve">Map Management </t>
  </si>
  <si>
    <r>
      <rPr>
        <sz val="11"/>
        <color rgb="FF000000"/>
        <rFont val="Calibri"/>
        <family val="2"/>
      </rPr>
      <t>36+12+</t>
    </r>
    <r>
      <rPr>
        <sz val="11"/>
        <color rgb="FFFF0000"/>
        <rFont val="Calibri"/>
        <family val="2"/>
      </rPr>
      <t>12</t>
    </r>
  </si>
  <si>
    <t>Christopher Taylor / Karen Wilson</t>
  </si>
  <si>
    <t xml:space="preserve">12 month extension to March 2023 signed off </t>
  </si>
  <si>
    <t>Property (Estate and Projects) Consultancy Services (Currently Align)</t>
  </si>
  <si>
    <r>
      <t>36+12+12+</t>
    </r>
    <r>
      <rPr>
        <sz val="11"/>
        <color rgb="FFFF0000"/>
        <rFont val="Calibri"/>
        <family val="2"/>
      </rPr>
      <t>6</t>
    </r>
  </si>
  <si>
    <t>Jon Holden</t>
  </si>
  <si>
    <t xml:space="preserve">Signed and completed </t>
  </si>
  <si>
    <t>Server Hardware Maintenance</t>
  </si>
  <si>
    <t>OneSource IT</t>
  </si>
  <si>
    <t>Steve Caisley</t>
  </si>
  <si>
    <t>Steve sought three quotes. Retained OneSource IT with a discount to £6.3k for the year.</t>
  </si>
  <si>
    <t>T&amp;C (Infrastructure)</t>
  </si>
  <si>
    <t>Libraries</t>
  </si>
  <si>
    <t xml:space="preserve">On-line subscription to Oxford University Press (OUP) electronic resources </t>
  </si>
  <si>
    <t>Chrys Mellor</t>
  </si>
  <si>
    <t>EDRMS Support (Electronic Document and Records Management System)</t>
  </si>
  <si>
    <t>Daisy Corporate Services Trading Limited</t>
  </si>
  <si>
    <t>24</t>
  </si>
  <si>
    <t>Zoe Hide</t>
  </si>
  <si>
    <t>Contract signed. Complete</t>
  </si>
  <si>
    <t>Legal</t>
  </si>
  <si>
    <t>Legal Advice for Court of Protection</t>
  </si>
  <si>
    <t>60+36</t>
  </si>
  <si>
    <t>Linda Porritt / Julie Thompson6</t>
  </si>
  <si>
    <t xml:space="preserve">Meeting with service area and Catriona Gatrell/Wendy Cordery. Agreed that this wouldn't be of interest to medium/large firms available via the frameworks. ITB not worth pursuing due to low order quantities and value. Preferred option to seek three quotes perodically (per annum) to ensure best value is received and then re-visit if demand increases. </t>
  </si>
  <si>
    <t>Legal Services</t>
  </si>
  <si>
    <t>Security portfolio partner - Next Gen Firewall (Currently Palo Alto)</t>
  </si>
  <si>
    <t>NO</t>
  </si>
  <si>
    <t>Andrew Lambert / John Lewis</t>
  </si>
  <si>
    <t>Grounds Maintenance</t>
  </si>
  <si>
    <t>Nurture Landscapes Ltd</t>
  </si>
  <si>
    <t>18+12+12</t>
  </si>
  <si>
    <t>£300,000 - £600,000</t>
  </si>
  <si>
    <t>DPS - External call off</t>
  </si>
  <si>
    <t>Cam Adamson</t>
  </si>
  <si>
    <t xml:space="preserve">Contract signed. </t>
  </si>
  <si>
    <t>Holiday Activities Fund</t>
  </si>
  <si>
    <t xml:space="preserve">North Yorkshire Sport </t>
  </si>
  <si>
    <t>Marie-Ann Jackson</t>
  </si>
  <si>
    <t>Alison Dickinson</t>
  </si>
  <si>
    <r>
      <rPr>
        <sz val="10"/>
        <color rgb="FF000000"/>
        <rFont val="Calibri"/>
        <family val="2"/>
      </rPr>
      <t xml:space="preserve">contract signed - </t>
    </r>
    <r>
      <rPr>
        <b/>
        <sz val="10"/>
        <color rgb="FF000000"/>
        <rFont val="Calibri"/>
        <family val="2"/>
      </rPr>
      <t>Complete</t>
    </r>
  </si>
  <si>
    <t>Community Development</t>
  </si>
  <si>
    <t>Household Support Fund (HSF) - DWP Voucher Scheme</t>
  </si>
  <si>
    <t>BlackHawk International</t>
  </si>
  <si>
    <t>6+6</t>
  </si>
  <si>
    <t>Adele Wilson-Hope</t>
  </si>
  <si>
    <r>
      <rPr>
        <sz val="10"/>
        <color rgb="FF000000"/>
        <rFont val="Calibri"/>
        <family val="2"/>
      </rPr>
      <t xml:space="preserve">call off signed sent to supplier 15/12/220 </t>
    </r>
    <r>
      <rPr>
        <b/>
        <sz val="10"/>
        <color rgb="FF000000"/>
        <rFont val="Calibri"/>
        <family val="2"/>
      </rPr>
      <t>Complete</t>
    </r>
  </si>
  <si>
    <t>HP 5900 (DR &amp; Citrix) + HP 5700 (Selby DC) - support</t>
  </si>
  <si>
    <t>Best Value - level of support was dropped to hardware replacement only and via a 3rd party rather than HP.  Andy L has placed an order for £6695.68 to start 01/11/2021 for 1 year.</t>
  </si>
  <si>
    <t>Pension Legal Advisors</t>
  </si>
  <si>
    <t>36+24+12</t>
  </si>
  <si>
    <t>Phillippa Cockerill/Jo Wade</t>
  </si>
  <si>
    <t>Supplier and service area happy to extend another 12 months.  Legal happy that this is under threshold and not a significant change to the contract so Vicky M has drafted the extension document for supplier to review. 
14/09 Extension signed - now extended to August 2023</t>
  </si>
  <si>
    <t>DN408771</t>
  </si>
  <si>
    <t>Corporate Anti-Virus 
(currently Trend Micro, provided under contract with Softcat)</t>
  </si>
  <si>
    <r>
      <rPr>
        <sz val="10"/>
        <color rgb="FF000000"/>
        <rFont val="Calibri"/>
        <family val="2"/>
      </rPr>
      <t xml:space="preserve">Trend Mirco - </t>
    </r>
    <r>
      <rPr>
        <sz val="9"/>
        <color rgb="FF000000"/>
        <rFont val="Calibri"/>
        <family val="2"/>
      </rPr>
      <t>AndrewPl@softcat.com</t>
    </r>
  </si>
  <si>
    <r>
      <t>36+</t>
    </r>
    <r>
      <rPr>
        <sz val="10"/>
        <color rgb="FFFF0000"/>
        <rFont val="Calibri"/>
        <family val="2"/>
        <scheme val="minor"/>
      </rPr>
      <t>24</t>
    </r>
  </si>
  <si>
    <r>
      <rPr>
        <sz val="10"/>
        <color rgb="FFFF0000"/>
        <rFont val="Calibri"/>
        <family val="2"/>
      </rPr>
      <t>File Path: Professional - T&amp;C - Unified Comms - Awarded - Corporate Anti Virus</t>
    </r>
    <r>
      <rPr>
        <sz val="10"/>
        <color rgb="FF000000"/>
        <rFont val="Calibri"/>
        <family val="2"/>
      </rPr>
      <t xml:space="preserve"> Extension signed and completed</t>
    </r>
  </si>
  <si>
    <t>Vehicle Telematics
(currently provided by Ctrack)</t>
  </si>
  <si>
    <t>C-Track YPO  Framework - Ged O'Hagan ged.ohagan@inseego.com</t>
  </si>
  <si>
    <r>
      <t>36+</t>
    </r>
    <r>
      <rPr>
        <sz val="10"/>
        <color rgb="FFFF0000"/>
        <rFont val="Calibri"/>
        <family val="2"/>
        <scheme val="minor"/>
      </rPr>
      <t>12</t>
    </r>
    <r>
      <rPr>
        <sz val="10"/>
        <rFont val="Calibri"/>
        <family val="2"/>
        <scheme val="minor"/>
      </rPr>
      <t>+12</t>
    </r>
  </si>
  <si>
    <t xml:space="preserve">Andrew Sharpin / Christopher Taylor </t>
  </si>
  <si>
    <r>
      <rPr>
        <sz val="10"/>
        <color rgb="FFFF0000"/>
        <rFont val="Calibri"/>
        <family val="2"/>
      </rPr>
      <t xml:space="preserve">File Path: Professional - T&amp;C - Business- Awarded - Vehicle Telematics </t>
    </r>
    <r>
      <rPr>
        <sz val="10"/>
        <color rgb="FF000000"/>
        <rFont val="Calibri"/>
        <family val="2"/>
      </rPr>
      <t xml:space="preserve">Gateway approved 28/07. 24 Month extension signed and completed </t>
    </r>
  </si>
  <si>
    <t>Stronger Communities Consultancy Support for the Voluntary, Community and Social Enterprise Sector</t>
  </si>
  <si>
    <t xml:space="preserve">Marie-Ann has confirmed to close this project. The potential integration with the VCSE Support Contract didn't go ahead and there was no imminent need for any replacement to the original APL. Marie-Ann to raise a new request in the future if a need arises. </t>
  </si>
  <si>
    <t>HR Recruitment Main Admin System</t>
  </si>
  <si>
    <t>Natalie Cronin</t>
  </si>
  <si>
    <t>FY2223Q1</t>
  </si>
  <si>
    <t xml:space="preserve">Contract signed and complete. </t>
  </si>
  <si>
    <t>T&amp;C (HR)</t>
  </si>
  <si>
    <t>Facilities</t>
  </si>
  <si>
    <t>Washroom Services</t>
  </si>
  <si>
    <t>36 + 12</t>
  </si>
  <si>
    <t>Roger Fairholm / Andy McLay / Becky Naisbitt</t>
  </si>
  <si>
    <t>G4a approved by PAB on 8/12/21.  NFA on this contract.</t>
  </si>
  <si>
    <t>NYCC</t>
  </si>
  <si>
    <t>Director of Public Health</t>
  </si>
  <si>
    <t xml:space="preserve">Oral Health Promotion </t>
  </si>
  <si>
    <t>HDFT</t>
  </si>
  <si>
    <t>Catherine  Baker</t>
  </si>
  <si>
    <t>Contract signed and records updated.</t>
  </si>
  <si>
    <t>Subscription to IHS https://global.ihs.com/</t>
  </si>
  <si>
    <t>Email comms with JH taking place, awaiting further instruction</t>
  </si>
  <si>
    <t>Supply of Office Furniture</t>
  </si>
  <si>
    <t xml:space="preserve">no </t>
  </si>
  <si>
    <t>Paula Dawson / Amanda Manifield</t>
  </si>
  <si>
    <t>04/04 - Contract fully signed.Start date 01/04.  Contract on Mercell &amp; Contracts Regsiter. Can be closed.
NOTE - if we want to extend we need to call this off by 31/12/23
24/03 - Revised contract uploaded to Signing Hub today.
17/02
Gateway 1 &amp; 3 taken to PAB today to start a new agreement via the YPO framework for Office Furniture, continuing with Greshams as they are top ranked supplier on this framework.  Working with Mandy &amp; Paula &amp; Becky to get the spec/core list and other appendices ready.  Call-off terms due to be reviewed by legal net week.  Latest award date expected to be 01/04/2022.
Extension not approved by HE/VD - need to direct award to cover over the LGR period if possible. G4a approved by PAB 04/06/21.  Awaiting full sign off.</t>
  </si>
  <si>
    <t>Email Archive Quest Software support</t>
  </si>
  <si>
    <t>DN332989</t>
  </si>
  <si>
    <t xml:space="preserve">Counsel APL - Legal Services </t>
  </si>
  <si>
    <r>
      <t>36+12+</t>
    </r>
    <r>
      <rPr>
        <sz val="10"/>
        <color rgb="FFFF0000"/>
        <rFont val="Calibri"/>
        <family val="2"/>
        <scheme val="minor"/>
      </rPr>
      <t>12</t>
    </r>
  </si>
  <si>
    <t>Pauline Smurthwaite/Sarah Morton</t>
  </si>
  <si>
    <t>2022-2023 extension approved and provision for 2023 variaiton for additional 2 years approved on the basis we request schedule of fees in 2023. Once new fees are recieved we can decide if we wish to extend for the provisionally approved 2 years. Decision to be made in 2023. No new updates</t>
  </si>
  <si>
    <t>SEN Mediation and Disagreement Resolution</t>
  </si>
  <si>
    <t>Collis</t>
  </si>
  <si>
    <t>Anna Gray</t>
  </si>
  <si>
    <t>Debbie Walton</t>
  </si>
  <si>
    <t>Y</t>
  </si>
  <si>
    <t xml:space="preserve">Variation completed. Uploaded to signing hub on  14/12/2022. Variation will extend the contract to 31. August 2023. Procurement resource allocated and Contract Manager made aware. Contract signed. </t>
  </si>
  <si>
    <t>Hard Facilities Management Servicing and Repairs 2023 onwards
- Chimneys, Lighting Conductors etc.
- Fire Equipment
- Asbestos Analysis.
(Current Lots 7,9,11 2022/23 to 31/01/23)</t>
  </si>
  <si>
    <t>key Decision</t>
  </si>
  <si>
    <t>Jon Holden / 
Shaun Tunny</t>
  </si>
  <si>
    <t>20/10/22 - Specific projects have been added to the FPP so this overview line can be removed.
26/07/22 - Two workshops held so far, various lots progressing. This line may need to be split into individual Lots.
26/05/22 - Met with Shaun Tunney and Trevor Lambert on 17/05 to discuss the procurement process
2022/04/13 Tfr to SSp from ASm, projects confirmed, values refreshed from orginal G1 
2022/03/24 Tfr to ASm from PMu, meeting 13/04 w. JHo etc to dicuss
28/02/2022 Raised issue around resource with Jon and discussed options going forward. 
21/02/2022 Meeting between Shuan &amp; Patricia to review current needs.
18/02/2022 Meeting held with Martin, Patricia, Shaun and Jon. Agreed actions to move project forward.
2021/12/24 Market research to be commence in Jan 2023; proffered meeting w. Property Service mid Feb / Early Mar to confirm requirments going fwd. Potential intial dicussion with STu and JHo in mid Jan (IHa leaves ~Feb 2022)
2021/12/22 Following extension, refresh to three Lots for Feb 2023 start</t>
  </si>
  <si>
    <t>Citrix Virtual Apps and Desktop (software assurance and support)</t>
  </si>
  <si>
    <t>Softcat</t>
  </si>
  <si>
    <t>Gordon Atkin</t>
  </si>
  <si>
    <t>Financial Services/Insurance</t>
  </si>
  <si>
    <t>Insurance Broker and Risk Management Consultancy Services</t>
  </si>
  <si>
    <r>
      <t>36+</t>
    </r>
    <r>
      <rPr>
        <sz val="11"/>
        <color rgb="FFFF0000"/>
        <rFont val="Calibri"/>
        <family val="2"/>
        <scheme val="minor"/>
      </rPr>
      <t>12</t>
    </r>
    <r>
      <rPr>
        <sz val="11"/>
        <rFont val="Calibri"/>
        <family val="2"/>
        <scheme val="minor"/>
      </rPr>
      <t>+12+12</t>
    </r>
  </si>
  <si>
    <t>Fiona Sowerby</t>
  </si>
  <si>
    <t>FY2223Q2</t>
  </si>
  <si>
    <t xml:space="preserve">Extension signed for additional 12 months </t>
  </si>
  <si>
    <t>DN366170</t>
  </si>
  <si>
    <t xml:space="preserve">Drug and Alcohol Service </t>
  </si>
  <si>
    <t>Humankind</t>
  </si>
  <si>
    <t>31/03/2022</t>
  </si>
  <si>
    <t>Angela Hall</t>
  </si>
  <si>
    <t xml:space="preserve">Contract variation fully signed.  </t>
  </si>
  <si>
    <t>DN379371</t>
  </si>
  <si>
    <t>Website Hosting - Drupal (Currently Code Enigma)</t>
  </si>
  <si>
    <t>UNTIL MARCH 2023</t>
  </si>
  <si>
    <t>DN532476</t>
  </si>
  <si>
    <t>Fleet Management</t>
  </si>
  <si>
    <t>Radio Maintenance</t>
  </si>
  <si>
    <t>Andrew Sharpin / Kelly Baxter</t>
  </si>
  <si>
    <t>05/20/22 directors recomendation signed off published on yortender  ref 33398                                                                                                           05/06/2022 paperwork complted and sent to myslef today will check and then proceed with  next steps.                                                            04/22/22  Gary completing paperwork due to be ready w/c 25th apr 04/04/22 - had call with Kelly and Gary,  documentation being prepared should be ready w/c 11th Apr,  call booked in with Gary on the tuesday Directors Recommendation completed previously due to past spend.  Initial conversation has taken place with Kelly.  Likely to be a Directors Recommendation; however, further info required from Kelly and Gary White.                                                                                                      03/24/22 meetng held with Kelly and Gary  during w/c 14th March, Gary to work docs follow up meeting booked for w/c 4th apr       03/11/22  - meeting booked in with Kelly and Gary w/c 14/03/21</t>
  </si>
  <si>
    <t>Year 1: £127,000
Year 2:   £31,000
Year 3:   £31,000
Year 4:   £31,000
Year 5:   £36,000</t>
  </si>
  <si>
    <t>DN549272</t>
  </si>
  <si>
    <t>Human Resources</t>
  </si>
  <si>
    <t>NYCC Employee Assistance Programme (EAP)</t>
  </si>
  <si>
    <t>Anna Rea</t>
  </si>
  <si>
    <t xml:space="preserve">Order form signed and complete. (One x 12 month extension available). </t>
  </si>
  <si>
    <t>HR &amp; Training</t>
  </si>
  <si>
    <t xml:space="preserve">Agency Services </t>
  </si>
  <si>
    <t>Matrix SCM</t>
  </si>
  <si>
    <t>Sarah France-Gorton</t>
  </si>
  <si>
    <t xml:space="preserve">Customer Agreement (call-off) complete and signed (7/9). </t>
  </si>
  <si>
    <r>
      <rPr>
        <sz val="10"/>
        <color rgb="FFFF0000"/>
        <rFont val="Calibri"/>
        <family val="2"/>
      </rPr>
      <t xml:space="preserve">File path: N:\fcs-data\Procurement\PROFESSIONAL\HR &amp; Training\1. AWARDED - LIVE\2022-2026 Agency Services (36463)
</t>
    </r>
    <r>
      <rPr>
        <sz val="10"/>
        <color rgb="FF000000"/>
        <rFont val="Calibri"/>
        <family val="2"/>
      </rPr>
      <t>Contract variation fully signed and shared with both parties.</t>
    </r>
  </si>
  <si>
    <t>Egress secure email - licensing</t>
  </si>
  <si>
    <t xml:space="preserve"> 01/03 - Andy confirms that all users are moving to Exchange Online by end of April at which point we can use the secure email functionality within MO365.  Therefore we do not need to re-procure this one
£17,410pa – hoping to replace with functionality in Office 365 – due 15/7/22 this will hopefully mean this requirement on its own will not need to be re-procured - TBA ASAP</t>
  </si>
  <si>
    <t>HR</t>
  </si>
  <si>
    <t>Shared Cost Additional Voluntary Contribution Schemes (SCAVC’s) (Everybody Benefits - Salary Sacrifice add on)</t>
  </si>
  <si>
    <t>~£30,000</t>
  </si>
  <si>
    <t>Kim Trenholme</t>
  </si>
  <si>
    <t>Order form signed. Complete</t>
  </si>
  <si>
    <t>Aircheck - support</t>
  </si>
  <si>
    <t>Only £349/year - Andy L will sort out.</t>
  </si>
  <si>
    <t>DN548310</t>
  </si>
  <si>
    <t>Sustainable Growth Consultancy
(currently provided by Henham Strategy)</t>
  </si>
  <si>
    <r>
      <t>12+</t>
    </r>
    <r>
      <rPr>
        <sz val="11"/>
        <color rgb="FFFF0000"/>
        <rFont val="Calibri"/>
        <family val="2"/>
      </rPr>
      <t>12</t>
    </r>
  </si>
  <si>
    <t>Liz Small</t>
  </si>
  <si>
    <t>Extension agreed an drafted. Liz Small checking with Steering Group before confirming again. Chased Liz. Chased Liz again. Liz confirmed they will extend at the fixed price. Karl Battersby confirmed he will sign. On signing hub. Signed and completed 28.03.2022</t>
  </si>
  <si>
    <t>DN190791</t>
  </si>
  <si>
    <t>Educational visit software - risk assessment tool for school visits - evolve - edubase</t>
  </si>
  <si>
    <t>EduFocus</t>
  </si>
  <si>
    <t>Waiver</t>
  </si>
  <si>
    <t>Waiver approved and extension signed off. Contracts register updated</t>
  </si>
  <si>
    <t>Hard Facilities Management Servicing and Repairs 2020-2024
Lots 2 and 4 onwards (exluding 1 &amp; 3)</t>
  </si>
  <si>
    <t>After 2020</t>
  </si>
  <si>
    <t>Cawood and Selby Swing Bridge Maintenance</t>
  </si>
  <si>
    <t>DN537296</t>
  </si>
  <si>
    <t>Secure File Transfer System for Early Year Provider Data
(currently AnyComms Plus, provided by AVCO Systems)</t>
  </si>
  <si>
    <t>No extesion -just yearly renewals. Check with lorena if this is still requied in Jan 2022. Renewal required by May 2022.  Agreement with supplier to review before sign off. On Signing Hub. Signed and completed</t>
  </si>
  <si>
    <t>Thirsk School &amp; Sixth Form - 20015 Replace double PCU 2022</t>
  </si>
  <si>
    <t xml:space="preserve">	47359</t>
  </si>
  <si>
    <t>Thirsk CPS - 20014 Replace single PCU - 2022</t>
  </si>
  <si>
    <t>Burton Salmon Primary School - 20007 HORSA replacement - 2022</t>
  </si>
  <si>
    <t>Altia Toolbar and Toolkit Software</t>
  </si>
  <si>
    <t>Jonathan (David) Miller / Ritch Bain</t>
  </si>
  <si>
    <t>Graham Pearey</t>
  </si>
  <si>
    <t xml:space="preserve">BVF submitted by David Miller on 11/02/22.  The perpetual licence that we previously had for Altia has been phased out, so as for this renewal, NYCC have been moved to Altia’s normal licencing scheme, which is more expensive than we pay currently.  Contract is for 1 year, as, rather than move up to the new (higher) price in one fell swoop, we’ll see our price increase in a more gradual way, so the 2022 renewal quote is discounted and then, from 2023 onwards, we’ll pay full price.
</t>
  </si>
  <si>
    <t>Domestic Abuse Housing Alliance (DAHA) Accreditation for Housing Providers</t>
  </si>
  <si>
    <t>Microsoft Licencing Solution Partner for Campus Agreement, Server and Cloud Enrolment and Enterprise Subscription Agreement.</t>
  </si>
  <si>
    <t xml:space="preserve">Kitchen Management System (3157)
Catering Traded Service Stock Ordering System </t>
  </si>
  <si>
    <t>Civica UK Limited</t>
  </si>
  <si>
    <t>Graham Foxton / Alan Watson / Lorena Phillips</t>
  </si>
  <si>
    <t xml:space="preserve">Contract complete. </t>
  </si>
  <si>
    <t>Prevention and Wellbeing Service</t>
  </si>
  <si>
    <t>48+24</t>
  </si>
  <si>
    <t>Grant</t>
  </si>
  <si>
    <t>HASLT: 03/03/2022
KD: 11/03/2022
HAS EX: 11/03/2022</t>
  </si>
  <si>
    <t>Marie-Anne Jackson / Adam Grey</t>
  </si>
  <si>
    <r>
      <rPr>
        <sz val="10"/>
        <color rgb="FF000000"/>
        <rFont val="Calibri"/>
        <family val="2"/>
      </rPr>
      <t xml:space="preserve">Approval from KL to proceed as discussed info gone out to providers  no further action required from procurement - </t>
    </r>
    <r>
      <rPr>
        <b/>
        <sz val="10"/>
        <color rgb="FF000000"/>
        <rFont val="Calibri"/>
        <family val="2"/>
      </rPr>
      <t>Complete</t>
    </r>
  </si>
  <si>
    <t>DN218887</t>
  </si>
  <si>
    <t>Insurance System
(currently EvoClaim, provided by DWF 360)</t>
  </si>
  <si>
    <r>
      <rPr>
        <sz val="10"/>
        <color rgb="FF000000"/>
        <rFont val="Calibri"/>
        <family val="2"/>
      </rPr>
      <t xml:space="preserve">DWF 360 </t>
    </r>
    <r>
      <rPr>
        <sz val="9"/>
        <color rgb="FF000000"/>
        <rFont val="Calibri"/>
        <family val="2"/>
      </rPr>
      <t>chris.mates@dwf360.com dean.watmough@dwf360.com</t>
    </r>
  </si>
  <si>
    <r>
      <t>24+24+24+</t>
    </r>
    <r>
      <rPr>
        <sz val="10"/>
        <color rgb="FFFF0000"/>
        <rFont val="Calibri"/>
        <family val="2"/>
        <scheme val="minor"/>
      </rPr>
      <t>24+</t>
    </r>
    <r>
      <rPr>
        <sz val="10"/>
        <color theme="1"/>
        <rFont val="Calibri"/>
        <family val="2"/>
        <scheme val="minor"/>
      </rPr>
      <t>24+24</t>
    </r>
  </si>
  <si>
    <t>Richard Seddon</t>
  </si>
  <si>
    <r>
      <rPr>
        <sz val="10"/>
        <color rgb="FF000000"/>
        <rFont val="Calibri"/>
        <family val="2"/>
      </rPr>
      <t xml:space="preserve">2022/11/22 Complete - extension agreement signed by all parties and distributed
</t>
    </r>
    <r>
      <rPr>
        <sz val="10"/>
        <color rgb="FFFF0000"/>
        <rFont val="Calibri"/>
        <family val="2"/>
      </rPr>
      <t>File Path: Professional -T&amp;C - Business-Awarded- Insurance and Risk Management</t>
    </r>
  </si>
  <si>
    <t>Health and Adult Services</t>
  </si>
  <si>
    <t>Green Homes Grant / Sustainable Warmth Grant</t>
  </si>
  <si>
    <t>Up until March 2023</t>
  </si>
  <si>
    <t>Carly Walker</t>
  </si>
  <si>
    <t>complete</t>
  </si>
  <si>
    <t>2022/07/28 - Contract agreed - PP sending to YES for signature via post
2022/07/12 - Contract discussions still ongoing with sucessful tenderer. Contract drafted but not signed. 
2022/06/27 - Awaiting contract completion
2022/06/21 - Project awarded to YES energy - PP are arranging for the contract to be issued - Start up  meeting took place with the supplier on the 21.06.2022.
2022/06/09 Issued to AHo / VDi for approval, request made for expediency.
2022/06/08 - Tenders evaluated - Presenting GW4 at PAB 09/06/2022 for award W/C 13/06/2022.
2022/05/26 - Quality Evaluation and consensus complete - Pricing evaluation and clarification on going - Hoping to present at PAB on 09/06/2022.
2022/05/18 - 3 tender returns recieved - Consensus 25.05.2022.
2022/04/20 - Out to tender - Return 17th May
2022/04/07 - Documents stilll in development with APP - GW2 outstanding - Out to tender hopefully W/C 18/04/2022.
2022/03/17 - Documents still being developed - Docuement release hoping April 2022. GW fully authorised
2022/02/24 G1 issued to BKh and meeting w. AHo / VDi 02/03
21/02/2022 - KD Approved 15.01.2022 - Present at PAB 24.02.2022 - Bevan working on T&amp;Cs estimated completion for T&amp;C review 01.03.2022.
14/01/2022 - KD still progressing - GW being developed - Procurement route being estbalished via PROCUREPLUS - roles and responsibilities being assigned in project group. Anticipated EOI release by end of Jan and tender documents release mid feb.
22/12/2021 - KD is being progressed and GW drafted to present in the new year
2021/11/22 - Review of several frameworks considered however best route to market is procureplus. Legal reviewing framework terms and will advise before progressing this forward. 
2021/10/11 Antonia now to take fwd recommendation of DPS, collaboration agreements etc.
2021/06/01 to explore framework options for delivery of Green Homes to allow feedback to key stakeholder, CWa.  Potential delivery Autumn 2021 to March 2023
2021/01/19 Confirmed KD taken</t>
  </si>
  <si>
    <t>Technology</t>
  </si>
  <si>
    <t>SFTP Support - Ipswitch</t>
  </si>
  <si>
    <t>Service area led.</t>
  </si>
  <si>
    <t>Adult Weight Management</t>
  </si>
  <si>
    <t>Marion Newhouse</t>
  </si>
  <si>
    <t>FY2223Q4</t>
  </si>
  <si>
    <t>Awaiting further detail form Sevice area
To take to PAB 20th October - PASSED and returned 28th October
Variation documents in draft with MN 
Awaiting returned documents on SH - Complete</t>
  </si>
  <si>
    <t>Subsidiary-free Solar Farm (Turnkey Solution)</t>
  </si>
  <si>
    <t>Continue</t>
  </si>
  <si>
    <t xml:space="preserve">Extension  </t>
  </si>
  <si>
    <t xml:space="preserve">Healthwatch </t>
  </si>
  <si>
    <t>Healthwatch NY</t>
  </si>
  <si>
    <t xml:space="preserve">Daniel Harry </t>
  </si>
  <si>
    <t>Contract extension fully signed and shared with both parties.</t>
  </si>
  <si>
    <t>Oakbeck Bridge, A59 Harrogate
New structure
A80008</t>
  </si>
  <si>
    <t>Phil Richardson (Bridges)</t>
  </si>
  <si>
    <t>2022/11/01 PRi confirmed no action required
2022/09/06 New scheme check with PRi on dates</t>
  </si>
  <si>
    <t>Corporate CRM (Customer Relationship Management) System Services</t>
  </si>
  <si>
    <t>Boxxe</t>
  </si>
  <si>
    <t>Area 3 Tender Package 2 R&amp;R
New Road Robin Hoods Bay - Cat 4b
Bank Top Lane to Cockpit Hill
Ellerby lane
Snainton
Coldyhill Lane
Mount Park Road</t>
  </si>
  <si>
    <t>n/a</t>
  </si>
  <si>
    <t>Area 2 Tender Package 1 Thirsk R&amp;R / Drainage
York Road Drainage
York Road R&amp;R
Felixkirk R&amp;R
Blakey Lane R&amp;R</t>
  </si>
  <si>
    <t>Area 4 Tender Package 2 R&amp;R
Thorn Wath R&amp;R
Gillamoor R&amp;R
Lilling Back Lane R&amp;R
Little Barugh
Kirkby Misperton R&amp;R</t>
  </si>
  <si>
    <t>Area 5 Carriageway Surfacing Package No.2 21/22
11 schemes involving overlay, inlay, patching, road marking and minor works
A50002</t>
  </si>
  <si>
    <t>Bishop Monkton Primary School - 20008 PCU replacement with traditional build - 2022</t>
  </si>
  <si>
    <t>Non active</t>
  </si>
  <si>
    <t>Subscription</t>
  </si>
  <si>
    <t>Municipal Journal Subscription (MJ)</t>
  </si>
  <si>
    <t>Hemming Group PLC</t>
  </si>
  <si>
    <t>Amanda Fry</t>
  </si>
  <si>
    <t>Invoice sent to Amanda for authorisation</t>
  </si>
  <si>
    <t>Malton and Norton Butchers Corner Signalling Upgrade with associated works</t>
  </si>
  <si>
    <t>Pre Payment Cards for Court of Protection (PMO Ref 2313)</t>
  </si>
  <si>
    <t>1+1+1</t>
  </si>
  <si>
    <t>Sleights Primary School - 20010 PCU replacement - 2022</t>
  </si>
  <si>
    <t>Wykeham CE Primary School - 20019 PCU replacement - 2022</t>
  </si>
  <si>
    <t>HP 10504 Core Switch - support</t>
  </si>
  <si>
    <t>HP 5900 (Datacentre &amp; DR) - support</t>
  </si>
  <si>
    <t>Wide Area Network (WAN) - Schools
(currently Nynet)</t>
  </si>
  <si>
    <r>
      <t>36+</t>
    </r>
    <r>
      <rPr>
        <sz val="11"/>
        <color rgb="FFFF0000"/>
        <rFont val="Calibri"/>
        <family val="2"/>
      </rPr>
      <t>36</t>
    </r>
  </si>
  <si>
    <t>GW4 approved at PAB - Variation signed and completed from Legal. Gateway 4 started and sent to Keren for cost figures associated with 3 years extra. Sarah confirmed we can go ahead with the extension for Schools and leave corporate contract seperate. Good to go to PAB. Provisionally approved providing a key decision is done. Added to forward plan 17th Feb. Decision Record sent to Julie. Decision to be made 17.03.2022. Extension on Signing Hub. SIGNED AND COMPLETED</t>
  </si>
  <si>
    <t>Interim Chief Digitial Officer as a service</t>
  </si>
  <si>
    <r>
      <t>12+</t>
    </r>
    <r>
      <rPr>
        <sz val="11"/>
        <color rgb="FFFF0000"/>
        <rFont val="Calibri"/>
        <family val="2"/>
        <scheme val="minor"/>
      </rPr>
      <t>12</t>
    </r>
    <r>
      <rPr>
        <sz val="11"/>
        <rFont val="Calibri"/>
        <family val="2"/>
        <scheme val="minor"/>
      </rPr>
      <t>+12</t>
    </r>
  </si>
  <si>
    <t xml:space="preserve">No </t>
  </si>
  <si>
    <t xml:space="preserve">NA  </t>
  </si>
  <si>
    <t>Neil Bartram</t>
  </si>
  <si>
    <t>Signed and completed 04/05/2022. Extension in place until March 2023</t>
  </si>
  <si>
    <t>Transformation Apprenticeship Pathway</t>
  </si>
  <si>
    <t>Ruth Chester</t>
  </si>
  <si>
    <t xml:space="preserve">Signed for 12 months </t>
  </si>
  <si>
    <t>DN450159</t>
  </si>
  <si>
    <t>Micro Drainage licences, support and maintenance</t>
  </si>
  <si>
    <t>12 + 12</t>
  </si>
  <si>
    <t>HP Support, 10504 Core Switch/5900</t>
  </si>
  <si>
    <t>DN542302</t>
  </si>
  <si>
    <t>Budget planning tool for schools</t>
  </si>
  <si>
    <t>Orovia</t>
  </si>
  <si>
    <r>
      <t>24+</t>
    </r>
    <r>
      <rPr>
        <sz val="10"/>
        <color rgb="FFFF0000"/>
        <rFont val="Calibri"/>
        <family val="2"/>
        <scheme val="minor"/>
      </rPr>
      <t>12</t>
    </r>
    <r>
      <rPr>
        <sz val="10"/>
        <rFont val="Calibri"/>
        <family val="2"/>
        <scheme val="minor"/>
      </rPr>
      <t>+12</t>
    </r>
  </si>
  <si>
    <t>Helen Otter</t>
  </si>
  <si>
    <t>Helen confirmed extension in May 2023. To Hand to Emma
Extension signed - complete</t>
  </si>
  <si>
    <t>DN509166</t>
  </si>
  <si>
    <t>Environment</t>
  </si>
  <si>
    <t>ENCTS Back Office Services (2020 PMO Ref: 2913)
(currently provided by ACT)</t>
  </si>
  <si>
    <r>
      <t>24</t>
    </r>
    <r>
      <rPr>
        <sz val="10"/>
        <color rgb="FFFF0000"/>
        <rFont val="Calibri"/>
        <family val="2"/>
        <scheme val="minor"/>
      </rPr>
      <t>+11</t>
    </r>
  </si>
  <si>
    <t>Cathy Knight</t>
  </si>
  <si>
    <t>2023/01/25 Extension notice fully signed - COMPLETE
2023/01/19 Sent extension notice to contractor, put on signing hub
2023/01/17 SS chased RL for sign off
2022/11/24 G4 approved by PAB
2022/11/18 Sent G4 to service area and saved in PAB folder for 24/11/2022
2022/11/16 Legal are happy the extension is Reg 72 compliant 
2022/11/11 Sent Information to Abi in Legal
2022/10/28 Informed servcie area of potential overspend and that legal support has been requested
2022/10/26 Extension likely to exceed whole life cost, have requested legal support and informed Stacey
2022/10/21 Client cannot find current spend figures, will prepare a G4
2022/10/11 Met with client, they are going to send me the current spend figures
2022/10/07 Set up meeting with client
This procurement was put in place in May 2021. Not due extension until April 2023. Current cost under OJEU
Contact made. Richard Seddon to produce extension letter and Gateway 4.</t>
  </si>
  <si>
    <t>Cloud Backup Service for Schools
(currently provided by Redstor through Softcat)</t>
  </si>
  <si>
    <t xml:space="preserve">05/04 Contract fully signed and added to contracts register </t>
  </si>
  <si>
    <t>Area 2 22/23 capital programme: tender package 4: PSDP</t>
  </si>
  <si>
    <t>Outplacement Support</t>
  </si>
  <si>
    <t>Keeley Metcalfe</t>
  </si>
  <si>
    <t>NFA at this stage. Likely to be under best value as each LA will pay for their own requirement.</t>
  </si>
  <si>
    <t>Pensions Custodian Services (ancillary services)</t>
  </si>
  <si>
    <t>Tom Morrison</t>
  </si>
  <si>
    <t>04/04 - Gemma &amp; Tom have sorted the contract.  Mercell &amp; contracts register updated.
28/03/2022 - Legal &amp; Tom have sorted the contract. Will update Mercell/contracts register then this can be closed out.
Waiver approved. Request on legal log to draft contract.</t>
  </si>
  <si>
    <t>IoT Consultancy Variation - additional consultancy days</t>
  </si>
  <si>
    <t>John Kelly</t>
  </si>
  <si>
    <t>Resourced to VM following chat with JK. Sat with Sarah to check call off conditions to extend. Checked with Reed to see how long of an extension we have available. Reed confirmed we can take 12 months. Abi Exlby is working on this and checking the grant fund agreement before any paperwork is put in place. John K sent this to her. Chased Abi &amp; John for update. New order form completed and being checked by Legal before sending to Reed for review and hopefully sign off. Waiting for JK to come back regarding the costs and how they were paid. Chased John again</t>
  </si>
  <si>
    <t>NYH</t>
  </si>
  <si>
    <t xml:space="preserve">Gully Maintenance Risk software - Better Drainage </t>
  </si>
  <si>
    <t>20/04/2022</t>
  </si>
  <si>
    <t>NA - No if NYH pays - Yes if BES budget</t>
  </si>
  <si>
    <t>Andrew Binner</t>
  </si>
  <si>
    <t xml:space="preserve">20/04/2022 - contract sent to Andrew Binner - Complete. </t>
  </si>
  <si>
    <t>Area 5
Tender Package 1
A59 Edmondson Lane to Bull Inn R&amp;R
A6131 Keighley Road R&amp;R
C385 BENTHAM ROAD Landslip
U672 Nutgill High Bentham R&amp;R
U1899 Hanlith R&amp;R
U2298 Thorlby R&amp;R
Tender Package 8
Settle R&amp;R (Station Road) - 8
Settle R&amp;R (Bond Lane) - 9
Settle R&amp;R (Chapel Street) - 10
Tender Package 11
Area 5 Ingleton R &amp; R (Uppergate) - 11
Area 5 Ingleton R&amp;R (New Road to Bank Bottom) - 12
Area 5 Ingleton R&amp;R (the Square) - 13</t>
  </si>
  <si>
    <t>DN511173</t>
  </si>
  <si>
    <t>Business Travel</t>
  </si>
  <si>
    <r>
      <t>24+</t>
    </r>
    <r>
      <rPr>
        <sz val="11"/>
        <color rgb="FFFF0000"/>
        <rFont val="Calibri"/>
        <family val="2"/>
        <scheme val="minor"/>
      </rPr>
      <t>12</t>
    </r>
    <r>
      <rPr>
        <sz val="11"/>
        <rFont val="Calibri"/>
        <family val="2"/>
        <scheme val="minor"/>
      </rPr>
      <t>+12</t>
    </r>
  </si>
  <si>
    <t>£1,250,000</t>
  </si>
  <si>
    <t>Becky Naisbitt / Amanda Manifield</t>
  </si>
  <si>
    <t>G4a fully signed off. Contract extension fully signed off.</t>
  </si>
  <si>
    <t>DN548074</t>
  </si>
  <si>
    <t>Clothing</t>
  </si>
  <si>
    <t xml:space="preserve">Workwear &amp; PPE
Uniforms </t>
  </si>
  <si>
    <t>1st  Coverall</t>
  </si>
  <si>
    <t>Amanda Manifield / Joanne Simpson</t>
  </si>
  <si>
    <r>
      <rPr>
        <sz val="10"/>
        <color rgb="FFFF0000"/>
        <rFont val="Calibri"/>
        <family val="2"/>
      </rPr>
      <t xml:space="preserve">File path: N:\fcs-data\Procurement\PROFESSIONAL\Corporate Contracts\1. AWARDED - LIVE\PPE &amp; Workwear 2021-25 DN548074
</t>
    </r>
    <r>
      <rPr>
        <sz val="10"/>
        <color rgb="FF000000"/>
        <rFont val="Calibri"/>
        <family val="2"/>
      </rPr>
      <t xml:space="preserve">Re-submitted to PAB on 21/07/22 and approved.  Awaiting senior sign off.  
</t>
    </r>
    <r>
      <rPr>
        <b/>
        <sz val="10"/>
        <color rgb="FF000000"/>
        <rFont val="Calibri"/>
        <family val="2"/>
      </rPr>
      <t>Need for a Key Decision to be monitored - shouldn't reach £500k total spend unless OTE is utilised and this is unlikely to happen due to LGR and current work establishing a new contract for the single authority.</t>
    </r>
  </si>
  <si>
    <t>Area 4 Tender Package 1
Butterwick R&amp;R C/F
Sherburn R&amp;R C/F
Brambling Fields R&amp;R C/F
Braygate Street R&amp;R C/F
Jamie Craggs R&amp;R C/F</t>
  </si>
  <si>
    <t xml:space="preserve">Area 1 Tender Package 5
C7 Eppleby to Greystones
C109 Marrick to Reels Head
C122 Hudswell to Holly Hilll
C229 Eryholme Lane
C29 Langthwaite to Tan Hill
</t>
  </si>
  <si>
    <t>Neil Linfoot</t>
  </si>
  <si>
    <t xml:space="preserve">2022/07/28  awarded letters issued contract to be created                                                          
2022/06/28  tender closed eval completed sent to highways                                                            
2022/05/27  sent out for tender on 26th may                                                                                    
2022/04/29  updates and dates due back shortly                                                                     
2022/04/19  additional queries raised and sent to Neil for clarification, update sent out in Yortender to advise package will be updated shortly.                                                                                    
2022/04/14  Mored queries in docs than first thought sone docs have NYCC on still discussed with MS 
2022/04/01  most queries answered entered in Yortender queries around dates some still TBC have requested dates from Neil waiting to hear back.                                                                       
2022/03/24  no update back as yet on queries from chase up earlier in month have chased up again today to ask for update.                                                                                                                                                                                                                                                2022/03/11 - chased for update on queries                                                                                
2022/03/04 - docs reviewed a few queries on CMS doc which i have sent to Neil Linfoot for claification.
2022/02/22 New scheme MPl                                                                                                        
2022/03/02 - docs in NYH folder will download docs into NYCC folder and commence checking   </t>
  </si>
  <si>
    <t xml:space="preserve">Area 7
Tender Package 3: Footway R&amp;R Schemes
White Lodge Selby Footway
Thomas Street Selby Footway
Thistle Close Brayton Footway
Springfield Drive Barlby Footway
Springfield Close Barlby Footway
Rose Avenue Footway
Kellington Footway
Hirst Courtney Footway
Highfield Crescent Barlby Footway
Doncaster Road Footway
Brayton Lane Footway
Abbots Road Footway
</t>
  </si>
  <si>
    <t>Rob Cook /
Andrew Moisley (NYH)</t>
  </si>
  <si>
    <t>08/09/22 Still awaiting confirmation that signed contract has been received.
05/05/22 Contract sent to supplier for signing
04/03/22 Tender published. Closing date 18/04/22
2022/02/24 Documents have been transferred into the Area 7 “To Procurement” folder within “22-23 Scheme Documents”
2022/02/21 New scheme MPl</t>
  </si>
  <si>
    <t>Area 7 Ulleskelf Drainage</t>
  </si>
  <si>
    <t>Area 1 Package 2 
Beggarmans Road
Sedbusk to Litherskew
Track to Harmby Moor House
Newbiggin to Street Head
Feetham
Satronside</t>
  </si>
  <si>
    <t xml:space="preserve">2022/07/28  awarded , letters sent  contract to be completed                                                          
2022/06/28  Eval completed sent to highways team                                                                
2022/06/23  tender now closed docs downloaded and evaluation now to be done                                
2022/05/25  tender issued on yortender                                                                                                
2022/04/29  updates and dates now due back shortly                                                             
2022/04/19 additional queries sent to Neil for clarfication.                                                           
2022/04/14  Awaiting confimation on TBC dates ..  have gone through package again now more queries in docs check with MS w/c 18th                                                                                      2022/04/01 - now in Yortender just awaiting on dates before can publish some dates TBC still asked for clarfication , Neil to advise.                                                                                                                         2022/03/24 most queries now answered on this one, awaiting update on Key/confirmation of dates have chased this up again after chasing earlier in month.                                                         
2022/03/11 have chased up queries mainly now just around key dates outstoanding.                                  
2022/03/03  - documents downloaded and reviewed several queries on CMS document have sent to Neil Linfoot for clarification. 
2021/10/13 New project line established, dates estimated etc.
05/10/2021 CANCELLED in 2021/22 - TO BE REPROCURED 22/23
</t>
  </si>
  <si>
    <t xml:space="preserve">Area 7 
Tender Package 1: Area 7 22/23 PSDP
Area 7 Cat 3a PSD Patching
Area 7 Cat 3b PSD Patching
Area 7 Cat 4a PSD Patching
Area 7 Cat 4b PSD Patching
</t>
  </si>
  <si>
    <t>Foston Primary School - 20005 Intervention space - 2022</t>
  </si>
  <si>
    <t>Operation of Whale on Gulley Wagon</t>
  </si>
  <si>
    <t>Caroline Reeves</t>
  </si>
  <si>
    <t>T&amp;L to complete Best Value Process, project can be closed
Resource request for appointing trainers for a number of courses that are not included in the overarching contract. (MT has the main NYH Training framework) Kick off held. Process to begin end of May.</t>
  </si>
  <si>
    <t>DAF Specific Chassis Training</t>
  </si>
  <si>
    <t>Mercedes Gritter Body and Systems Diagnostic Training</t>
  </si>
  <si>
    <t>BOSCH Diagnostic Training Equipment</t>
  </si>
  <si>
    <t>Mobile Elevation Work Platforms (street Lighting Team non HERS)</t>
  </si>
  <si>
    <t>Confined Spaces Training</t>
  </si>
  <si>
    <t>Wamitab TMNH</t>
  </si>
  <si>
    <t>CPD RSTA Silver Cert Course Sector Scheme 13 (DJ)</t>
  </si>
  <si>
    <t xml:space="preserve">Water Jetting (of gullys) </t>
  </si>
  <si>
    <t>Mobile Tower Training</t>
  </si>
  <si>
    <t>RD9000 (gangers - Must cover Specific Equipment and Ground Penetration Radar</t>
  </si>
  <si>
    <t>Innovation Catering Concept</t>
  </si>
  <si>
    <t>Tugo</t>
  </si>
  <si>
    <t xml:space="preserve">15/09/2022 - Contract signed and complete
12/09/2022 - contract issued awaiting signature with TUGO successful supplier. 
25/08/2022 - 1 bid recieved consensus 31/08/2022.
17/08/2022 - retun 19.08
12/08/2022 - Out to retender
28/07/2022 - Issues re pricing ongoing. May need to be retendered
21/07/2022 - Tender returned - Evaluating
27/06/2022 - project out to tender - return 15.07.2022
21/06/2022 - Doucments drafted, Terms and conditions amended, Insurance levels checked - Awaiting for review of documents and release of documents by YPO. 
08/06/2022 - Working through legal comments on T&amp;Cs - Documents complete minus T&amp;C amendments. Awaiting for confirmation from Insurance re suitable levels. 
26/05/2022 - Legal resource allocated waiting for feedback and comments before releasing documents via YPO. 18/05/2022 - Documents with YPO for review however waiting for legal resource. 
</t>
  </si>
  <si>
    <t>NYFRS</t>
  </si>
  <si>
    <t>HR &amp; Availability System (supplied by Firewatch)</t>
  </si>
  <si>
    <t>Mark Webb (NYP)</t>
  </si>
  <si>
    <t xml:space="preserve">NYF seeking legal advice - no further action required. </t>
  </si>
  <si>
    <t>Provision of a North Yorkshire Selection Test Scheme for Grammar School Entry</t>
  </si>
  <si>
    <t>William Burchill</t>
  </si>
  <si>
    <t xml:space="preserve">	58725</t>
  </si>
  <si>
    <t>Domestic Abuse Support Pilot</t>
  </si>
  <si>
    <t>Contract fully signed off, contracts register and finder updated.</t>
  </si>
  <si>
    <t>DN539319</t>
  </si>
  <si>
    <t>LEP Careers Advice</t>
  </si>
  <si>
    <t>12+12+12+12+12</t>
  </si>
  <si>
    <t>BESEX 26/03/2021</t>
  </si>
  <si>
    <t>Jude Knight</t>
  </si>
  <si>
    <r>
      <t>Contract term - 01/09/2021 - 31/08/2022 - OTE x 4 all 1 yr each i.e. 1/9/2022- 31/8/2023 + 1/9/2023 - 31/8/2024 + 1/9/2024 - 31/8/2025 + 1/9/2025 - 31/8/ 2026 - term is due to grant funding being agreed annually.  Gate 4 required for extension. -</t>
    </r>
    <r>
      <rPr>
        <b/>
        <sz val="10"/>
        <rFont val="Calibri"/>
        <family val="2"/>
        <scheme val="minor"/>
      </rPr>
      <t xml:space="preserve">Completed </t>
    </r>
  </si>
  <si>
    <t>LGR</t>
  </si>
  <si>
    <t>Mail Services</t>
  </si>
  <si>
    <t>Bulk Printing / posting of combined district council tax bills</t>
  </si>
  <si>
    <t xml:space="preserve">NFA at this stage. Research provided to RW. </t>
  </si>
  <si>
    <t>Pickhill CE Primary School - 20013 HORSA replacement - 2022</t>
  </si>
  <si>
    <t>Paula McLean</t>
  </si>
  <si>
    <t>Patricia Murphy</t>
  </si>
  <si>
    <t>04/08/2022 YORtender updated and project completed.
26/07/2022 Copy of the Contract received from service area
01/07/2022 Received Tender report and notification letter sent.
2022/05/19 No planning until 20/05. Tender report still awaited
27/04/2022 Informed by Andrew (Align) that the report is drafted and it just needs checking and signing off.
22/04/2022 Requested update on Tender report status.
14/04/2022 Verfied and returns sent to Andrew (Align).
14/03/2022 Documents reviewed and published with a return date of 14 April.
11/03/2022 Documents arrived.
10/03/2022 Confirmed with Align that documents due to arrive 14 March
2022/03/08 Docs due very soon
28/02/2022 Informed that documents due to arrive COB Wednesday 2nd March
2022/01/25 Delay from land negotiations, deresoruced (SSp) reconsider end of Feb
project delayed for review until May 2022, exercise to understand diffrent viable evaluation methods to be undertaken with Paula McLean</t>
  </si>
  <si>
    <t>Hard Facilities Management Servicing and Repairs current to 31/01/2024
- Mechanical Equipment and Plant
- Lifts
- Auto Doors
- Water Hygiene
- Asbestos Abatement
(Current Lots 2,4,5,8,12)</t>
  </si>
  <si>
    <t>2023/01/2023 - Recieved all signed hard copies of extension notices - COMPLETE
2022/12/09 All electronic copies saved, waiting for Lot 9 hard copy, other hard copies sent to records management 
2022/10/26 Extension letters posted
2022/10/20 Extension Notice letters sent to Print Unit
2022/10/14 Key decision made and notice letters drafted, can be sent on 20th October 
2022/09/30 Gateway approved by ADs
2022/09/22 Gateway approved by PAB
2022/09/16 Legal are happy with the extension, Abi will send me some wording to put into gateway. Gateway submitted to PAB
2022/09/09 Gateway 4 being drafted, waiting for Legal advice
2022/07/25 Project meeting with Property, decided to extend all those lots which have extensions available. 
2022/07/22 Pulled together spend data for those lots up for extension
2022/07/19 Meeting with Shaun and Kirsten to discuss which lots are to be extended and check spend
2022/07/15 Procurement meeting to dicuss what is happening with the different lots
2022/06/29 Contacted Shaun Tunney to confirm which lots are being extended
2022/05/04 Confirmed topics for extention to end Jan 2024
2021/12/24 Draft performance report to feed into update meeting with HEm / JHo / VDi and MSi 04/05/2022
2021/12/22 Following extension, requirement for Adenda to be submitted to confirm successful performance</t>
  </si>
  <si>
    <t xml:space="preserve">Area 6 Bogs Lane Harrogate Landslip
A60007
</t>
  </si>
  <si>
    <t>Weed control</t>
  </si>
  <si>
    <t>36+24+36+24</t>
  </si>
  <si>
    <t>Ross Bullerwell</t>
  </si>
  <si>
    <t>2022/05/13 updates needed to cocontract working on this this should be bale to go shortly   
2022/05/06  contract sent out via sigining hub for signing                                                        
2022/04/29  contract sent to Andrew Binner to check and approve                                          
2022/04/22  sucessful and unsucessful  letters issued to supliers that submitted tenders             
2022/04/14  Concensus took place on 13th  just awaiting confirmatin back from NYH that consensus review sheet is ok ..sent to them on 13th                                                                                  
2022/03/31  Eval sheets all now back, query on one area of one of the returns have asked Liam if he can add ore detail to Q2.                                                                                                           2022/03/24 Concensus penciled in for 13th April have chased up eval sheets again.              
2022/03/22 Tfr from PMu to MCh w. EWh for support
2022/03/09 reinput missing line item.  Waiting for NY H to confirm consenus availability
28/02/2022 Updated Nick on the scheme. Still awaiting confirmation from evaluation panel on consensus dates. Also, Martyn is chasing the finalised indivdiual evaluation comments.
16/02/2022 Consensus session cancelled due to panel member being unable to attend. Requested Ed to re-arrange the session with the panel members.</t>
  </si>
  <si>
    <t xml:space="preserve">Area 1 Tender Package 3
Harmby Main Road
Wensley to Leyburn
Worton
</t>
  </si>
  <si>
    <t>Contract complete - Project can be closed
12/07/2022 Notification sent, contract being created
05/07/2022 Tender still being assessed
24/06/2022 Documents Recived and out to tender
2022/05/05 No update
2022/04/20 - Ed Whitaker assisting in reviewing documents - Documents being developed for release.
2022/04/06 - Documents Recieved.
2022/04/01 Due soon, NYH.  Ultimatum issued need dates or dereource 07/04
2022/03/25 Raised to NY H, will deresource 31/03 if nothing back
2022/03/17 - Chased up documents to find out when due 
2022/02/21 New scheme MPl</t>
  </si>
  <si>
    <t>Alverton CPS - SEN Provision
20030</t>
  </si>
  <si>
    <t>Active</t>
  </si>
  <si>
    <t>Vulnerability Manager software / License (Rapid7 Nexpose)</t>
  </si>
  <si>
    <t>Review needed to see if longer term contract could be established. Potential issue on cumulative spend.</t>
  </si>
  <si>
    <t>The Wensleydale School SEN inc toilets refurb</t>
  </si>
  <si>
    <t xml:space="preserve">Initial Term </t>
  </si>
  <si>
    <t>MS Tenancy - moving to 1 platform</t>
  </si>
  <si>
    <t>18</t>
  </si>
  <si>
    <t>PM: Ruth Sleaford</t>
  </si>
  <si>
    <t xml:space="preserve">15/07 Gateway &amp; KD approved. Contract signed and contract added to contracts register. </t>
  </si>
  <si>
    <t>Thirsk Secondary  SEN provision - 2022</t>
  </si>
  <si>
    <t>Langton Primary School - Drainage (now)
20029 Kitchen extension and ancillary works - 2022</t>
  </si>
  <si>
    <t>Pinder Canal Bridge 
865 Repainting</t>
  </si>
  <si>
    <t>Intack 
250 Parapet and Spandrel rebuild Main works</t>
  </si>
  <si>
    <t>Ben Savage (Bridges)</t>
  </si>
  <si>
    <t>2022/07/27 contract created  to be checked before being issued                                                    
2022/06/01  Job awared contract just to be created                                                                         
2022/04/22 Docs reviwed and issued on yortender                                                                      
2022/03/29 Could be end of April, may go to NY H, seek confirm 
2022/01/26 Tenders due out May 2022
2022/01/12 New bridges scheme (replace 1/13 provisional items)</t>
  </si>
  <si>
    <t>Area 1 Tender Package 12
Patching
A10019</t>
  </si>
  <si>
    <t>Neil Linfoot /
James.Smith1@nyhighways.co.uk</t>
  </si>
  <si>
    <t>2022/07/28  awarded letters issued ..contract to be created                                                      
2022/06/01  Issued on yortender                                                                                                           
2022/05/31   chased up spoken to James                                                                                 
2022/05/13  - requested progress update on queries                                                                   
2022/04/27  docs reviewed a number of queries sent to Neil to clarify and updated                
2022/04/26  docs downloaded have started to review - large package of docs                       
2022/04/21  will check on 22nd to see if docs avaible to start review of docs.                          
2022/03/25 Remains target, documents sort from Area by JSm, docs due 21/04. Seek confirm
2022/02/21 New scheme MPl</t>
  </si>
  <si>
    <t>Commondale Station South Painting</t>
  </si>
  <si>
    <t>Easby Drainage</t>
  </si>
  <si>
    <t>Jayne Charlton</t>
  </si>
  <si>
    <t>13/09/22 - Contract sealed by legal. Project completed on Yortender.
08/09/22 - Awaiting signed contract
16/06/22 - Contract awarded, notification letters sent out, contract sent to print room 14/06
26/05/22 - Following discussion with WSP and Jayne Charlton all 4 bidders were asked to attend site.Seymour advised they could not attend, PBS attended 24/05, Hinko and Rainton are attending 01/06.
10/05/22 Submission deadline reached with 4 bids received. Evaluation completed. Awaiting confirmation to award from either Jayne Charlton or Nigel Smith
07/04/22 Tender published. Submission deadline 06/05 
2022/03/31 Bid exercise, confirmed high profile.  Docs promised 04/04 or 05/04
2022/03/15 Now to be a Direct Award
2022/03/02 To be Directors Recommedation under urgency, litigation avoidance
2022/01/12 Potentail defer, as old 
2021/12/14 Potential urgent job in the new calendar year, details to follow.  Assumed Jan 2022 requirement</t>
  </si>
  <si>
    <t>Marage Path Bridge Thirsk</t>
  </si>
  <si>
    <t>Josh Calvert (Bridges)</t>
  </si>
  <si>
    <t>06/10/22 - Signed contract received. Project completed on Yortender.
08/09/22 - Awaiting signed contract
07/07/22 - Tender completed and evaluated. Contract sent to print room 05/07/22
16/06/22 - Bridges team elected to re-tender. New submission deadline 20/06
26/05/22 - Two bids received, evaluation completed and sent to Bridges team for review and confirmation to award.
05/05/22 Tender published. Submission deadline 25/05
2022/04/29 PRi confimred documents supplied today
13/04/22 - Awaiting documents
2022/03/29 New scheme, high profile (Deputy Leader involvement), PRi
Resolution to https://www.northyorks.gov.uk/news/article/public-urged-avoid-thirsk-footpath-over-safety-fears</t>
  </si>
  <si>
    <t>Area 6
Tender Package 9
Princess Road R&amp;R
Minster Road / St Mary's Gate R &amp; R
Area 6 A658 Huby Village Deep Patching
Area 6 A658 Huby Village HRA Deep Patching
A6 YORK ROAD R&amp;R
STATION AVE TO NTH PARK RD Patching
A6 MONTPELLIER ROAD R&amp;R
Area 6 Albert Street HRA Resurfacing
Area 6 Abbey Road Knaresborough R&amp;R
Area 6 Ainsty Road Harrogate R&amp;R
Area 6 Blind Lane, Knaresborough Resurfacing
Area 6 Claro Road Area patch and R &amp; R
Area 6 Hopperton Patch and R &amp; R
Minster Road / St Mary's Gate R &amp; R</t>
  </si>
  <si>
    <t>Mike Plews</t>
  </si>
  <si>
    <t>2022/07/06  awareded contract being created                                                                                   
2022/06/23  chased NYH for update                                                                                        
2022/06/16   tender closed submissions / eval  being reviewed by NYH                                  
2022/04/21  sent out for tender                                                                                                
022/04/14  created in Yortender drawings need final review and docs if ok can publish looking to publish in w/c 18th                                                                                                                    2022/04/05 reviewed docs there are a few queries in CMS have requested clarifications      
2022/04/04 Docs received.  https://nyhighwayscouk.sharepoint.com/sites/Schemes/Shared%20Documents/Forms/AllItems.aspx?id=%2Fsites%2FSchemes%2FShared%20Documents%2FScheme%20Documents%2F22%2D23%
20Scheme%20Documents%2FTo%20Procurement%2FArea%206%2FTender%20Package%201&amp;viewid=16333fb6%2D38aa%2D4533%2Db5b9%2D1a38e6f6d5ac
2022/03/25 Remains target, documents expected
2022/03/23 Chaser issued to NY H, pending
22/03/2022 No documents in the NY Highways Teams folder as of 13:30.
2022/02/21 New scheme MPl, 17/03 due</t>
  </si>
  <si>
    <t>Thirleby Bridge Painting</t>
  </si>
  <si>
    <t>Boroughbrige Primary School - TBC toilet refurbishment</t>
  </si>
  <si>
    <t>Holy Trinity Infant School - Accessible entrance
Holy Trinity Junior School - Toilet refurbishment
Entrance alterations and toilet refurbishment works - 2022</t>
  </si>
  <si>
    <t>active</t>
  </si>
  <si>
    <t>Cononley Primary School - TBC toilet refurbishment (Craven)</t>
  </si>
  <si>
    <t>Grassington Primary Former nursery to children's centre space</t>
  </si>
  <si>
    <t>Skipton Academy SEN adaptations</t>
  </si>
  <si>
    <t>08/09/22 - Signed contract received. Project completed on Yortender.
26/07/22 - Notification of award sent to bidders 18/07. Awaiting signed contract.
2022/07/19 Query rasied to PMcL for rsp.
07/07/22 - Still awaiting confirmation to award
26/05/22 - 3 bids received. Awaiting evaluation from APP
07/04/22 Tender published. Submission deadline 10/05
2022/03/24 To dicuss 31/03 resourcing, target remains
2022/02/07 Dates bwt fwd OTT 28/03
2022/01/25 Tenders due out 19/04
2021/11/15 On target
2021/10/11 To review again Nov 2021
2021/06/12 New scheme, anticipated dates, 2022 delivery, guestimated value</t>
  </si>
  <si>
    <t xml:space="preserve">Area 7
Tender Package 2: Carriageway R&amp;R
Abbots Road, Selby
Wighill Lane Cul de Sac, Tadcaster
Wighill Crossroads, Tadcaster
Wistow Road, Selby
</t>
  </si>
  <si>
    <t>Rob Cook / 
Andrew Moisley (NY H)</t>
  </si>
  <si>
    <t>08/09/22 Still awaiting confirmation that signed contract has been received.
16/06/22 - Contract sent to print room 09/06
01/06/22 - Confirmation to award received. Award letters sent. Contract drafted and awaiting peer review
26/05/22 - Evaluation completed and sent to Rob Cook for confirmation to award
13/04/22 - Tender published. Submission deadline 16/05
07/04/22 Documents in wrong Teams folder. Rob Cook asked to move final documents to correct folder and notify me once done.
2022/03/24 Documents should now be available in the teams folder.  Contact Andrew.Moisley@nyhighways.co.uk for any issues, out 07/04
2022/02/21 New scheme MPl</t>
  </si>
  <si>
    <t>Hawes Rope Makers Culvert
Concrete Saddle</t>
  </si>
  <si>
    <t xml:space="preserve">Area 7
Tender Package 6 WSP Carriageway Schemes
Oxton Lane Tadcaster
Betteras Hill Road
</t>
  </si>
  <si>
    <t>Rob Cook</t>
  </si>
  <si>
    <t>06/10/22 - NYH have confirmed receipt of signed contract. Project completed on Yortender.
08/09/22 Still awaiting confirmation that signed contract has been received.
07/07/22 - Tender completed and evaluated. Contract sent to print room 05/07/22
2022/02/21 New scheme MPl, docs due mid April</t>
  </si>
  <si>
    <t xml:space="preserve">Area 1 Tender Package 1
Gilling West - c/way
Gilling West Drainage
</t>
  </si>
  <si>
    <t>2022/07/28  awarded, letters issued  contract to be created                                                     
2022/06/22  letters issued contract to be created                                                                                  
2022/05/09  sent out for tender                                                                                                        
2022/04/26 docs reviewed some dates are TBC and some more queries have sent email with list to ask for clarifications.                                                                                                                  2022/04/21  - will check 22nd to see if docs are ready for review and create in yortender.              
2022/03/25 Being confirmed, due out 21/04.  Seek confirm
2022/02/21 New scheme MPl</t>
  </si>
  <si>
    <t xml:space="preserve">Area 3 Tender Package 3
Woodgate
Area 3 Scarborough Specials Birdgate Walk
(including Broxa Hill Landslip)
</t>
  </si>
  <si>
    <t>Supply of liquid fuel</t>
  </si>
  <si>
    <t>DN577408</t>
  </si>
  <si>
    <t>Survey Software
(currently provided by Snap Surveys)</t>
  </si>
  <si>
    <t>Dan Morris / Stu Truman</t>
  </si>
  <si>
    <t>BVF completed for 2021-2022.  At least 30 days notice period before standard renewal date.  Intention is that this will not be required in the future as it can be accommodated within the Lagan contract.  Discussion required 3 months before end date to ensure this is still the case.</t>
  </si>
  <si>
    <t>Snap Surveys</t>
  </si>
  <si>
    <t xml:space="preserve">Dan Morris </t>
  </si>
  <si>
    <t>Charlotte Stolarski</t>
  </si>
  <si>
    <t xml:space="preserve">Closed, service area extended for a further 1 year. 
28/09/22 - Service area given the ok to extend for a further year at risk. file location N:\fcs-data\Procurement\PROFESSIONAL\T and C\Miscellaneous\1. Awarded\Survey Software DN577408\2022 - 23\Correspondance
</t>
  </si>
  <si>
    <t>Public Health team development intervention</t>
  </si>
  <si>
    <t xml:space="preserve">Wendy Arrowsmith </t>
  </si>
  <si>
    <t>Kate Chapman</t>
  </si>
  <si>
    <t xml:space="preserve">Bronze </t>
  </si>
  <si>
    <t>23/11/22 Outcome - COMPLETED service area requested MAS design and delivery consultancy for significantly lower value therefore support is no longer required.  22/11 Emailed Fiona/Wendy to see if any further support is required. 23/08 Lou Bell has refused funding on this service as two other significantly cheaper quotes were previously received, however I have explained the process and potentional pitfalls of a bid and the other relevant routes within this market. The service area are now discussing the best route forward and are keeping me in the loop if procurement support is still required. I will check in again at a later date if they don't approach me first.</t>
  </si>
  <si>
    <t>Allerton Waste Recovery Park (AWRP) Business Rates Advice and Asset valuation work</t>
  </si>
  <si>
    <t>Avison Young UK</t>
  </si>
  <si>
    <t>Lisa Cooper</t>
  </si>
  <si>
    <t>CLosed</t>
  </si>
  <si>
    <t>Director's recommendation sent to Karl for approval. Contract value is estimate as incentivised payment schedule in place.</t>
  </si>
  <si>
    <t>Special Educational Needs Home to School Transport - x6 schools (Brompton Hall, Forest, Forest Moor, Marchbank, Springwater, Woodlands)</t>
  </si>
  <si>
    <t>Various</t>
  </si>
  <si>
    <t>Project completed.
Initial contract periods are as follows with 2 x 12 month extension.
Sep 21 - Jul 23 (Brompton Hall and Forest Moor)
Sep 21 - Mar 24 (The Forest, Marchbank, Springwateer and Woodlands)
Intention is for DPS to be used for these in the future.</t>
  </si>
  <si>
    <t>Hensall School  School house works - 2023</t>
  </si>
  <si>
    <t>Gillamoor Reconfiguration of nursery</t>
  </si>
  <si>
    <t>Purchase and/or Contract Hire of Vehicles</t>
  </si>
  <si>
    <t>Andrew Sharpin</t>
  </si>
  <si>
    <t xml:space="preserve">10/27/2022 - part of the minibus procurement  - now out on tender                                                                                                                                              06/28/2022 this was but on hold but may now become active again Andrew to advise shortly on next steps                                                           04/22/22 decision on key worker cars due after new member in place 04/01//2022 calll booked in with Andrew w/c 4th                      03/24/2022 - due to book in call with Andrew during early April </t>
  </si>
  <si>
    <t xml:space="preserve">DN564570 </t>
  </si>
  <si>
    <t>Oracle E-Business Suite - Third Party Support and Maintenance (PMO Ref: 3071)</t>
  </si>
  <si>
    <t>Rimini Street</t>
  </si>
  <si>
    <r>
      <t>13+</t>
    </r>
    <r>
      <rPr>
        <sz val="10"/>
        <color rgb="FFFF0000"/>
        <rFont val="Calibri"/>
        <family val="2"/>
        <scheme val="minor"/>
      </rPr>
      <t>12</t>
    </r>
    <r>
      <rPr>
        <sz val="10"/>
        <color theme="1"/>
        <rFont val="Calibri"/>
        <family val="2"/>
        <scheme val="minor"/>
      </rPr>
      <t>+12</t>
    </r>
  </si>
  <si>
    <t>Simon Swan</t>
  </si>
  <si>
    <t xml:space="preserve">Meeting in with Natalie. Rearranged meeting to Tuesday 26th April. Natalie happy with contract but need to negotiatate price. No invite wass sent through to VM as discussed for the costs meeting Friday 29th April so waiting to hear update from Natalie. Chased Natalie. Chased Natalie again. Put another meeting in with Natalie to get update as no response over email. Natalie now on sick leave - Someone else is due to pick this up but there is a restructure and it's unlikely it's be sorted this week. Meeting on 22/06/2022. Sent extension agreement to Simon. Simon sent to account manager at Rimini Street. Rimini Street confirmed they are happy with extension document. This needs loading onto signing hub once we have signatories. On Signing Hub. Chased Seth for his signature. Sent and email to Gill and Vanessa at Rimini to chase this signature. Signed and completed </t>
  </si>
  <si>
    <t>T&amp;C (Finance)</t>
  </si>
  <si>
    <t>Treasury Management - Combination LGR Piece of work Capital Strategy (not NYCC's agreement)</t>
  </si>
  <si>
    <t>John Raine</t>
  </si>
  <si>
    <t>Eskdale Replacement Hall Floor
2022 planned maintenance scheme 1</t>
  </si>
  <si>
    <t>Bedale High roofing
2022 planned maintenance scheme 2</t>
  </si>
  <si>
    <t>Highway Maintenance Gangs and Other Operatives</t>
  </si>
  <si>
    <t>2022/11/21 Not being taken up by NYH see new project
2022/05/06 No change
2022/04/07 Current contract ends on 31/05/2023 with 2 x 12 month extension available. Have informed Nick Burgess at NY Highways about this. Can give notice to extend at any time before end of contract. 
2021/06/23 unless extended by 12months + 12months</t>
  </si>
  <si>
    <t>DN485085</t>
  </si>
  <si>
    <t>Library Coffee Vending Machines (public use)</t>
  </si>
  <si>
    <r>
      <rPr>
        <sz val="10"/>
        <color rgb="FF000000"/>
        <rFont val="Calibri"/>
        <family val="2"/>
      </rPr>
      <t xml:space="preserve">Fairtrade Vending </t>
    </r>
    <r>
      <rPr>
        <sz val="9"/>
        <color rgb="FF000000"/>
        <rFont val="Calibri"/>
        <family val="2"/>
      </rPr>
      <t>mike@fairtradevending.co.uk</t>
    </r>
  </si>
  <si>
    <r>
      <t>24+</t>
    </r>
    <r>
      <rPr>
        <sz val="10"/>
        <color rgb="FFFF0000"/>
        <rFont val="Calibri"/>
        <family val="2"/>
        <scheme val="minor"/>
      </rPr>
      <t>12</t>
    </r>
  </si>
  <si>
    <t>Chyrs Mellor</t>
  </si>
  <si>
    <r>
      <rPr>
        <sz val="10"/>
        <color rgb="FFFF0000"/>
        <rFont val="Calibri"/>
        <family val="2"/>
      </rPr>
      <t xml:space="preserve">File Path: Professional - Library &amp; Community Services - Awarded - 2021-2024 Vending Machines. </t>
    </r>
    <r>
      <rPr>
        <sz val="10"/>
        <color rgb="FF000000"/>
        <rFont val="Calibri"/>
        <family val="2"/>
      </rPr>
      <t>Extension fully signed and shared with the service area (with request to pass to the supplier)</t>
    </r>
  </si>
  <si>
    <t>Selby High School CYPS SEN provision - 2022</t>
  </si>
  <si>
    <t>Winter Health - Warm &amp; Well / Winter Health Co-ordination</t>
  </si>
  <si>
    <t>Citizens Advice Mid North Yorkshire Ltd</t>
  </si>
  <si>
    <t>Adele Wilson-Hope / Dan Atkinson</t>
  </si>
  <si>
    <r>
      <rPr>
        <sz val="10"/>
        <color rgb="FF000000"/>
        <rFont val="Calibri"/>
        <family val="2"/>
      </rPr>
      <t xml:space="preserve">DR Signed and complete - conversation on any future requirements needed- Email sent - </t>
    </r>
    <r>
      <rPr>
        <b/>
        <sz val="10"/>
        <color rgb="FF000000"/>
        <rFont val="Calibri"/>
        <family val="2"/>
      </rPr>
      <t>Complete</t>
    </r>
  </si>
  <si>
    <t>West of Harrogate Engineering Consultancy Support</t>
  </si>
  <si>
    <t>Risedale / Wavell roofing package
2022 planned maintenance scheme 4 &amp; 5</t>
  </si>
  <si>
    <t>King James Roofing
2022 planned maintenance scheme 6</t>
  </si>
  <si>
    <t>Ingleby Greenhow Roofing
2022 planned maintenance scheme 3</t>
  </si>
  <si>
    <t xml:space="preserve">2022/06/23  contract being compiled                                                                                               
2022/06/16  succesful and unsucessful letters issued                                                              
2022/06/01  Align completing their side of review have updated Paula                                              
2022/04/25  issued on yortender due to close 23rd May                                                          
2022/04/22 docs reviewed entering onto yortender                                                                   
2022/03/25 bwt fwd to end of Apr, OTT 25/04
2022/03/08 No dates
25/01/2022 planned maintenance for 2022, anticipated April.  Assumed value </t>
  </si>
  <si>
    <t>Design, fabrication, delivery and offload of 3No. FRP footbridges</t>
  </si>
  <si>
    <t>Area 6 Greenhow Hill landslip 
A60009</t>
  </si>
  <si>
    <t>Gordon Milne 
Melisa Burnham
James Clapham
Scott Parker / WSP</t>
  </si>
  <si>
    <t>06/10/22 - NYH have confirmed receipt of signed contract. Project completed on Yortender.
08/09/22 - Confirmation to award received. Notification letters sent. Contract sent to print room 01/09
2022/08/15 Confirmed to MPl (NY H) and WSP price evaluation completed and waiting their confirmation of award
26/07/22 - Tender deadline extended to 28/07 due to slow response from WSP to clarification questions.
07/07/22 - Tender published. Return date 21/07
16/06/22 - Still awaiting final documents from Project team
2022/05/26 Raised directly to MPl at drop in session, confirmed will review and resolve.
26/05/22 - CMS document is incomplete. Second chasing email sent to Mike Plews 20/05 but no response has been received.
05/05/22 No project folder on Teams. Email sent to Gordon/Melisa/James
2022/04/11 Notified for resourcing
2022/03/04 MBu chasing for docs
2022/02/10 Deresourced (PMu)
04/02/2022 Checked NY Highways folder at lunch time but no Area 6 tenders.
14/01/2022 Check NY Highways folder but nothing in it for Area 6.
2021/12/21 Query to H&amp;T NY H on programme
2021/12/06 Agreed MBu April 2022 start, Jan procure
2021/10/15 Deresourced pending review
2021/10/07 Raised to Net. Strat. group, to consider deresource 15/10
2021/09/01 - Spoke with Ruth form WSP - some confusion on whether internal call off or Open Bid. Need Gordon Milne's to confirm when he's back from leave 6 Sept
2021/08/24 - Waiting for confirmation from Area whether should be NYCC or NYH ......
2021/08/20 Query regarding documents, email Ruth in WSP, awaiting a reply before we can publish.
2021/08/12 Deresourced as after chasing 2x no docs supplied.  Confirmation sought again
2021/08/04  Documents promised for w/e 06/08, to resource.  CPO to confirm back to SPa / WSP.
2021/07/29 Chaser to WSP for documents
2021/07/23 Confirmed documents will be supplied by 28/07
2021/07/22 Contact Gordon Milne -21 July 2021 for an update.... As of 22 July 2021 no update as to when documents will be available.  
02-07-2021 Documents not yet arrived
2021/05/10 Site investigation ongoing, documents due at end June.  Delivery by November 2021
2021/04/13 Emailed project leads to advise project has been allocated to me...
2021/04/09 Confirmed JGi Ok to progress
2021/04/01 Contact lead provided, dates pushed back, CSm
2020/12/10 Raised by KRu as potential scheme for delivery on site by March 2021, no docs yet, no contact or other details</t>
  </si>
  <si>
    <t>Area 1 Tender Package 4 R&amp;R
Cravengate
Brownagill
West Scrafton</t>
  </si>
  <si>
    <t>Steve Barker</t>
  </si>
  <si>
    <t>06/10/22 - NYH have confirmed receipt of signed contract. Project completed on Yortender.
08/09/22 Still awaiting confirmation that signed contract has been received.
07/07/22 - Tender completed and evaluated. Contract sent to print rom 05/07/22
26/05/22 - Tender published 18/05. Submission deadline 17/06
10/05/22 Documents received from WSP with multiple errors. Sent back to Scott Parker to correct.
05/05/22 Documents in project folder incomplete. Email sent to Steve Barker
2022/04/22 High profile, must be resourced
2022/04/11 SPa (WSP), resource in May, arbitary dates
2022/02/11 Deresourced (SBr)
2022/01/06 Details confirmed, to resource and hold for one week
2021/12/21 first tranche of 2022/23 schemes.  Details of duration and lead officer requested.</t>
  </si>
  <si>
    <t>Hire of 23 Gritters</t>
  </si>
  <si>
    <t>asap</t>
  </si>
  <si>
    <t>2022/08/24  - Hired through ECON via ESPO, PO rasised and award logged in ESPO portal                                                                        2022/07/28  awaitng response from Lombard over what can be extended or not, Rory checking with Econ on hire prices for gritters re the hire ones from ESPO                                                       
2022/06/23 follow up with Andrew Binner some leases to be extended some to be hired from ESPO Rory due to get in contact to confirm.                                                                                         2022/05/06  may now look at extending leases on current gritters until brand new gritters arrive -TBC 
2022/04/21 Provision of 23 gritters on hire via ESPO, guestimate value</t>
  </si>
  <si>
    <t>Area 4
Patching works</t>
  </si>
  <si>
    <t>Tim Coyne</t>
  </si>
  <si>
    <t>2022/07/26  only one bid received has been awarded extra scheme now asked to be costed by winning contrator                                                                                                                               2022/06/16  Issued on Yortender due to close  28th June                                                          
2022/05/26 Conversation w. MPl at drop in session, meeting w. James and Martyn to be diarised Tuesday to resolve.
2022/05/10  contacted time to see if dates now confirmed and schedule time for doc review before putting on yortender                                                                                                                   2022/04/26 Documents supplied, dates not specified by June start not achievable.  Dates to be confirmed with NYH
https://nyhighwayscouk.sharepoint.com/:f:/r/sites/Schemes/Shared%20Documents/Scheme%20Documents/22-23%20Scheme%20Documents/To%20Procurement/Area%204/Tender%20Package%20PSDP?csf=1&amp;web=1&amp;e=O157WQ
2022/02/22 New scheme MPl</t>
  </si>
  <si>
    <t>Telephony - Single Phone Number IVA Phase 1</t>
  </si>
  <si>
    <t>Opus Telecomms</t>
  </si>
  <si>
    <t>4</t>
  </si>
  <si>
    <t>Sarah Foley</t>
  </si>
  <si>
    <t>Phase 1 - 61652 - £44,250 - Contract signed and records updated</t>
  </si>
  <si>
    <t xml:space="preserve">BES </t>
  </si>
  <si>
    <t>Osmotherley Footbridge - replacement installation</t>
  </si>
  <si>
    <t>2022/07/28  award letter issued contract to be created.                                                            
2022/06/23 - Bridges requested re tender now been issued                                                                    
2022/05/25  issued on yortender on 25th                                                                                  
2022/05/12 Additonal scheme from Bridges</t>
  </si>
  <si>
    <t xml:space="preserve">LGR Critical Friend </t>
  </si>
  <si>
    <t>Ashbrook Associates Ltd</t>
  </si>
  <si>
    <t>Robert Ling</t>
  </si>
  <si>
    <t>Contract signed and saved</t>
  </si>
  <si>
    <t>Rossaw Sadlle Works 1716</t>
  </si>
  <si>
    <t>Jon-Pierre Winlow (Bridges)</t>
  </si>
  <si>
    <t xml:space="preserve">Contract complete - Project can be closed
2022/07/21 Handover project to EWh
23-06-2022Project issued by Ed Whitaker
23-06-2022 - M.S no update on this project..N
ew project to replace delayed Long Gill West; Framework NEC option A </t>
  </si>
  <si>
    <t>Leader in adult care</t>
  </si>
  <si>
    <r>
      <t>18+</t>
    </r>
    <r>
      <rPr>
        <sz val="11"/>
        <color rgb="FFFF0000"/>
        <rFont val="Calibri"/>
        <family val="2"/>
        <scheme val="minor"/>
      </rPr>
      <t>12</t>
    </r>
  </si>
  <si>
    <t xml:space="preserve">12 month extension signed and completed </t>
  </si>
  <si>
    <t>Training and Learning</t>
  </si>
  <si>
    <t>DN494171</t>
  </si>
  <si>
    <t>Business Support</t>
  </si>
  <si>
    <t>Interpretation Services (British Sign Language/ Non Spoken)</t>
  </si>
  <si>
    <r>
      <rPr>
        <sz val="10"/>
        <color rgb="FF000000"/>
        <rFont val="Calibri"/>
        <family val="2"/>
      </rPr>
      <t xml:space="preserve">BID Services -  </t>
    </r>
    <r>
      <rPr>
        <sz val="9"/>
        <color rgb="FF000000"/>
        <rFont val="Calibri"/>
        <family val="2"/>
      </rPr>
      <t>Louise.Thompson@bid.org.uk</t>
    </r>
  </si>
  <si>
    <r>
      <t xml:space="preserve">24 + </t>
    </r>
    <r>
      <rPr>
        <sz val="10"/>
        <color rgb="FFFF0000"/>
        <rFont val="Calibri"/>
        <family val="2"/>
        <scheme val="minor"/>
      </rPr>
      <t>12</t>
    </r>
  </si>
  <si>
    <t>Deborah Hugill</t>
  </si>
  <si>
    <r>
      <rPr>
        <sz val="10"/>
        <color rgb="FFFF0000"/>
        <rFont val="Calibri"/>
        <family val="2"/>
      </rPr>
      <t xml:space="preserve">File Path: Professional- HR&amp;Training - Awarded - 2021-2024 Interpretation Service (BSL)  </t>
    </r>
    <r>
      <rPr>
        <sz val="10"/>
        <color rgb="FF000000"/>
        <rFont val="Calibri"/>
        <family val="2"/>
      </rPr>
      <t>12 month extension Signed and completed</t>
    </r>
    <r>
      <rPr>
        <sz val="10"/>
        <color rgb="FFFF0000"/>
        <rFont val="Calibri"/>
        <family val="2"/>
      </rPr>
      <t xml:space="preserve"> </t>
    </r>
  </si>
  <si>
    <t>DN510379</t>
  </si>
  <si>
    <t xml:space="preserve">Interpretation Services - Written Translation Including Braille </t>
  </si>
  <si>
    <r>
      <rPr>
        <sz val="10"/>
        <color rgb="FF000000"/>
        <rFont val="Calibri"/>
        <family val="2"/>
      </rPr>
      <t xml:space="preserve">ITL - </t>
    </r>
    <r>
      <rPr>
        <sz val="9"/>
        <color rgb="FF000000"/>
        <rFont val="Calibri"/>
        <family val="2"/>
      </rPr>
      <t xml:space="preserve">richard@interpretingline.co.uk </t>
    </r>
  </si>
  <si>
    <r>
      <rPr>
        <sz val="10"/>
        <color rgb="FFFF0000"/>
        <rFont val="Calibri"/>
        <family val="2"/>
      </rPr>
      <t>File Path: Professional- HR&amp;Training - Awarded - 2021-2024 Interpretation &amp; Translation Service</t>
    </r>
    <r>
      <rPr>
        <sz val="10"/>
        <color rgb="FF000000"/>
        <rFont val="Calibri"/>
        <family val="2"/>
      </rPr>
      <t xml:space="preserve"> </t>
    </r>
    <r>
      <rPr>
        <sz val="10"/>
        <color rgb="FFFF0000"/>
        <rFont val="Calibri"/>
        <family val="2"/>
      </rPr>
      <t xml:space="preserve">(non BLS) </t>
    </r>
    <r>
      <rPr>
        <sz val="10"/>
        <color rgb="FF000000"/>
        <rFont val="Calibri"/>
        <family val="2"/>
      </rPr>
      <t>12 month extension signed and completed</t>
    </r>
  </si>
  <si>
    <t>Interpretation Services - Face to Face and Video &amp; Telephone Interpreting</t>
  </si>
  <si>
    <r>
      <rPr>
        <sz val="10"/>
        <color rgb="FF000000"/>
        <rFont val="Calibri"/>
        <family val="2"/>
      </rPr>
      <t xml:space="preserve">AA Global - </t>
    </r>
    <r>
      <rPr>
        <sz val="9"/>
        <color rgb="FF000000"/>
        <rFont val="Calibri"/>
        <family val="2"/>
      </rPr>
      <t>jayne@aaglobal.co.uk</t>
    </r>
  </si>
  <si>
    <r>
      <rPr>
        <sz val="10"/>
        <color rgb="FFFF0000"/>
        <rFont val="Calibri"/>
        <family val="2"/>
      </rPr>
      <t>File Path: Professional- HR&amp;Training - Awarded - 2021-2024 Interpretation &amp; Translation Service</t>
    </r>
    <r>
      <rPr>
        <sz val="10"/>
        <color rgb="FF000000"/>
        <rFont val="Calibri"/>
        <family val="2"/>
      </rPr>
      <t xml:space="preserve"> </t>
    </r>
    <r>
      <rPr>
        <sz val="10"/>
        <color rgb="FFFF0000"/>
        <rFont val="Calibri"/>
        <family val="2"/>
      </rPr>
      <t xml:space="preserve">(non BLS) </t>
    </r>
    <r>
      <rPr>
        <sz val="10"/>
        <color rgb="FF000000"/>
        <rFont val="Calibri"/>
        <family val="2"/>
      </rPr>
      <t xml:space="preserve">12 month extension signed and completed </t>
    </r>
  </si>
  <si>
    <t>DN535406</t>
  </si>
  <si>
    <t>Social Action Digital Solution
(currently Tribe, provided by Bronze Software Labs)</t>
  </si>
  <si>
    <t>Bronze Software Labs</t>
  </si>
  <si>
    <t>Cath Ritchie</t>
  </si>
  <si>
    <r>
      <rPr>
        <sz val="10"/>
        <color rgb="FFFF0000"/>
        <rFont val="Calibri"/>
        <family val="2"/>
      </rPr>
      <t xml:space="preserve">File Path: Professional - T&amp;C - Misc  -Awarded - Social Action Digital Solution </t>
    </r>
    <r>
      <rPr>
        <sz val="10"/>
        <color rgb="FF000000"/>
        <rFont val="Calibri"/>
        <family val="2"/>
      </rPr>
      <t>Direct Award under G-Cloud 12 Framework Agreement.
Contract extension fully signed off and shared.</t>
    </r>
  </si>
  <si>
    <t>DN457780</t>
  </si>
  <si>
    <t>Seasonal Vegetation Cutting Programme 2020-24</t>
  </si>
  <si>
    <r>
      <rPr>
        <sz val="10"/>
        <color rgb="FF000000"/>
        <rFont val="Calibri"/>
        <family val="2"/>
      </rPr>
      <t xml:space="preserve">DTMS Group - </t>
    </r>
    <r>
      <rPr>
        <sz val="9"/>
        <color rgb="FF000000"/>
        <rFont val="Calibri"/>
        <family val="2"/>
      </rPr>
      <t>dan.lazenby@dtmsgroup.co.uk – 07894 424134  pam.brown@dtmsgroup.co.uk – 01765 620400</t>
    </r>
  </si>
  <si>
    <t>Brian Mullins</t>
  </si>
  <si>
    <r>
      <rPr>
        <sz val="10"/>
        <color rgb="FFFF0000"/>
        <rFont val="Calibri"/>
        <family val="2"/>
      </rPr>
      <t xml:space="preserve">File Path: Professional - Horticultural- Awarded </t>
    </r>
    <r>
      <rPr>
        <sz val="10"/>
        <color rgb="FF000000"/>
        <rFont val="Calibri"/>
        <family val="2"/>
      </rPr>
      <t>24 month extension fully signed and shared with the service area (with request to pass to the supplier)</t>
    </r>
  </si>
  <si>
    <t>International Recruitment Agency</t>
  </si>
  <si>
    <t>Saunctury Personnell</t>
  </si>
  <si>
    <t>Np</t>
  </si>
  <si>
    <t>Jessica Marshall1</t>
  </si>
  <si>
    <t xml:space="preserve">12/08/2022 - Contract awarded and signed. </t>
  </si>
  <si>
    <t>Communications</t>
  </si>
  <si>
    <t>Advertising Campaigns - Devolution</t>
  </si>
  <si>
    <t>The Consultation Institute</t>
  </si>
  <si>
    <t>Alison Clarke</t>
  </si>
  <si>
    <t xml:space="preserve">17/08/2022 - Direct awarded via health trust Europe Framework Agreememt and awarded - Contract signed for 2 years. 
12/07/2022 - exploring framework options
27/06/2022 - Meeting to discuss 29/06 to progress
21/06/2022 - Chased
08/06/2022 - Awaiting for service area.
26/05/2022 - Chased client for response - She has advised that she cannot give a confirmed decision until 6/6/22.
10/05/2022 - Contacted Alison to arrange meeting to dicuss procurement options and routes to market - awaiting for confirmation from Alison on the procurement route they want to take.  </t>
  </si>
  <si>
    <t xml:space="preserve">Swetton 
1697 Strengthening </t>
  </si>
  <si>
    <t>Contract complete - Project can be closed
2022/07/21 Handover to EWh
2022/07/19 To check if closed off? 12/07 July contract being pulled together
23-06-2022 - Published by Ed Whitaker
2022/05/20 Docs due 30/05
2022/04/29 Remains to programme
2022/04/22 Confirm sought from JPWi
2022/03/29 Remains target
2022/03/25 Delay until May procurement, assumed start dates, JPWi
2022/01/26 Remains target
2022/01/12 New bridges scheme (replace 1/13 provisional items)/</t>
  </si>
  <si>
    <t xml:space="preserve">Fell Beck 
1232 Strengthening </t>
  </si>
  <si>
    <t>Contract complete - Project can be closed
2022/07/21 Handover to EWh
2022/07/19  Closes 28/07
2022/06/22 Doc due end of June
2022/05/20 Docs due 30/05
2022/04/29 Remains to programme
2022/04/22 Confirm sought from JPWi
2022/03/29 Remains target
2022/03/25 Delay until May procurement, assumed start dates JPWi
2022/01/26 Remains target
2022/01/12 New bridges scheme (replace 1/13 provisional items)</t>
  </si>
  <si>
    <t>Area 3 Scarborough &amp; Town R&amp;R
Wreyfield Drive x 2
Scholes Park Road
Givendale Road
Holly Walk
Lowdale Avenue
Gladstone Road</t>
  </si>
  <si>
    <t xml:space="preserve">Duchess of Kent Painting </t>
  </si>
  <si>
    <t>James Walker (Bridges)</t>
  </si>
  <si>
    <t>Contract complete - Project can be closed
23-06-2022 Project issued by Ed Whitaker, closes 05/07
2022/05/20 Docs due 27/05
2022/04/28 New scheme</t>
  </si>
  <si>
    <t>Area 1 Tender Package 6
28 Tender 1 C35 Middleham R&amp;R
C28 Lucy Cross to Aldbrough St John R&amp;R
C35 Pinkers Pond to Middleham Gallops R&amp;R
U1227 St Giles Farm Road R&amp;R</t>
  </si>
  <si>
    <t>06/10/22 - NYH have confirmed receipt of signed contract. Project completed on Yortender.
08/09/22 - Confirmation to award received. Notification letters sent. Contract sent to print room 04/08
07/07/22 - Tender completed. 5 submissions received and evaluated. Awaiting confirmation to award.
26/05/22 - Tender published. Submission deadline 05/07
2022/02/21 New scheme MPl</t>
  </si>
  <si>
    <t>Area 2 Tender Package 2
Topcliffe R &amp; R
Thirsk Road Easingwold R &amp; R
Emgate R &amp; R
Scugdale R &amp; R
Danby Wiske R &amp; R 3
Appleton Wiske R &amp; R
Wycar R &amp; R
Dalton R &amp; R</t>
  </si>
  <si>
    <t>06/10/22 - NYH have confirmed receipt of signed contract. Project completed on Yortender.
08/09/22 Still awaiting confirmation that signed contract has been received.
07/07/22 - Tender completed and evaluated. Contract sent to print room 05/07/22
16/06/22 - Tender published 11/05, submission deadline 20/06
2022/02/21 New scheme MPl</t>
  </si>
  <si>
    <t>20/10/22 - Project to be archived
06/10/22 - NYH have confirmed receipt of signed contract. Project completed on Yortender.
08/09/22 - Confirmation to award received. Notification letters sent. Contract sent to print room 04/08
07/07/22 - Tender completed. 5 submissions received and evaluated. Awaiting confirmation to award.
26/05/22 - Tender published. Submission deadline 05/07
2022/02/21 New scheme MPl</t>
  </si>
  <si>
    <t>Toad Hole Replacement of Bridge 1715</t>
  </si>
  <si>
    <t>Contract complete - Project can be closed
23/06/2022 Tender closes 19/07/2022</t>
  </si>
  <si>
    <t>Lakesideway Footbridge Bridge Parapet Painting</t>
  </si>
  <si>
    <t>Area 3 Scarborough &amp; Coastal R&amp;R
Stepney Road
Stepney Hill
Murray Street
Ellervy Lane
Bank Top Lane
New Road</t>
  </si>
  <si>
    <t xml:space="preserve">Fryupdale </t>
  </si>
  <si>
    <t>2022/07/12  sent out for tender                                                                                                
2022/06/16  requested update to see if docs ready  should be ready  w/c  20th June at somepoint                                                                      2022/05/18 Additoinal scheme for June delivery</t>
  </si>
  <si>
    <r>
      <rPr>
        <sz val="10"/>
        <color rgb="FF000000"/>
        <rFont val="Calibri"/>
        <family val="2"/>
      </rPr>
      <t xml:space="preserve">Support services to children centres (APL) - </t>
    </r>
    <r>
      <rPr>
        <b/>
        <sz val="10"/>
        <color rgb="FFFF0000"/>
        <rFont val="Calibri"/>
        <family val="2"/>
      </rPr>
      <t>TO BE REMOVED/ OR AMENDED BASED ON SUCCESS OF BID</t>
    </r>
  </si>
  <si>
    <t>Barbara Merrygold</t>
  </si>
  <si>
    <r>
      <rPr>
        <sz val="10"/>
        <color rgb="FF000000"/>
        <rFont val="Calibri"/>
        <family val="2"/>
      </rPr>
      <t xml:space="preserve">APL not continuing moving a grant based approach with stronger communities -Ally to ensure she is involved with meetings between service area and stronger to understand any procurement implications. Barbara advised will keep me informed havent heard annything as of yet- RW Advised- CYPLT due to have wider discussion around childhood futures which will feed into way forward for this. no further updates have been recieved on this so no update on current decision 
</t>
    </r>
    <r>
      <rPr>
        <b/>
        <sz val="10"/>
        <color rgb="FF000000"/>
        <rFont val="Calibri"/>
        <family val="2"/>
      </rPr>
      <t xml:space="preserve">APL no longer required - replaced with a small grant sceme up to £750 managed via Stronger - Complete </t>
    </r>
  </si>
  <si>
    <t>Levelling Up Fund (LUF) - Oversite
- NYCC Transport Bid (Seamer Station, Thirsk Station, Scarborough Station)
- Malton and Thirsk Constituency Bid (Malton Rail / Bus Interchange Redevelopment, Malton Station
- Catterick Garrison (community space building, park and town centre public realm)</t>
  </si>
  <si>
    <t>2023/24</t>
  </si>
  <si>
    <t>Keishia Moore</t>
  </si>
  <si>
    <t>Martin Simpson</t>
  </si>
  <si>
    <t>2022/10/11 All under separate lines now.  Removes duplication of value
2022/10/05 Catterick moving at risk, see indivudal assigned LUF lines
2022/06/13 Catterick scheme addition, RDC lead w. MOD. £20M added
2022/06/06 Scarb works to potentially join SBC procurement
2022/05/30 Seamer bridge Network Rail, A64 &amp; business park
2022/05/26 Thirsk scheme update on bridge build.  Contract will with Network Rail (to their sub con AmcoGiffen)
2022/05/06 New scheme notified, first notification of new scheme.  Funding bids in 06/07/2022</t>
  </si>
  <si>
    <t>SRF - A6108 Package 1 Signing and Lining works</t>
  </si>
  <si>
    <t>2022/08/23 confirmed with NY H to deliver
2022/08/16 Concenr remains about how this is to be delivered, by NY H or rebid exercise.  NY H to advise 
2022/08/02 Confirmed JCh the project is pulled.  Project to not be awarded.
21/07/2022 - PM additional - advised to maintain tender now.  Handover project to EWh
21/07/2022 - Neil Linfoot advised to pull tender - work will be carried out by NYH directly 
23-06-2022 Project published 22-06-2022 - closed end of July
2022/04/29 New scheme highlevel notification, limited detail, tiering to be done</t>
  </si>
  <si>
    <t>SRF - A6108 Package 10 Layby improvements</t>
  </si>
  <si>
    <t>2023/01/16 No rsp, closed
2022/11/01 MSi update with AGa to establish postion
13/09/2022 Evaluation Completed - Colas winnig bidder however unable to award. Due to the costs being much higher than anticipated, WSP have been reviewing to establish if the works can be carried out during the day, as opposed to night working. 
Project lead no Alexander Gardner
2022/09/06 Did this happen?  Values?
2022/07/21 Handover project to EWh.  Price only evaluation
23-06-2022 Project published 22-06-2022 - closed end of July
2022/04/29 New scheme highlevel notification, limited detail, tiering to be done.  Likely</t>
  </si>
  <si>
    <t xml:space="preserve">Area 3 Tender Package 1: Scarborough Central
Moor Road
Area 3 Burniston Road Roundabout R&amp;R
Murray Street, Filey R&amp;R
Trafalgar Road
St Sepulchre Street
Elders Street
Albemarle Crescent
Hanover Road
Murray Street
St Johns Avenue
Royal Avenue
</t>
  </si>
  <si>
    <t>Mike Aitchison</t>
  </si>
  <si>
    <t>2022/07/10   job awarded, contract sent                                                                                                                                                                      2022/08/24  -  consesnus completed - award letter issued - contract to create                                                                                         2022/07/06  out on tender                                                                                                          2022/06/16  docs ready will review docs this week and issue on yortender if all ok                        2022/02/21 New scheme MPl</t>
  </si>
  <si>
    <t>Area 3 Scarborough &amp; Filey   R&amp;R
Bowes Lane
King Hill
Scalby Road
Burniston Road
Trafalgar Square
St Sepulchre Street
Elders Street
Ablemarle Crescent
Hanover Road
Murray Street 
St Johns</t>
  </si>
  <si>
    <t>2022/11/21 Not be t aken up by NYH see new project
2022/05/09 No update
2021/06/23 potential extension of 12months</t>
  </si>
  <si>
    <t>Whitby Swing Bridge Resurfacing</t>
  </si>
  <si>
    <t xml:space="preserve">20/10/22 - Signed contract received. Project completed on Yortender. Project to be archived.
08/09/22 - Evaluation completed, notification letters sent. Contract sent via Signing Hub 03/08
26/07/22 - 4 bids received, evaluation ongoing
22/06/2022 - Out to tender, closes 22/07/2022
2022/05/18 Remains on target
2022/04/29 On target for June
2022/04/11 Deresourced from ASm.  PRi confimed now June 2022
2022/04/07 Documents chased - Not ready yet. 
2022/03/29 Funding now rec, £80K, 300K painting.  Docs ready, should be ready 04/04
2022/02/24 Funding issue to be resolved - delayed
2022/01/26 Due mid Feb / March.  Must happen
2022/01/12 Confirmation sought if progressing, currently in delay with no dates as ongoing issues
2021/11/29 Bwt Fwd to Jan 2021
2021/09/29 Now 2022/23 Spring, budget pressure March
2021/08/26 TBC Maybe Sept or later now, may go into 2022/23 
2021/07/29 Ongoing development of specialist heat reflecting, coloured wearing course product to mitigate heat expansion, documents anticipated end of August 2021
07/07/2021 Docs to procurement by 09 August (target)
2021/04/26 New scheme raised to PMu </t>
  </si>
  <si>
    <t>Rawcarr North Face Rebuild</t>
  </si>
  <si>
    <t>Storage- Long term deep storage for archive materials</t>
  </si>
  <si>
    <r>
      <rPr>
        <sz val="10"/>
        <color rgb="FF000000"/>
        <rFont val="Calibri"/>
        <family val="2"/>
      </rPr>
      <t xml:space="preserve">DeepStore - </t>
    </r>
    <r>
      <rPr>
        <sz val="9"/>
        <color rgb="FF000000"/>
        <rFont val="Calibri"/>
        <family val="2"/>
      </rPr>
      <t>KevinMatthams@Deepstore.co.uk</t>
    </r>
  </si>
  <si>
    <r>
      <rPr>
        <sz val="10"/>
        <color rgb="FF000000"/>
        <rFont val="Calibri"/>
        <family val="2"/>
      </rPr>
      <t xml:space="preserve">60 + 60 </t>
    </r>
    <r>
      <rPr>
        <sz val="10"/>
        <color rgb="FFFF0000"/>
        <rFont val="Calibri"/>
        <family val="2"/>
      </rPr>
      <t>(+24)</t>
    </r>
  </si>
  <si>
    <t>Margaret Boustead</t>
  </si>
  <si>
    <r>
      <rPr>
        <sz val="10"/>
        <color rgb="FFFF0000"/>
        <rFont val="Calibri"/>
        <family val="2"/>
      </rPr>
      <t>File Path - Professional - Corporate Contracts - Awarded - Offsite Storage</t>
    </r>
    <r>
      <rPr>
        <sz val="10"/>
        <color rgb="FF000000"/>
        <rFont val="Calibri"/>
        <family val="2"/>
      </rPr>
      <t xml:space="preserve"> Passed to VM from Sophie. Exetnsion &amp; Variation for additional 2 years. Service area agreed and legal pulled together document. VM sent onto Margaret and asked for contact at Deepstore. Emailed Kevin the variaiton to review. Neil Irving signing for NYCC. On signing Hub</t>
    </r>
  </si>
  <si>
    <t>Ash Die Back AI Vehicle Mounted Survey</t>
  </si>
  <si>
    <t>Nigel Smith</t>
  </si>
  <si>
    <t>2022/11/23  now completed with Sean and sent to CCS                                             2022/11/16 chased for infor to close off and ccs side 31st CCS award form to be complted  contacted Sean to arrange completion                                                                                                                                 2022/07/28  order paperwork being completed                                                                                  
2022/07/12  direct award through CCS, PO/ documentation being completed obtained ref for order from CCS                                                                                                                                   2022/06/23  meeting booked with Nigel early w/c 27th June to discuss framework paperwork 2022/06/16 To explore RM6165 for direct award of urgent road based AI survey of Ash tree die back</t>
  </si>
  <si>
    <t>Area 30008 Tender Package 4 – Landslips
Parkfield Close
Carr Lane
Littlebeck</t>
  </si>
  <si>
    <t>Karen Hebron</t>
  </si>
  <si>
    <t>2022/04/24  only one response  had feed back on response can be awareded - letter issued - contract to create                                         2022/07/21 Handover project to MCh.  Tender now close 25/07.  Consensus 11/08
23-06-2022- Project published - closes 18 July 2022
2022/06/14 New scheme added as requested.  Urgent.  Assigned resource to contact Karen</t>
  </si>
  <si>
    <t>Esk Valley Enhancement - TfN Contract</t>
  </si>
  <si>
    <r>
      <rPr>
        <sz val="10"/>
        <color rgb="FF000000"/>
        <rFont val="Calibri"/>
        <family val="2"/>
      </rPr>
      <t xml:space="preserve">Transport for the North - </t>
    </r>
    <r>
      <rPr>
        <sz val="9"/>
        <color rgb="FF000000"/>
        <rFont val="Calibri"/>
        <family val="2"/>
      </rPr>
      <t>caroline.young@transportforthenorth.com</t>
    </r>
  </si>
  <si>
    <t>John Laking</t>
  </si>
  <si>
    <r>
      <rPr>
        <sz val="10"/>
        <color rgb="FFFF0000"/>
        <rFont val="Calibri"/>
        <family val="2"/>
      </rPr>
      <t xml:space="preserve">File Path: Professional - Consultancy - Archive- Esk Valley Infrastructure. 
</t>
    </r>
    <r>
      <rPr>
        <sz val="10"/>
        <color rgb="FF000000"/>
        <rFont val="Calibri"/>
        <family val="2"/>
      </rPr>
      <t>Contract variation fully signed.</t>
    </r>
  </si>
  <si>
    <t>Area 3 Green Lane, Scarborough Resurfacing</t>
  </si>
  <si>
    <t>2022/07/12 -sent out for tender
2022/07/07  requested to see when docs may be ready
2022/06/16 New scheme for September start.  Quality evalaution element.  Advise Karen asap on programme</t>
  </si>
  <si>
    <t>Property Asset Data Consultancy</t>
  </si>
  <si>
    <t>Inner Circle</t>
  </si>
  <si>
    <t>2 months</t>
  </si>
  <si>
    <r>
      <rPr>
        <b/>
        <sz val="10"/>
        <color rgb="FF000000"/>
        <rFont val="Calibri"/>
        <family val="2"/>
      </rPr>
      <t>30/11/2022: PROJECT COMPLETE</t>
    </r>
    <r>
      <rPr>
        <sz val="10"/>
        <color rgb="FF000000"/>
        <rFont val="Calibri"/>
        <family val="2"/>
      </rPr>
      <t>. 24/11/2022: Completed - send benefits form to ESPO, plus added to Contracts Register. 17/11/2022: Contract now signed. CH to update Contracts Register/Contracts finder and send ESPO benefits/award form. . 03/11/2022: No update - no response from J Holden. Contract still not signed for NYCC on Signing Hub. 27/10/2022: No update. 18/10/2022: JH advised seeking login details for signing hub to progress. 11/10/2022 &amp; 29/09/2022: Update request sent to JH. 15/09/22: Update requested sent to JH. 09/09/2022: Spoke with Jon Holden to chase up NYCC signature. 24/08/2022 - Call off contract is on signing hub. Signed by Inner Circle. Chased JH to arrange NYCC signature. 21/07 - Chris drafting the call off contract
14/07: Met with Jon 12/07 to discuss requirement - awaiting details on both scopes.  Reviewing ESPO guidance to see if we can compliantly direct award. 
Want to direct award to Inner Circle via the ESPO Consultancy Lot 8A</t>
    </r>
  </si>
  <si>
    <t>Area 3 &amp; 4 Cattlegrid Reconstruction</t>
  </si>
  <si>
    <t>Karen Hebron / 
Mike Plews</t>
  </si>
  <si>
    <t>2022/07/28 sent out for tender                                                                                                       
2022/07/26 Documents with NY H, should be provided very soon.
2022/07/13  requested update on when docs many be ready                                                   
2022/06/21 Urgency for completion.  KHe will send informatino across.  Project title and values updated
2022/05/24 New scheme headline notification, all details and final scope / packaging to be confirmed.  Tiering to be completed once detail known</t>
  </si>
  <si>
    <t>Termination</t>
  </si>
  <si>
    <t>Fire Alarms Termination for Churches</t>
  </si>
  <si>
    <t>Churches</t>
  </si>
  <si>
    <t>Trevor Lambert</t>
  </si>
  <si>
    <t>Complete - recieved signed and sealed termination agreement back
GW4 Approved, variation drafted by legal and sent out to contractor
GW4 sent by SS for approvals</t>
  </si>
  <si>
    <t>Lot 1 TW Variations to Add Alarms in</t>
  </si>
  <si>
    <t>Tom Willoughbys Ltd</t>
  </si>
  <si>
    <t>2022/10/28 Variation has been sealed, electronic copy saved - COMPLETE
2022/09/09 Gateway approved, variation sent to contractor for signature
GW4 sent by SS for approvals</t>
  </si>
  <si>
    <t>eTraining - Governor Training (Currently Modern Governor via Herts for Learning)</t>
  </si>
  <si>
    <t>Herts for Learning</t>
  </si>
  <si>
    <r>
      <t>12+</t>
    </r>
    <r>
      <rPr>
        <sz val="10"/>
        <color rgb="FFFF0000"/>
        <rFont val="Calibri"/>
        <family val="2"/>
        <scheme val="minor"/>
      </rPr>
      <t>12</t>
    </r>
  </si>
  <si>
    <t>Adrian Clarke / Lorena Phillips</t>
  </si>
  <si>
    <r>
      <rPr>
        <sz val="10"/>
        <color rgb="FFFF0000"/>
        <rFont val="Calibri"/>
        <family val="2"/>
      </rPr>
      <t xml:space="preserve">File path: Professional - T&amp;C - Education - Modern Governor 
</t>
    </r>
    <r>
      <rPr>
        <sz val="10"/>
        <color rgb="FF000000"/>
        <rFont val="Calibri"/>
        <family val="2"/>
      </rPr>
      <t>26/10/22 - contract extension fully signed and shared.</t>
    </r>
  </si>
  <si>
    <t>One Public Estate' Consultancy - Asset Managememt</t>
  </si>
  <si>
    <t>5 months</t>
  </si>
  <si>
    <r>
      <rPr>
        <b/>
        <sz val="10"/>
        <color rgb="FF000000"/>
        <rFont val="Calibri"/>
        <family val="2"/>
      </rPr>
      <t>30/11/2022: PROJECT COMPLETE</t>
    </r>
    <r>
      <rPr>
        <sz val="10"/>
        <color rgb="FF000000"/>
        <rFont val="Calibri"/>
        <family val="2"/>
      </rPr>
      <t>. 24/11/2022: Completed: sent benefits form to ESPO, plus added to Contracts Finder and Contracts Register. 17/11/2022: Contract signed. CH to send benefits form to ESPO, plus add to Contracts Finder and Contracts Register. 10/11/2022: Contract now ready for CH to upload to signing hub . 03/11/2022: No update - no response from J Holden. 27/10/2022: No update. 18/10/2022: Call off documents returned to JH for final update. 11/10/2022 &amp; 29/09/2022: Update request sent to JH. 15/09/22: Update requested sent to JH. 09/09/2022: Held meeting with JH. JH to chase Inner Circle for schedules. 24/08/2022: Emailed JH for update. Awaiting response. 18/08/2022 - Still awaiting confirmation of proposal from Jon Holden. To pick up with Jon upon his return from leave. 21/07 -awaiting info/proposal from Jon
14/07: Met with Jon 12/07 to discuss requirement - awaiting details on both scopes.  Reviewing ESPO guidance to see if we can compliantly direct award. 
Grant funded from Central Govt, want to direct award to Inner Circle via the ESPO Consultancy Lot 8A</t>
    </r>
  </si>
  <si>
    <t>DN536533</t>
  </si>
  <si>
    <t>Children, Young People and Families - Residential Apprenticeships</t>
  </si>
  <si>
    <t xml:space="preserve">Derwent College - julia.atkinson@derwentside.ac.uk            </t>
  </si>
  <si>
    <t xml:space="preserve">Ruth Chester / Tracy Harrison </t>
  </si>
  <si>
    <r>
      <rPr>
        <sz val="10"/>
        <color rgb="FFFF0000"/>
        <rFont val="Calibri"/>
        <family val="2"/>
      </rPr>
      <t xml:space="preserve">File Path: Professional - HR&amp; Training - Apprenticeships - Levy -  Directors Reccomendation- Children, Young People and Families. </t>
    </r>
    <r>
      <rPr>
        <sz val="10"/>
        <color rgb="FF000000"/>
        <rFont val="Calibri"/>
        <family val="2"/>
      </rPr>
      <t xml:space="preserve">12 month extension signed and completed </t>
    </r>
  </si>
  <si>
    <t xml:space="preserve">Human Resources </t>
  </si>
  <si>
    <t>DN570564</t>
  </si>
  <si>
    <t>ePEP</t>
  </si>
  <si>
    <r>
      <rPr>
        <sz val="10"/>
        <color rgb="FF000000"/>
        <rFont val="Calibri"/>
        <family val="2"/>
      </rPr>
      <t>24+</t>
    </r>
    <r>
      <rPr>
        <sz val="10"/>
        <color rgb="FFFF0000"/>
        <rFont val="Calibri"/>
        <family val="2"/>
      </rPr>
      <t>12</t>
    </r>
    <r>
      <rPr>
        <sz val="10"/>
        <color rgb="FF000000"/>
        <rFont val="Calibri"/>
        <family val="2"/>
      </rPr>
      <t>+12</t>
    </r>
  </si>
  <si>
    <t xml:space="preserve">Lorena Philips / Jemma Gotts </t>
  </si>
  <si>
    <r>
      <rPr>
        <sz val="10"/>
        <color rgb="FFFF0000"/>
        <rFont val="Calibri"/>
        <family val="2"/>
      </rPr>
      <t xml:space="preserve">File Path: Professional - T&amp;C - Case Management - ePEP Virtual School
</t>
    </r>
    <r>
      <rPr>
        <b/>
        <sz val="10"/>
        <color rgb="FF000000"/>
        <rFont val="Calibri"/>
        <family val="2"/>
      </rPr>
      <t xml:space="preserve">6 months notice required to extend (so by 01/02/23).
</t>
    </r>
    <r>
      <rPr>
        <sz val="10"/>
        <color rgb="FF000000"/>
        <rFont val="Calibri"/>
        <family val="2"/>
      </rPr>
      <t>Notice to Extend issued and fully signed.</t>
    </r>
  </si>
  <si>
    <t xml:space="preserve">Greystone Gill 
1346 Maintenance </t>
  </si>
  <si>
    <t>Paul Tweed (Bridges)</t>
  </si>
  <si>
    <t>06/10/22 - Signed contract received. Project completed on Yortender.
08/09/22 - Evaluation completed, notification letters sent. Contract to be drafted.
26/07/22 - Still awaiting documents. Paul Tweed confirmed they are due soon.
2022/07/19 Query rasied to PTw for rsp.
2022/06/22 Remains on target
2022/05/18 Remains
2022/03/29 Remains target
2022/01/26 Tenders due out late summer
2022/01/12 New bridges scheme (replace 1/13 provisional items)</t>
  </si>
  <si>
    <t>Beck Hole Bridge Rebuild spandrel wall
392</t>
  </si>
  <si>
    <t>2022/12/08  - awarded to PBS  -contarct complete w/c 12th                                                   2022/11/16  now out on tender                                                                                         2022/11/07 Confirmed substantive project, duploicate has been archived (SSp)
2022/11/04  Tender issued out today 2022/11/01 Remains project
2022/10/25 Check with MSi, duplicate project from Bridges
2022/08/12  awaiting planning permisson    18th Oct  no update through as yet                                                                                                                                                   2022/06/22 Could occur, depends on consent from NYM
2022/05/18 Remains July
2022/04/29 National park delay continues
2022/04/25 Delayed by 1 month
2022/04/22 Confirm sought from JPWi
2022/03/29 May now as planning resolved
2022/01/26 No change
2021/11/29 Remains stuck in planning
2021/10/29 Remains stuck in planning issues
2021/10/25 Review, issues with NYM Planning remains
2021/10/21 Due 04/11
2021/09/29 Remains target, but doubtful, planning issues
2021/08/26 Still with NYM Pa, earlier Nov.
2021/07/29 Docs due 06/09, potential planning delay
02/06/2021 Documents due to procurement 02 August
2021/05/05 Date unsure J-PWi
08/04/2021 Target start date 6th Sept
2021/01/19 Raised by PRi</t>
  </si>
  <si>
    <t>Skellgill Bridge Replacement 
A80010
430</t>
  </si>
  <si>
    <t>tba</t>
  </si>
  <si>
    <t>06/10/22 - Signed contract received. Project completed on Yortender.
08/09/22 - Tender completed and awarded. Contract sent to Print Room 06/09
26/07/22 - Still awaiting documents
2022/07/19 Query rasied to JCa, confirmed docs w. Sen Eng and due very soon
2022/06/22 Expected July
2022/06/07 Delayed and deresourced, replaced by Rawcar
2022/05/18 Might be end of May / early June
2022/04/25 Confirmed, could be at risk from design
2022/04/22 Confirm sought from JPWi
2022/03/29 May at earliest
2022/01/26 Deferred tbc
2022/01/06 Deresourced, review 27/01, due 01/02
2021/11/29 Docs still being prepared
2021/10/25 Resource to plan but documents may take until w/c 08/11.  Review.
2021/10/21 Due 04/11
2021/10/19 Delayed in design, pushed back two weeks or so. PRi
2021/09/02 Deferred to Feb / Mar 2022 start.
2021/07/29 Dates moved back
2021/05/05 Dates remain as target, J-PWi
23/04/2021 Target documents to procurement 30 July 2021.
2021/01/19 Raised by PRi</t>
  </si>
  <si>
    <r>
      <t>24</t>
    </r>
    <r>
      <rPr>
        <sz val="10"/>
        <color rgb="FFFF0000"/>
        <rFont val="Calibri"/>
        <family val="2"/>
        <scheme val="minor"/>
      </rPr>
      <t>+12</t>
    </r>
  </si>
  <si>
    <t xml:space="preserve">Add new module on the base system co-terminus with current contract - no gateway needed as variation is still below threshold. Variation sigend and completed </t>
  </si>
  <si>
    <t>SFNY3 Contract Variation</t>
  </si>
  <si>
    <t>BT</t>
  </si>
  <si>
    <t>Initially Catriona Gatrell</t>
  </si>
  <si>
    <t>G4 fully signed off.  Catriona to draft variation document.</t>
  </si>
  <si>
    <t>PAMMS Software - Data Market Insight (ADASS Collab) Supplier</t>
  </si>
  <si>
    <t>HAS Technology Limited</t>
  </si>
  <si>
    <t>Neil Bartram / Cath Ritchie / Julie Toman</t>
  </si>
  <si>
    <r>
      <rPr>
        <sz val="10"/>
        <color rgb="FFFF0000"/>
        <rFont val="Calibri"/>
        <family val="2"/>
      </rPr>
      <t>File Path: Professional - T&amp;C- Miscellaneous - Awarded - PAMMS</t>
    </r>
    <r>
      <rPr>
        <sz val="10"/>
        <color rgb="FF000000"/>
        <rFont val="Calibri"/>
        <family val="2"/>
      </rPr>
      <t xml:space="preserve"> 
30/09/22 - Service area confirmed that the contract was set up for 36 months rather than 24 + 12 so no extension required. 
</t>
    </r>
    <r>
      <rPr>
        <b/>
        <sz val="10"/>
        <color rgb="FF000000"/>
        <rFont val="Calibri"/>
        <family val="2"/>
      </rPr>
      <t xml:space="preserve">Contract will roll over for 12 months if written notice isn't given 6 months ahead of contract end date. </t>
    </r>
  </si>
  <si>
    <t xml:space="preserve">Jacksons 
626 Concrete saddle and repoint </t>
  </si>
  <si>
    <t>20/10/22 - Signed contract received. Project completed on Yortender. Project to be archived.
08/09/22 - Tender completed. Contract sent via Signing Hub 07/09
26/07/22 - Docments received 25/07/22. Tender to be published by 28/07
2022/07/19 Query rasied to JWa, confirmed docs ready and w. sen. eng
2022/06/22 LBC may not be achieved, but ready to go
2022/05/18 LBC submitted, remains target
2022/04/29 Winter feeding of livestock may delay scheme to 2023 / list of consents 10 weeks approval, shoudl be known by July / August
2022/04/25 Delayed until 17/07
2022/04/22 Confirm sought from JPWi
2022/03/29 Bwt fwd. to May
2022/01/26 Tenders due out June
2022/01/12 New bridges scheme (replace 1/13 provisional items)</t>
  </si>
  <si>
    <t>Accounts Payable Forensic Software
(currently provided by FISCAL Technlogies)</t>
  </si>
  <si>
    <t>Hanlith and Malham Bridges</t>
  </si>
  <si>
    <t>2022/10/07  Awarded to Hinko  ontract to create.                                                                                                                                            2022/09/16   out on tender due to close at end of sept                                                                                                                                      2022/08/24  docs should be ready end of Aug                                                                                                                                                    2022/07/29 New scheme.  Tiering to be completed</t>
  </si>
  <si>
    <t>Elections Management System</t>
  </si>
  <si>
    <t>29+12</t>
  </si>
  <si>
    <t>Simon King</t>
  </si>
  <si>
    <t>Contract signed. Complete.</t>
  </si>
  <si>
    <t xml:space="preserve">Supply of traffic data camera kit </t>
  </si>
  <si>
    <t>Benjamin Hudson</t>
  </si>
  <si>
    <t>2022/09/01 Confirm not required?  Compare to "Temporary Traffic Data Collection, including Manual Traffic Surveys"
04/08/2022 New project for supply from JGi.  Tiering to be completed</t>
  </si>
  <si>
    <t>Ivanti - User Workspace Manager (support only) (formerly DesktopNow Appsense)</t>
  </si>
  <si>
    <t>Proact IT</t>
  </si>
  <si>
    <t xml:space="preserve">BVF complete. 1 year. Product likely not to be renewed again. </t>
  </si>
  <si>
    <t>Spectrum Spatial Analyst: License: £40,000Data Subscription: £8000 per annum maint &amp; support</t>
  </si>
  <si>
    <t xml:space="preserve">Stacey to pick up with Steve. </t>
  </si>
  <si>
    <t xml:space="preserve">Long Gill West 
223  </t>
  </si>
  <si>
    <t>Steve Hill (Bridges)</t>
  </si>
  <si>
    <t>05/01/23 - Signed contract received. Project completed on Yortender.
15/12/22 - Awaiting signed contract
27/10/22 - Evaluation completed. Notification of award sent to all bidders. Contract sent to Print Room 27/10
20/10/22 - Submission deadline reached. Returns currently being evaluated
06/10/22 - Tender published. Submission deadline 20/10
2022/08/26  End of September, tight window for delivery end of November / early December
2022/07/29 Back to September
2022/06/22 Pushed out to November
2022/05/18 July now, assumed start date
2022/04/29 delayed by one month, was SBr
2022/04/22 Confirm sought from JPWi
2022/03/29 Road space issues, could not happen
2022/01/26 Tenders due to go out May
2022/01/12 New bridges scheme (replace 1/13 provisional items)</t>
  </si>
  <si>
    <t>Spa Bridge, Scarborough
Kittiwake Nesting mitigations</t>
  </si>
  <si>
    <t>08/12/22 - Signed contract received. Project completed on Yortender. This can now be archived.
01/12/22 - Contract issued and awaiting signatures
03/11/22 - Notification of award notices sent. Contract to be drafted
27/10/22 - 3 bids received, 2 non-compliant. Awaiting clarification from final bidder before completing evaluation.
20/10/22 - Tender published. Submission deadline 21/10
08/09/22 - Paul Tweed confirmed documents should be ready 23/09
2022/08/26 New project, critical timing around nesting issues, tiering to be completed</t>
  </si>
  <si>
    <t>BES LGR Provision</t>
  </si>
  <si>
    <t>LGR FPP Provisional BES Emergency funding year end 2022/23</t>
  </si>
  <si>
    <t>2022/05/09 Provisional item remains
2021/06/03 LGR Resourcing provisional line of emergency response to major flood / winter event to be deleted once programme identified</t>
  </si>
  <si>
    <t>Kirkbymoorside Primary School Expansion</t>
  </si>
  <si>
    <t>Pensions Adminstration/PARIS/eBS Database support</t>
  </si>
  <si>
    <t>Oracle</t>
  </si>
  <si>
    <t>Director's recommendation completed and sent to GF for consideration</t>
  </si>
  <si>
    <t>Consultant for Double Devolution - Consultation Advice</t>
  </si>
  <si>
    <t>Aissa Gayle</t>
  </si>
  <si>
    <t>30/09/22 - Please close - cotnract signed published on portal and contract finder.
22/09/22 - sent contract through signing hub
21/09/22 - Call off terms are with Aissa with queries
15/09/22 - email Aissa call off terms and conditions to start completing will pick up 20/09/22. Service area need this urgently circa 55k</t>
  </si>
  <si>
    <t>DN517275</t>
  </si>
  <si>
    <t>Cash Collection service for schools/customers</t>
  </si>
  <si>
    <t>Security Plus +</t>
  </si>
  <si>
    <t>Joanne Simpson / Lee Ramsay</t>
  </si>
  <si>
    <t>Notice to Extend Letter fully signed.</t>
  </si>
  <si>
    <r>
      <rPr>
        <sz val="10"/>
        <color rgb="FF000000"/>
        <rFont val="Calibri"/>
        <family val="2"/>
      </rPr>
      <t>Area 6 21/22 Civils
(</t>
    </r>
    <r>
      <rPr>
        <i/>
        <sz val="10"/>
        <color rgb="FF000000"/>
        <rFont val="Calibri"/>
        <family val="2"/>
      </rPr>
      <t>now 22/23?</t>
    </r>
    <r>
      <rPr>
        <sz val="10"/>
        <color rgb="FF000000"/>
        <rFont val="Calibri"/>
        <family val="2"/>
      </rPr>
      <t>)
A60004</t>
    </r>
  </si>
  <si>
    <t>Gordon Milne</t>
  </si>
  <si>
    <t>2022/10/18 Qurey raised to HAM if this is still live.
/09/13 deresourced from EWh
2022/07/19 Rsp requested from SFo / NY H
2021/05/20 Budget decreased, may be NY H scheme
2021/04/01 Now deferred to 2022/23
2021/01/15 Raised by CSm 13/01/2021</t>
  </si>
  <si>
    <t>Ford works - Little Beck Ford and Cock Mill</t>
  </si>
  <si>
    <t>Philip Richardson (Bridges)</t>
  </si>
  <si>
    <t xml:space="preserve">2022/12/15  award letter issued contract to create 
2022/11/15  now out on tender                                                                                                2022/11/07  docs ready , will review and send out to tender.                                                    2022/10/18  will check when docs may be ready   -27/10 update due shortly                                                                                                                                                                                                                                                               2022/10/03 Confirm sought from PRi re programme
2022/09/13 Deresourced EWh , review Oct 2022 if documents arrive
2022/07/19 query rasied to PRi, confirmed July docs.
2022/05/18 Additional scheme for July delivery </t>
  </si>
  <si>
    <t>Beck Hole Bridge Works</t>
  </si>
  <si>
    <t>Ben Savage</t>
  </si>
  <si>
    <t>2022/11/07 Confirmed duplicate, MCh has scheme
03/11/22 - To be discussed at FPP
2022/10/25 Check with MSi, duplicate project from Bridges.  "Rebuild spandrel wall 392"
2022/10/20 New urgent project identified by JPWi 19/10.  Swapped from Cam Gill road creep.</t>
  </si>
  <si>
    <t>SRF - A6108 Package 2 Sharow Lane roundabout</t>
  </si>
  <si>
    <t>Alex Gardner
Heather Yendall</t>
  </si>
  <si>
    <t>2023/01/11 - award letter issued conract to complete                                                                                                                                                                2022/12/01  tender respnses  sent back to NYH .                                                            2022/10/27  sent out for tender on 26th                                                                                                                                                               2022/10/06 MCh with support from PHo
2022/10/03 Confirmed ready to progress, HYe
2022/09/06 AGa new budget manager, KRu
2022/07/21 Handover project and deresource as no action.  MSi rasied to NLi
2022/04/29 New scheme highlevel notification, limited detail, tiering to be done.  Likely</t>
  </si>
  <si>
    <t xml:space="preserve">Oracle Server Infrastructure </t>
  </si>
  <si>
    <t>Steve Caisley/Jon Learoyd</t>
  </si>
  <si>
    <t xml:space="preserve">Hardware (£201K) + (£72k Premier support) through Insight - remaining £15K to be done via Best value. </t>
  </si>
  <si>
    <t>Liftshare Services</t>
  </si>
  <si>
    <t>Liftshare</t>
  </si>
  <si>
    <t>Best value reviewed and sent on</t>
  </si>
  <si>
    <t xml:space="preserve">Network Switches </t>
  </si>
  <si>
    <t>Switchshop</t>
  </si>
  <si>
    <t>1</t>
  </si>
  <si>
    <t>FY2223 Q3</t>
  </si>
  <si>
    <t>Waiver signed off</t>
  </si>
  <si>
    <t>LGR Oracle BI Application support: Investigatory Workshop</t>
  </si>
  <si>
    <t>Beyond Systems</t>
  </si>
  <si>
    <t>T&amp;Cs currently with Legal for preparation - File path N:\FCS-DATA\Procurement\PROFESSIONAL\T and C\Finance\Oracle E-Business Suite Support\BI Third Party Support - Beyond Systems
23/12 Contract signed and sent to BB SM
Beyond are currently trying to negotiate with T&amp;C's
Simon Swann working with Beth on T&amp;Cs
8/11 Met with SS and SM . SS is to send the best value form and working with Legal for T&amp;C</t>
  </si>
  <si>
    <t>DN536306</t>
  </si>
  <si>
    <t>HR_BS</t>
  </si>
  <si>
    <t>Production Chef Apprenticeship</t>
  </si>
  <si>
    <t>Craven College</t>
  </si>
  <si>
    <t>Annabel MacGregor</t>
  </si>
  <si>
    <r>
      <rPr>
        <sz val="10"/>
        <color rgb="FF000000"/>
        <rFont val="Calibri"/>
        <family val="2"/>
      </rPr>
      <t xml:space="preserve">2023/02/10 Extension agreeement signed - COMPLETE
2023/02/09 Uploaded extension to Signing Hub
2023/02/01 Service area have confirmed they want to extend, Drafted extension agreement
2023/01/31 Chased service area to check they want to extend
2022/12/01 Made initial contact with service area
</t>
    </r>
    <r>
      <rPr>
        <sz val="10"/>
        <color rgb="FFFF0000"/>
        <rFont val="Calibri"/>
        <family val="2"/>
      </rPr>
      <t>File path: N:\fcs-data\Procurement\PROFESSIONAL\HR &amp; Training\Apprenticeships\Levy\3) BVF\Production Chef</t>
    </r>
  </si>
  <si>
    <t>LGR FPP Provisional BES Emergency weather event Winter 2022 / 2023</t>
  </si>
  <si>
    <t>DN558175</t>
  </si>
  <si>
    <t xml:space="preserve">Shredding &amp; Secure Disposal of Confidential Material - Confidential Shredding and General Paper Waste </t>
  </si>
  <si>
    <r>
      <t>24+</t>
    </r>
    <r>
      <rPr>
        <sz val="10"/>
        <color rgb="FFFF0000"/>
        <rFont val="Calibri"/>
        <family val="2"/>
        <scheme val="minor"/>
      </rPr>
      <t>12</t>
    </r>
    <r>
      <rPr>
        <sz val="10"/>
        <color theme="1"/>
        <rFont val="Calibri"/>
        <family val="2"/>
        <scheme val="minor"/>
      </rPr>
      <t>+12</t>
    </r>
  </si>
  <si>
    <t>John Metcalfe</t>
  </si>
  <si>
    <t>OTE1 - fully signed and circulated</t>
  </si>
  <si>
    <t>Brompton Hall Fencing</t>
  </si>
  <si>
    <t>Additional PPM Licences - Cora</t>
  </si>
  <si>
    <t>Cora</t>
  </si>
  <si>
    <t>Chris Taylor</t>
  </si>
  <si>
    <r>
      <rPr>
        <sz val="10"/>
        <color rgb="FFFF0000"/>
        <rFont val="Calibri"/>
        <family val="2"/>
      </rPr>
      <t xml:space="preserve">N:\fcs-data\Procurement\PROFESSIONAL\T and C\Business\Project Management 2022-2025
</t>
    </r>
    <r>
      <rPr>
        <sz val="10"/>
        <color rgb="FF000000"/>
        <rFont val="Calibri"/>
        <family val="2"/>
      </rPr>
      <t>Variation doc on Signing Hub.</t>
    </r>
  </si>
  <si>
    <t>EForms for Website</t>
  </si>
  <si>
    <t>Granicus-Firmstep</t>
  </si>
  <si>
    <t>Silas Holland / Caryl James</t>
  </si>
  <si>
    <t>Hard Facilties Management Servicing and Repairs
General Building: Responsive Maintenance
Framework
Extension from 02/24 to 01/25</t>
  </si>
  <si>
    <t>non Active</t>
  </si>
  <si>
    <t>2023/01/19 replaced by new line
2022/05/06 no change
2021/12/22 First extension</t>
  </si>
  <si>
    <t>Hard Facilties Management Servicing and Repairs
Alarms (Intruder and Fire): Servicing and Responsive Maintenance Framework
Extension from 02/24 to 01/25</t>
  </si>
  <si>
    <t>Hard Facilties Management Servicing and Repairs
Fixed Electrical Inspection and Testing and Portable Appliance Testing Framework
Extension from 02/24 to 01/25</t>
  </si>
  <si>
    <r>
      <t>12</t>
    </r>
    <r>
      <rPr>
        <sz val="10"/>
        <color rgb="FFFF0000"/>
        <rFont val="Calibri"/>
        <family val="2"/>
        <scheme val="minor"/>
      </rPr>
      <t>+12</t>
    </r>
    <r>
      <rPr>
        <sz val="10"/>
        <color theme="1"/>
        <rFont val="Calibri"/>
        <family val="2"/>
        <scheme val="minor"/>
      </rPr>
      <t>+12</t>
    </r>
  </si>
  <si>
    <t>2022/11/30 Spoke to Client, they are happy to extend. Legal confimed as the extension is automatic unless NYCC says otherwise and below threshold, nothing for us to do. Complete</t>
  </si>
  <si>
    <t>Highway Maintenance Gangs &amp; Other Operatives</t>
  </si>
  <si>
    <t>Claire Smart / NY H</t>
  </si>
  <si>
    <t>2022/11/21 See other gans project OCt from CSm
2022/07/29 New scheme, tiering to be completed once values confirmed fully</t>
  </si>
  <si>
    <t>22/23 Thirsk Package [A2### TBA]
Milehouse to Blakey Lane R&amp;R
York Road R&amp;R</t>
  </si>
  <si>
    <t>12/01/23 - This scheme is part of an existing contract. To be de-resourced.
09/12/2022 New scheme of 2023/24 programme, headline notification, tiering to be confirmed.  Date on programme 01/03/23 undeliverable</t>
  </si>
  <si>
    <t>22/23 Thirsk Package [A2### TBA]
Ingleby Cross
Darlington Road
A167 Darlington Road
Area 7 Station Road
Area 7 Bondgate Selby</t>
  </si>
  <si>
    <t>12/01/23 - This scheme is part of an existing contract. To be de-resourced.
09/12/2022 New scheme of 2023/24 programme, headline notification, tiering to be confirmed.  Date on programme 01/02/23 undeliverable</t>
  </si>
  <si>
    <t>4 no sites toilet refurb - 2023</t>
  </si>
  <si>
    <t>2022/10/21 Omit, PMcL
2022/05/09 Remains
2021/11/15 Contingency remains
2021/06/12 New scheme, est dates and duration, 2022 delivery, guestimated value</t>
  </si>
  <si>
    <t>DN460974</t>
  </si>
  <si>
    <t>LDS</t>
  </si>
  <si>
    <t>e-Democracy System (PMO Rerf: 2151)
(currently Modern.Gov, provided by Civica)</t>
  </si>
  <si>
    <t>Civica</t>
  </si>
  <si>
    <r>
      <t>26+12+</t>
    </r>
    <r>
      <rPr>
        <sz val="10"/>
        <color rgb="FFFF0000"/>
        <rFont val="Calibri"/>
        <family val="2"/>
        <scheme val="minor"/>
      </rPr>
      <t>12</t>
    </r>
  </si>
  <si>
    <t>Carol Watts / Daniel Harry / Christopher Taylor</t>
  </si>
  <si>
    <t xml:space="preserve">OTE 2 of 2    Dates changed on this contract not long after it was implemented. The new dates are as follows: 1st Feb 2021 - 31st Jan 2023 Extension 1st Feb 2023 - 31st Jan 2024 Extention 2 1st Feb 2024-31st Jan 2025
First year extension complete - likely unable to complete 2nd year due to the D&amp;B contracts 
Requested procurement resource </t>
  </si>
  <si>
    <t>A20017 Area 2 23/24 Tender Package 2 PSDP Scheme
A167 Birkby
A167 Darlington Rd
B6268 Masham Rd
C91 West Lane
Ingleby Arncliffe
C136 Tanton Rd
C99 Butt Lane
C168 Newsham Road
C159 Great Langton
U638 Yearsley Moor</t>
  </si>
  <si>
    <t>non active</t>
  </si>
  <si>
    <t>2022/08/26 Pused to 2023/24 due to utility works, duration to be confirmed</t>
  </si>
  <si>
    <t>A20019 Area 2 23/24 Tender Package 4 Special Scheme
A1724 Overton to District Boundary
Overton raised walkway</t>
  </si>
  <si>
    <t>12/01/23 - This scheme will now be delivered internally by NYH. To be de-resourced.
2022/08/26 New scheme, duration to be confirmed</t>
  </si>
  <si>
    <t>Demolition of Overdale old school site</t>
  </si>
  <si>
    <t>2023/01/16 Now cancelled PMcL
2022/12/12 Decision from CYPS 1st week of Jan 2023, if goes ahead OTT 30/01
2022/10/21 Now in delay, deresource from SSp, potentially Jan 2023 now
20/10/22 - Awaiting tender documents
2022/10/06 Nov 22 now anticipated
2022/08/15 YORbuild3, expected route.  No planing required, prior approval only.
2022/05/09 New scheme notified, estimated date</t>
  </si>
  <si>
    <t>A20016 TP1 R&amp;R and PSDP 
Easingwold bypass
Friarage Street
Thirsk Road
C86
Pickhill
Birkby to Salutation
Masham Road
West Lane
Ingleby Arncliffe
Newsham Road</t>
  </si>
  <si>
    <t>16/02/23 - Stuart Grimston has advised this is now combined with "A20016 Area 2 23/24 Tender Package 1 R&amp;R Schemes" so this row can be removed from the FPP.
02/02/23 - Awaiting tender docs
09/12/2022 New scheme of 2023/24 programme, headline notification, tiering to be confirmed</t>
  </si>
  <si>
    <t>Painting Contractors Framework (Refresh to current framework exp 31/03/2024)</t>
  </si>
  <si>
    <t>Potential 48</t>
  </si>
  <si>
    <t>2022/01/16 Cancelled CSm 
2022/05/09 Remains
2020/03/05 Future potential requirement</t>
  </si>
  <si>
    <t>Integrated Passenger Transport, Licencing, Public Rights of Ways &amp; Harbours</t>
  </si>
  <si>
    <t>Fleet</t>
  </si>
  <si>
    <t>3 x RCV for Harrogate BC</t>
  </si>
  <si>
    <t>Kelly Baxter</t>
  </si>
  <si>
    <t>DR signed off by Karl Battersby</t>
  </si>
  <si>
    <t>Luttons Primary HORSA replacement 2023</t>
  </si>
  <si>
    <t>CYPS LGR Provision</t>
  </si>
  <si>
    <t>LGR FPP Provisional CYPS projects buffer zone 2023/24 10 
Planned Maintenance Scheme 6</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</si>
  <si>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10</t>
  </si>
  <si>
    <t>LGR FPP Provisional CYPS projects buffer zone 2023/24 9 
Planned Maintenance Scheme 1</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</si>
  <si>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9</t>
  </si>
  <si>
    <t>LGR FPP Provisional CYPS projects buffer zone 2023/24 8  
Planned Maintenance Scheme 2</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</si>
  <si>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8</t>
  </si>
  <si>
    <t>LGR FPP Provisional CYPS projects buffer zone 2023/24 7 
Planned Maintenance Scheme 3</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</si>
  <si>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7</t>
  </si>
  <si>
    <t>LGR FPP Provisional CYPS projects buffer zone 2023/24 12 
Planned Maintenance Scheme 4</t>
  </si>
  <si>
    <t>2022/12/12 One of six planned maintenance schemes to be confirmed
2022/05/09 Provisional item remains
2021/0612 Estimate programme rec, unknowns reduced to 16 and all 2022/23 provision updated to actual
2021/06/01 LGR Resourcing provisional line of 10 2023/24 based on assumed volumes and cost with inflation 1.9%, 12 bronze (64% as 2021/22) to be deleted once programme identified 11</t>
  </si>
  <si>
    <t>LGR FPP Provisional CYPS projects buffer zone 2023/24 11 
Planned Maintenance Scheme 5</t>
  </si>
  <si>
    <t>Area 2 21/22 Package 9
Beakhills Landslip
A20006</t>
  </si>
  <si>
    <t>2022/08/26 Replaced by A20018 Area 2 23/24 Tender Package 3 Landslips U1858 Beakhills
2022/08/08 SGr confirmed project now deferred until 23/24, deresourced from KCh.  Assumed start date
2022/05/09 Delayed until August procurement, deresourced from SSp.  SGr email 
2022/04/14 SGr in final stage of design, ready soon.  Assumed June procurement
2021/05/20 Design not yet agreed, budget expected to increase, JGi
2021/01/19 Value confirmed KRu, 18/01
2021/01/15 Raised by KRu, more details requested</t>
  </si>
  <si>
    <t>Affinitext</t>
  </si>
  <si>
    <r>
      <rPr>
        <sz val="10"/>
        <color rgb="FFFF0000"/>
        <rFont val="Calibri"/>
        <family val="2"/>
      </rPr>
      <t xml:space="preserve">File Path: Professional - T&amp;C - Case Management - Awarded - Affinitext </t>
    </r>
    <r>
      <rPr>
        <sz val="10"/>
        <color rgb="FF000000"/>
        <rFont val="Calibri"/>
        <family val="2"/>
      </rPr>
      <t>24 month extension put in place early to secure rates. Extension in place for 2024-2026. Signed and Completed</t>
    </r>
  </si>
  <si>
    <t>Hard Facilties Management Servicing and Repairs
General Building: Responsive Maintenance
Framework
Extension from 02/25 to 01/26</t>
  </si>
  <si>
    <t>Hard Facilties Management Servicing and Repairs
Alarms (Intruder and Fire): Servicing and Responsive Maintenance Framework
Extension from 02/25 to 01/26</t>
  </si>
  <si>
    <t>Hard Facilties Management Servicing and Repairs
Fixed Electrical Inspection and Testing and Portable Appliance Testing Framework
Extension from 02/25 to 01/26</t>
  </si>
  <si>
    <t xml:space="preserve">Prevention and Service Development </t>
  </si>
  <si>
    <r>
      <rPr>
        <sz val="10"/>
        <color rgb="FF000000"/>
        <rFont val="Calibri"/>
        <family val="2"/>
      </rPr>
      <t>12+12</t>
    </r>
    <r>
      <rPr>
        <sz val="10"/>
        <color rgb="FFFF0000"/>
        <rFont val="Calibri"/>
        <family val="2"/>
      </rPr>
      <t>+12</t>
    </r>
  </si>
  <si>
    <t>Previous information - 2022/11/30 Spoke to Client, they are happy to extend. Legal confimed as the extension is automatic unless NYCC says otherwise and below threshold, nothing for us to do. Complete</t>
  </si>
  <si>
    <t xml:space="preserve">Hard Facilities Management Servicing and Repairs 
</t>
  </si>
  <si>
    <t>Religious Education Agreed Syllabus</t>
  </si>
  <si>
    <t>Rebecca Swift</t>
  </si>
  <si>
    <t>DN388786</t>
  </si>
  <si>
    <t>Service Management System
(currently Ivanti Service Manager, provided under contract with Ultima)</t>
  </si>
  <si>
    <t>Ultima</t>
  </si>
  <si>
    <t>60 + 24 + 24 + 12</t>
  </si>
  <si>
    <r>
      <rPr>
        <sz val="10"/>
        <color rgb="FFFF0000"/>
        <rFont val="Calibri"/>
        <family val="2"/>
      </rPr>
      <t xml:space="preserve">File path: N:\fcs-data\Procurement\PROFESSIONAL\T and C\Customer\1. Awarded\Service Management DN388786
</t>
    </r>
    <r>
      <rPr>
        <sz val="10"/>
        <color rgb="FF000000"/>
        <rFont val="Calibri"/>
        <family val="2"/>
      </rPr>
      <t>Deed of Variation returned to supplier and archived by Legal.</t>
    </r>
  </si>
  <si>
    <t>Sexual Health</t>
  </si>
  <si>
    <t>48+36+36</t>
  </si>
  <si>
    <t>29/03/2019 &amp; 03/09/2019</t>
  </si>
  <si>
    <t>Emma Davies</t>
  </si>
  <si>
    <t>Ad-hoc</t>
  </si>
  <si>
    <t>DN511710</t>
  </si>
  <si>
    <t>Children and Families</t>
  </si>
  <si>
    <t>Independent Visitors</t>
  </si>
  <si>
    <r>
      <rPr>
        <sz val="10"/>
        <color rgb="FF000000"/>
        <rFont val="Calibri"/>
        <family val="2"/>
      </rPr>
      <t>24+24+</t>
    </r>
    <r>
      <rPr>
        <sz val="10"/>
        <color rgb="FFFF0000"/>
        <rFont val="Calibri"/>
        <family val="2"/>
      </rPr>
      <t>12</t>
    </r>
  </si>
  <si>
    <t>Emma Hopper</t>
  </si>
  <si>
    <t xml:space="preserve">Final extension available from 01/03/2025 - 28/02/2026 (12 months) </t>
  </si>
  <si>
    <t>Ryedale</t>
  </si>
  <si>
    <t>Democratic and Financial Services</t>
  </si>
  <si>
    <t> </t>
  </si>
  <si>
    <t>Banking Services</t>
  </si>
  <si>
    <t>Lloyds Banking Group</t>
  </si>
  <si>
    <t>Direct Award Framework</t>
  </si>
  <si>
    <t>Keiran Owen</t>
  </si>
  <si>
    <t>Nick Kynman</t>
  </si>
  <si>
    <t>Direct Award to Lloyds via CIPFA framework 1+1+1 term. Banking requirements to be looked at for new council.</t>
  </si>
  <si>
    <t>DN542697</t>
  </si>
  <si>
    <t>Communications, Technology and Business Transformation</t>
  </si>
  <si>
    <t>Performance Management System</t>
  </si>
  <si>
    <t>Ideagen Gael Ltd (Pentana)</t>
  </si>
  <si>
    <t>1 year rolling</t>
  </si>
  <si>
    <t>Quotation</t>
  </si>
  <si>
    <t>Lynne Bayes</t>
  </si>
  <si>
    <t>Annual renewal taken, notice of cancellation needs to  be given 60 days prior to renewal on 01/04/23. This is before 1st Feb 2023, check LGR considerations as this may no longer be requried</t>
  </si>
  <si>
    <t>DN545512</t>
  </si>
  <si>
    <t>Microsoft 365 Licenses</t>
  </si>
  <si>
    <t>boxxe Limited</t>
  </si>
  <si>
    <t>12 months</t>
  </si>
  <si>
    <t>Framework</t>
  </si>
  <si>
    <t>Tim Sedman</t>
  </si>
  <si>
    <t>Extension taken, new pricing saved in folder</t>
  </si>
  <si>
    <t>Programme Director—Place &amp; Resources</t>
  </si>
  <si>
    <t>Traffic and Event Management for the Commonwealth Games Baton Relay 2022</t>
  </si>
  <si>
    <t>Community Traffic Management Ltd</t>
  </si>
  <si>
    <t>ITB</t>
  </si>
  <si>
    <t>Esther Graham</t>
  </si>
  <si>
    <t>Contract executed. Additional costs to be agreed based on any new requirements from commenwealth games</t>
  </si>
  <si>
    <t>Hand Drying Units Care Plan</t>
  </si>
  <si>
    <t>Wallgate Limited</t>
  </si>
  <si>
    <t>Quote</t>
  </si>
  <si>
    <t>Tom Ireland</t>
  </si>
  <si>
    <t>Tom sent details of new care plan for Wallgate units.</t>
  </si>
  <si>
    <t>Stronger Safer Communities</t>
  </si>
  <si>
    <t>Purchase of Community Enforcement Vehicles x2</t>
  </si>
  <si>
    <t xml:space="preserve">Ford Retail Ltd T/A TrustFord </t>
  </si>
  <si>
    <t>Bridget Skaife</t>
  </si>
  <si>
    <t>Awarded to Ford via TPPL framework and call off order executed</t>
  </si>
  <si>
    <t>Provision of Security and Concierge Services at Derwent Lodge</t>
  </si>
  <si>
    <t>Vistech Services Limited</t>
  </si>
  <si>
    <t>ITT</t>
  </si>
  <si>
    <t>Kim Robertshaw</t>
  </si>
  <si>
    <t>Contract executed and shared with all parties.</t>
  </si>
  <si>
    <t>Provision of Cleansing and Minor Maintenance of Public Conveniences</t>
  </si>
  <si>
    <t>Randles Cleaning Services Ltd</t>
  </si>
  <si>
    <t>Contract signed and shared.</t>
  </si>
  <si>
    <t>Planning and Regulatory Services</t>
  </si>
  <si>
    <t>Habitats Regulations Assessment and Technical Support Consultancy</t>
  </si>
  <si>
    <t>AECOM Limited</t>
  </si>
  <si>
    <t>Further Comp via ESPO</t>
  </si>
  <si>
    <t>Rachael Balmer</t>
  </si>
  <si>
    <t>One bid from AECOM recived,contract signed 12.07.2022</t>
  </si>
  <si>
    <t>DN502961</t>
  </si>
  <si>
    <t>Insurance (Brokerage)</t>
  </si>
  <si>
    <t>Marsh Ltd</t>
  </si>
  <si>
    <t>YPO Framework</t>
  </si>
  <si>
    <t>2nd extension for 6 months due to LGR confirmed with Marsh - £2495</t>
  </si>
  <si>
    <t>Customer Services</t>
  </si>
  <si>
    <t xml:space="preserve">Debt Enforcement </t>
  </si>
  <si>
    <t>Bristow &amp; Sutor</t>
  </si>
  <si>
    <t xml:space="preserve"> TBC </t>
  </si>
  <si>
    <t>Direct SLA</t>
  </si>
  <si>
    <t>Marcus Lee</t>
  </si>
  <si>
    <t>Marcus informed they have signed an SLA with Bristow on supplier SLA/terms, NK asked for copy and saved in folder/contracts register. Marcus was going to progress exemption with support from Anton, no confirmation of approval.. I have advised that safeguarding and GDPR considerations for T&amp;CS, legal to review. Alpha love Koh advised but does not appear to have been followed.</t>
  </si>
  <si>
    <t>Electric Vehicle Charging Points (Supplier Funded)</t>
  </si>
  <si>
    <t>Zest Eco</t>
  </si>
  <si>
    <t>Craig Nattress</t>
  </si>
  <si>
    <t>Call off and lease agreement signed. The contract value is based on the supplier profit projection. The Council recieves 15% of this</t>
  </si>
  <si>
    <t>Provision of Electric Vehicle Pool Car Scheme</t>
  </si>
  <si>
    <t xml:space="preserve">Co Wheels Car Club CIC </t>
  </si>
  <si>
    <t>CCS Framework</t>
  </si>
  <si>
    <t>Adam Vaughan</t>
  </si>
  <si>
    <t>Direct Award via CCS Framework.Start date upon delivery, estimated 7th Nov (12 weeks)</t>
  </si>
  <si>
    <t xml:space="preserve"> Waste and Environmental Services </t>
  </si>
  <si>
    <t>Garden Waste Licence Stickers</t>
  </si>
  <si>
    <t>Permiserv Limited</t>
  </si>
  <si>
    <t>Jane Robinson</t>
  </si>
  <si>
    <t>Contract fully signed 23.01.2023</t>
  </si>
  <si>
    <t xml:space="preserve">Keiran informed we are to take the extension, Lloyds signed extension letter 01.12.22, confirmed with workstream.  Direct Award to Lloyds via CIPFA framework 1+1+1 term. </t>
  </si>
  <si>
    <t xml:space="preserve">Smart Meter Data Contract &amp; 
Prepayment PayPoint Service </t>
  </si>
  <si>
    <t>Energy Controls Group Ltd</t>
  </si>
  <si>
    <t>Rolling</t>
  </si>
  <si>
    <t>Tom confirmed this is to be renewed for 1 year.</t>
  </si>
  <si>
    <t xml:space="preserve">DN467652 </t>
  </si>
  <si>
    <t>Waste and Environmental Services</t>
  </si>
  <si>
    <t>Footway Lighting upgrade (Malton and Norton)</t>
  </si>
  <si>
    <t>Altitude Services</t>
  </si>
  <si>
    <t>Beckie Bennett</t>
  </si>
  <si>
    <t>Glen McCusker is drafting contract. Need the signed copy. Had to put on contracts register with estimated dates as still not seen copy of final contract.</t>
  </si>
  <si>
    <t>Apprenticeship - End Point Assessment [EPA]</t>
  </si>
  <si>
    <t>NCFE</t>
  </si>
  <si>
    <t>£50,000 - £60,000</t>
  </si>
  <si>
    <t>Wendy Dodsworth</t>
  </si>
  <si>
    <t>Wildlife Agency Consultancy</t>
  </si>
  <si>
    <t>Hugh Clear Hill</t>
  </si>
  <si>
    <t xml:space="preserve">Now updated Martin. Consultancy to start in September (duration 6 months / £20k), with the main works to follow in Spring 2023. Agreement due to come through from Environment Agency for the next phase of the work (approx £180k). </t>
  </si>
  <si>
    <t>Adobe Connect Licences</t>
  </si>
  <si>
    <t>D4T4 Solutions</t>
  </si>
  <si>
    <t>Natalie Cronin/Caitlin Bell</t>
  </si>
  <si>
    <t>Connect licences can be purchased through the aggregation exercise. Extra row.</t>
  </si>
  <si>
    <t>CD</t>
  </si>
  <si>
    <t xml:space="preserve">Economic Development, Regeneration, Tourism and Skills </t>
  </si>
  <si>
    <t xml:space="preserve">Careers Enterprise </t>
  </si>
  <si>
    <t>Additional funding to be added to the original contract. Maria Hill is drafting the variation agreement.
GW complete - legal doing variation document.
Chased MH for info - Complete</t>
  </si>
  <si>
    <r>
      <t xml:space="preserve">Lay visitors service  </t>
    </r>
    <r>
      <rPr>
        <sz val="11"/>
        <color rgb="FFFF0000"/>
        <rFont val="Calibri"/>
        <family val="2"/>
        <scheme val="minor"/>
      </rPr>
      <t xml:space="preserve">HAS stated not curently required.  </t>
    </r>
  </si>
  <si>
    <t>Janine Tranmer</t>
  </si>
  <si>
    <t xml:space="preserve">Workshop Parts / Inventory </t>
  </si>
  <si>
    <t>2023/01/20 Superceeded by new procurement, confirm to del
2022/05/09 Remains
2021/06/23 potential extension of 12months, current Fleetfactors</t>
  </si>
  <si>
    <t>Waste, Highways, Parking &amp; Street Scene</t>
  </si>
  <si>
    <t>A684 Safer Routes 1 Hawes Pavement works
A10010</t>
  </si>
  <si>
    <t xml:space="preserve">Area 1 C29 Langthwaite to Tan Hill R&amp;R </t>
  </si>
  <si>
    <t xml:space="preserve">Newby 
83 Waterproofing (area doing surfacing) </t>
  </si>
  <si>
    <t>Kildwick CE VC Primary internal classroom adaptations</t>
  </si>
  <si>
    <t>Fountains CE PrimarySchool - TBC toilet refurbishment
21033</t>
  </si>
  <si>
    <t>Sherburn Athelstan Primary Wellbeing space
21013</t>
  </si>
  <si>
    <t>Economic Growth Strategy &amp; Business Engagement, Skills and Inward Investment</t>
  </si>
  <si>
    <t>10</t>
  </si>
  <si>
    <t>Hilary Day</t>
  </si>
  <si>
    <t xml:space="preserve">LGR Oracle Consultancy </t>
  </si>
  <si>
    <t>Total £996,124.00 £480,424.00 (SOW 9), £495,000.00 (SOW 6, 7, 8), £20,700.00 (SOW 4)</t>
  </si>
  <si>
    <t>Vincy Benadict</t>
  </si>
  <si>
    <t>Resource request - need to look at potential gcloud or waiver. Clarifying requirements for consultancy with service area. Requested clarification on potential route. Likely G-Cloud appointment to Rimini Street. G-Cloud call-off documentation being prepared in collaboration with Service Area. Likely 2 year (1+1) award. 17/07/2022 - S Swann has updated Call-off and returned to CH for review. S Swann has also requested a SOW 5 document from Rimini Street. 24/08/2022 - Revised timeline requirements identified by S Swann. Clarification requested from Simon over delayed SOW 5 document. Emailed Stacey to advise/confirm approach. 09/09/2022: SOW 5 Received. G-Cloud Call-off incorporating SOW5 out for signature on signing hub. 29/09/2022: Meeting today with Rimini Street over issues with signing new call off for SOW 5. 11/10/2022: SOW 5 Call Off signed - CH has requested a copy. Gateway Report for future requirements being finalised for signature 12/10. Rimini St preparing call-off document. 18/10/2022: Contract for SOW 5 signed. Awarded on Contracts Finder. added to Contracts Register, and Benefits Form sent to G-Cloud. SOW 6 Call-off being prepared for signature by Rimini Street. Gateway 1 passed at special PAB for future work packages. 27/10/2022 - SOW 6 Call-off expected to be ready for signature on 28/10/2022. 03/11/202: SOW 6 and Redline Call-off received - Needs update to encompass future SOWs. 10/11/2022: SOW 6 and overarching call-off being signed this week. Key Decision for next tranche -Template drafted and sent to service area to go on forward plan by 14th Nov. 17/11/2022: Received new template for Forward Plan Key Decision - CH to complete. Cll-off/SOW6 to be signed today. 24/11/2022: SOW 7&amp;8 being drafted for signature via Signing Hub. 30/11/2022: Docs signed. To be added to Contracts Register and Contracts Finder. 08/12/2022: Added to contracts register and contracts finder. Benefits form sent to G-Cloud. 14/12/2022: No update. 22/12/22: SOW9 with new call-off. Drafted in emergency circumstances. May be signed pre-Christmas by Gary F. 06/01/2023: Contract for SOW 9 signed. GW1-3 signed. 08/02/23: To be added to Ctts Finder/Register plus benefits form to do. 15/02/2023: Completed.</t>
  </si>
  <si>
    <t>Burton Leonard Early Years area</t>
  </si>
  <si>
    <t xml:space="preserve">Brougham Street -  Entrance alterations   
20006 </t>
  </si>
  <si>
    <t>2022/10/21 OMit PMcL
2022/08/15 No process
2022/05/19 Unlikely to proceed
2022/03/08 De resourced, now delayed until 2023
2022/01/25 Only to RIBA1, TBC
2021/12/23 Unlikely timescsales will be met for project approval
2021/11/15 Delay do to potential funding source issues
2021/10/26 Bwt. fwd out to tender 28/03/2022
2021/10/11 Remains target
2021/06/12 New scheme, anticipated dates, 2022 delivery, guestimated value</t>
  </si>
  <si>
    <t xml:space="preserve">Hard Facilities Management Servicing and Repairs 2024 onwards
- Lifts and Hoists 
- Automatic Doors
- Water Hygiene
- Asbestos Analysis
- Asbestos Abatement
</t>
  </si>
  <si>
    <t>2023/01/16 Replaced by indivudal lines
2022/08/26 Refer SSp.
2022/05/04 Refresh to commence late 2022
2021/12/22 Following extension, refresh to five Lots for Feb 2024 start.  Does Lifts lot require Hoists still?</t>
  </si>
  <si>
    <t>Grammar School Lane redevelopment, Northallerton</t>
  </si>
  <si>
    <t xml:space="preserve">2022/10/21 Now a free school site, delete PMcL
2022/08/15 Remains a possibility, links to Harrogate closures, SEN
2022/05/19 Possibility
2022/03/08 Possiblity
2021/11/09 Value increased to £4M JHo
2021/10/22 Highlevel awareness of potential project, subject to feasibilty.  Values and dates un confirmed </t>
  </si>
  <si>
    <t>Thirsk School Replacement classroom block</t>
  </si>
  <si>
    <t>DN436659</t>
  </si>
  <si>
    <t>Inter Country Adoption</t>
  </si>
  <si>
    <r>
      <t>36+</t>
    </r>
    <r>
      <rPr>
        <sz val="10"/>
        <color rgb="FF000000"/>
        <rFont val="Calibri"/>
        <family val="2"/>
        <scheme val="minor"/>
      </rPr>
      <t>24</t>
    </r>
  </si>
  <si>
    <t>Suzanna Grove</t>
  </si>
  <si>
    <t>Completed directors recommendation to award 5 yr. contract.  Contract commenced April 2019 for initial 3 yr. term.  Option to extend for a further 2 yr. from April 2022 - March 2024. 
Agreement received from consortium 02/03/2022 - extension draft underway.
Extension agreement with supplier for signature COMPLETED</t>
  </si>
  <si>
    <t>DN408853</t>
  </si>
  <si>
    <t>DOMESTIC ABUSE - Domestic Abuse Accommodation-based Support Services</t>
  </si>
  <si>
    <t>NYCC/CSD - Policy, Partnerships and Communities</t>
  </si>
  <si>
    <t>Odette Robson</t>
  </si>
  <si>
    <t>Contract commenced 01/06/2020 - 31/03/2023 - OTE for 12 months from 01/04/2023 - 31/03/2024.
OTE will be subject to Gateway 4.
NYCC lead procurement for NYCC &amp; CoY - need agreement from York re: extension.
Extension document to draft following PAB sign off.
Signed off GW4 - extension document to issue once variation complete
COMPLETE
Extension signed, variation uploaded - chased supplier</t>
  </si>
  <si>
    <t>Adults</t>
  </si>
  <si>
    <t>Prevention &amp; Service Development</t>
  </si>
  <si>
    <t>Minor Adaptations
Home Improvements Agency</t>
  </si>
  <si>
    <t>Mike Rudd (Commissioning) Mandy Walsh (Practice / Budget)</t>
  </si>
  <si>
    <t>2022/07/21 Handover to RSe
2022/04/29 G4a remains for signature
2021/12/20 Update w. RSe?
2021/10/28 Potential for West to run until 2024
2021/10/14 Extension for West, collaboration agreement East to be progressed
2021/08/06 Potential for extension to 2025, exploration of options in LGR context
2021/06/03 Stakeholders confirmed
2021/06/01 Discuss w. PMu potential combining into Hard FM - Responsive.  Query raised if now w. Michael Rudd in lieu of AHu.
2020/02/20 Remains next action.  Find out new commissioner.
15/11/2019 Future requirement added in preparation</t>
  </si>
  <si>
    <t>Environmental Services inc. low Carbon, Natural Capital &amp; Waste Services</t>
  </si>
  <si>
    <t>Variation to YORwaste Teckal contract for omission of Hazchem collection and disposal</t>
  </si>
  <si>
    <t>YORwaste</t>
  </si>
  <si>
    <t>2022/06/24 Gateway passed to ADs for approval, Michael Leah states there has been a delay in the exec approval for this
2022/06/10 Gateway passed by PAB
2022/05/20 Put placeholder in for PAB on 9th June, emailed Jo with update
2022/05/18 Spoke to Jo and Ed, they are doing the consensus for new contract w/c 23rd May
2022/05/03 Spoke to Joanne Kearney, tender for new Haz Chem supplier is published, Open for 3 weeks
2022/04/13 Asked for update from Ed about where he is in the procurement of new Haz Chem service, was told he is in discussion with the framework provider and will carry out a further competition in next few weeks. 
2022/03/10 Emailed Ed Whitaker who is procuring the new Haz Chem service, was told he is still waiting for informaiton from the service area to progress the procurement
2022/01/12 Had meeting with Joanne Kearney and Ed Whitaker. Jo agreed to send me a review document of the HazChem serivce and i would begin drafting G4a
2021/10/25 To work in tandem with the bid to establish the milkround hazchem collection</t>
  </si>
  <si>
    <t>Highways, Transportation, Parking Services, Parks and Grounds</t>
  </si>
  <si>
    <t>Disposal of assets - Two Gantry Cranes and Truss Bridge</t>
  </si>
  <si>
    <t xml:space="preserve">2023/01/24 Deresource
24/11/22 Awaiting further comments from finance on if auction route is acceptable within our regulations, I have gone back to client tam to disucss if this is commercially viable and if they can provide a more of a fixed value. 23/08 Conflicting opinions regarding if this should be tendered or not service area are currently debating value and what will need to be spent to provide any income on this sale. Finance are involved to review if the sale meets consitution compliance and have taken over support on this project. I have made clear to the client team my procurement support is still available anytime and will be further required should a formal bid process be required. 02/08 Awaiting response from FES enquiry need to review further with MSi/direcorate compliance of potential grant spend for disposal, examples of bid/previous asset disposal documents shared in order to start finding the information we need for spec. Exploring estimated value (there is possiblity to bundle items together if market allows). 2022/07/21 Handover project to KCh
2022/06/22 over £20K, on the open market, send to the auctions?
2022/05/18 Pending
2022/04/29 Pending capacity
2022/03/29  watching brief only until progress can be made
2021/11/29 Potential to exceed £20K threshhold and therefore required KBa / GFi agreement for proceeding.  Split into two lots; any possibility of eBay?
2021/11/15 Initial dicussion on potetential, value to be acertained below or over £20k threshold Financial Procedure Rules 9.10.  Tiering not relevant as no onward contract to manage </t>
  </si>
  <si>
    <t>IDAS</t>
  </si>
  <si>
    <t xml:space="preserve">No variation needed following extension within scope of contract. Contract expires on 31/03/2024. New contract being re-procured with  support from Laura Baxter. 
</t>
  </si>
  <si>
    <t>Contract Variation Water Hygiene</t>
  </si>
  <si>
    <t>GW4 signed off - need to understand if paperwork has been completed.</t>
  </si>
  <si>
    <t>Gatehouse Bridge Deck Replacement
A80001
1997</t>
  </si>
  <si>
    <t>2022/12/21 Signed contract received by Legal.  BHu requested that they now date this. 
2022/10/28  Contract sent to printroom
2022/10/12 Notification letters issued.  BHu creating the contract.  Preferred bidder needs to send in an Excel version of the CMS 
2022/09/30 Tender closed 28/9, JPi has completed the price evaluation and has identified an intended awardee.
2022/09/15 Deleyed, trasnferred to MCh
2022/09/13 Should be completed by EWh prior to last day.  May need watching brief
31/08/2022 Out to tender
2022/07/29 Remains
2022/04/25 Delayed, awaiting WSP
2022/04/22 Confirm sought from JPWi
2022/03/29 Confirmed May
2022/03/24 Pushed back one month by J-PWi, to review May
2022/02/28 Docs due 10/03
2022/02/10 Delayed
2022/01/07 Value reduced, JPWi
2021/11/29 Remains
2021/10/29 Moving back into spring 2022
2021/09/29 Remains as programmed
2021/07/29 May be at risk from financial constraints, programme remains 
23/07/2021 Informed by JP that the project has been pushed back until November.  Deresourced
2021/05/05 Dates remain as target, J-PWi
23/04/2021 Target date for issue to procurement 23 July 2021
08/04/2021 Aiming for July for docs to be ready
2021/01/19 Raised by PRi</t>
  </si>
  <si>
    <t>e-Democracy System (PMO Ref: 2151)
(currently Modern.Gov, provided by Civica)</t>
  </si>
  <si>
    <r>
      <rPr>
        <sz val="10"/>
        <color rgb="FF000000"/>
        <rFont val="Calibri"/>
        <family val="2"/>
      </rPr>
      <t>32+</t>
    </r>
    <r>
      <rPr>
        <sz val="10"/>
        <color rgb="FFFF0000"/>
        <rFont val="Calibri"/>
        <family val="2"/>
      </rPr>
      <t>12</t>
    </r>
    <r>
      <rPr>
        <sz val="10"/>
        <color rgb="FF000000"/>
        <rFont val="Calibri"/>
        <family val="2"/>
      </rPr>
      <t>+12</t>
    </r>
  </si>
  <si>
    <t>Kevin Thompson (PM) / Daniel Harry / Christopher Taylor</t>
  </si>
  <si>
    <t xml:space="preserve">Extension complete
</t>
  </si>
  <si>
    <t>DBA Managed Service</t>
  </si>
  <si>
    <t>DSP Global Ltd</t>
  </si>
  <si>
    <t>Keri Wilkins</t>
  </si>
  <si>
    <r>
      <rPr>
        <sz val="10"/>
        <color rgb="FFFF0000"/>
        <rFont val="Calibri"/>
        <family val="2"/>
      </rPr>
      <t xml:space="preserve">N:\fcs-data\Procurement\PROFESSIONAL\T and C\HR\DBA Supprt
</t>
    </r>
    <r>
      <rPr>
        <sz val="10"/>
        <color rgb="FF000000"/>
        <rFont val="Calibri"/>
        <family val="2"/>
      </rPr>
      <t>Awarded as a waiver for initial term.
10/11/2022 to be reviewed w/c 14/11/2022
17/11/22 contract start date of Feb 2022, 36 month contract with break clause at year 1  Value £32,000 per annum.  Email to S Caisey.  
7/12/2022 SC confirms intention to break.  Legal confirm that contract is unclear on notice period required for termination. SC will contact supplier and clarify notice requirements
12/12/2022 SC has given notice of the break to the supplier by email for end date 19/2/23 - email to SC clarifying that end date is infact 1/2/23
12/1/23 email to SC asking for confirmation that the contract is breaking on 1/2/23 - confirmed
19/01/23 emails saved in the folder and close the record. Respond to email from Legal to confirm the case is closed</t>
    </r>
  </si>
  <si>
    <t xml:space="preserve">LCS/ EHM MeLearning </t>
  </si>
  <si>
    <t xml:space="preserve">ME Learning </t>
  </si>
  <si>
    <t>21/02 - Contract signed, Contract created, contracts finder completed, Decision Record sent to Lorena for approval and instructions to send to Julie Robinson 
 N:\FCS-DATA\Procurement\PROFESSIONAL\T and C\Case Management\1. Awarded\Liquid Logic Contracts\Me Learning Contract Variation\Extension 2020-2023</t>
  </si>
  <si>
    <t>DN568980</t>
  </si>
  <si>
    <t>Democratic Services</t>
  </si>
  <si>
    <t>Richmondshire</t>
  </si>
  <si>
    <t>Elections</t>
  </si>
  <si>
    <t>Initial</t>
  </si>
  <si>
    <t>Election Printing</t>
  </si>
  <si>
    <t>12+12</t>
  </si>
  <si>
    <t>Tender</t>
  </si>
  <si>
    <t>Sandra Hullah</t>
  </si>
  <si>
    <t>Current</t>
  </si>
  <si>
    <t>DN511611</t>
  </si>
  <si>
    <t>Waste &amp; Street Scence</t>
  </si>
  <si>
    <t>Waste &amp; Street Scene</t>
  </si>
  <si>
    <t xml:space="preserve">Tyre Services </t>
  </si>
  <si>
    <t>Bush Tyres</t>
  </si>
  <si>
    <r>
      <t>24+</t>
    </r>
    <r>
      <rPr>
        <sz val="10"/>
        <color rgb="FFFF0000"/>
        <rFont val="Calibri"/>
        <family val="2"/>
      </rPr>
      <t>12</t>
    </r>
    <r>
      <rPr>
        <sz val="10"/>
        <color rgb="FF000000"/>
        <rFont val="Calibri"/>
        <family val="2"/>
      </rPr>
      <t>+12</t>
    </r>
  </si>
  <si>
    <t>Gill Roberts</t>
  </si>
  <si>
    <t>LGR Variation Insurance System (currently EvoClaim, provided by DWF 360)</t>
  </si>
  <si>
    <t>DWF 360</t>
  </si>
  <si>
    <t>Michaela Lowe/Fiona Sowerby/Claire Cooper</t>
  </si>
  <si>
    <r>
      <rPr>
        <sz val="10"/>
        <color rgb="FF000000"/>
        <rFont val="Calibri"/>
        <family val="2"/>
      </rPr>
      <t xml:space="preserve">2023/02/21 Variation Signed - COMPLETE
2023/02/16 G4 passed by PAB and ADs, will organise signing of variation
2023/02/10 drafted G4 and variation, checked by legal, PAB on 16/02/2023
2023/01/27 Started drafting G4
2023/01/17 Informed by service area need 5 extra licences
2022/09/13 Informed client i was taking over from Vicky
</t>
    </r>
    <r>
      <rPr>
        <sz val="10"/>
        <color rgb="FFFF0000"/>
        <rFont val="Calibri"/>
        <family val="2"/>
      </rPr>
      <t xml:space="preserve">File Path: Professional -T&amp;C - Business-Awarded- Insurance and Risk Management </t>
    </r>
    <r>
      <rPr>
        <sz val="10"/>
        <color rgb="FF000000"/>
        <rFont val="Calibri"/>
        <family val="2"/>
      </rPr>
      <t xml:space="preserve"> Initial meeting for discussion on moving all districts to the EvoClaim system - Frank H working with supplier to understand the financial implications of the additional users. Vic to be included in meetings going forward to begin work on this. Discussions are still being had. Service area are still deciding how many additional licences they need and whether they can use the 4 we have left before we need to vary the contract. Scarborough have confirmed they do require one and Richmondshire do not require one. Extension to go ahead variation put on hold.  </t>
    </r>
  </si>
  <si>
    <t xml:space="preserve">Highways, Transportation, Parking Services, Parks and Grounds </t>
  </si>
  <si>
    <t>A59 Kex Gill Improvement (2021)</t>
  </si>
  <si>
    <t>Richard Binks / 
Mark Hugill 
&amp; WSP</t>
  </si>
  <si>
    <t>2023/03/02 CLosed as agreed SSp
02/03/23 - Awaiting confirmation of DfT funding and statutory undertakings.
20/01/23 - Discussions ongoing regarding delayed DfT funding and the implications to the project.
08/12/22 - Awaiting further details on final contract being issued.
24/11/22 - Enabling works for discharging planning conditions contract signed by all parties
09/09/2022 Standstill completed without challenge. Awaiting confirmation to issue award notification to Contracts Finder
2022/08/11 Notice to preferred bidder status issued, standstill to 22/08
2022/08/01 Moderation review underway
26/07/22 - Executive have agreed to additional funding. Gateway 3 to be presented to PAB 28/07/22
07/07/22 - Re-price exercise completed and evaluated
16/06/22 - Re-price submission deadline extended to 27/06
26/05/22 - Re-pricing documents sent to all three bidders on 16/05. Return deadline is 20/06
2022/03/24 Tfr to SSp from PMu, intro meeting 04/04
OH HOLD TILL APRIL 2022
07/01/2022 Wording sent out to suppliers informing then of the plan to reprice in April to June with a start in October 2022.
04/01/2022 All responses received from bidders. As they wont hold prices going to plan B which is pausing the procurement and asking them to re-price in April/May. Aiming to have wording drafted this week.
13/12/2021 Sent message out informing suppliers of the move to new YORtender.
07/12/2021 Client reviewed and approved the amended wording. Notification sent out to the bidders.
06/12/2021 Legal provided further amendments
03/12/2021 Client slightly revised wording for review by legal and procurement
29/11/2021 Chased client on outcome of review.
19/11/2021 Wording drafted by procurement and legal sent to client for review. Awaiting feedback.
03/11/2021 Agreed at project board to ask bidders to hold prices, legal and procurement to draft wording and send this out via YORtender.
2021/10/26 Query remains, risk note being drafted due to issues with Common land. Meeting with legal on Monday 1 Nov to finalise and take Project Board for a decision.
13/10/2021 Gate 3 approved by PAB, now with Martin for arranging Director approval.
12/10/2021 Gate 3 submitted for PAB approval on Wednesday.
30/09/2021 Discussed collation of all the information with wsp and they will send it all over to procurement for review.
29/09/2021 Consensus sessions completed for all areas.
20/10/22 - Contract award notice (with caveat) has been published on Contracts Finder. Awaiting notification that contract has been issued.
15/09/2021 Responses verified and information shared with evaluation panel. Consensus sessions booked in for the 23/09 for the written assessment and presentations will be held 27 and 28 September with the consensus sessions on the 29 September.
24/06/2021 Gate 2 signed off, returns 15 September 2021.
04/06/2021 Gate 1 approved.
07/05/2021 Gate 1 approved at PAB, Sent onto Directors for approval</t>
  </si>
  <si>
    <t>DN187993</t>
  </si>
  <si>
    <t>Supported Housing &amp; Improvements</t>
  </si>
  <si>
    <t>Housing</t>
  </si>
  <si>
    <t>Revenues &amp; Benefits</t>
  </si>
  <si>
    <t>Capital Improvements</t>
  </si>
  <si>
    <t>Kier Property Services</t>
  </si>
  <si>
    <r>
      <rPr>
        <sz val="10"/>
        <color rgb="FF000000"/>
        <rFont val="Calibri"/>
        <family val="2"/>
      </rPr>
      <t>60+12+12+12+</t>
    </r>
    <r>
      <rPr>
        <sz val="10"/>
        <color rgb="FFFF0000"/>
        <rFont val="Calibri"/>
        <family val="2"/>
      </rPr>
      <t>12</t>
    </r>
  </si>
  <si>
    <t>John Turnbull</t>
  </si>
  <si>
    <t>variation of contract to add 2 x 12 months due to LGR</t>
  </si>
  <si>
    <t>LE</t>
  </si>
  <si>
    <t>Policy, Performance, Refugee / Asylum Issues and Community Safety</t>
  </si>
  <si>
    <t>DOMESTIC ABUSE - Domestic abuse - therapeutic services (children)</t>
  </si>
  <si>
    <t>Contract signed</t>
  </si>
  <si>
    <t>41757 / 43999</t>
  </si>
  <si>
    <t>Supply of Grounds Maintenance Equipment</t>
  </si>
  <si>
    <t>Gibson Garden Machinery / Russell Group Groundcare</t>
  </si>
  <si>
    <t>Steve Gibb</t>
  </si>
  <si>
    <t>2023/01/23 - Orders now placed with the successful contractors.  BHu</t>
  </si>
  <si>
    <t xml:space="preserve">A30011 Area 3 &amp; Area 4 Joint R&amp;R Package 22/23             </t>
  </si>
  <si>
    <t>2022/12/09 - pdf contract sent to the printroom</t>
  </si>
  <si>
    <t>DN195616</t>
  </si>
  <si>
    <t>Waste Route Optimisation Solution</t>
  </si>
  <si>
    <r>
      <rPr>
        <sz val="10"/>
        <color rgb="FF000000"/>
        <rFont val="Calibri"/>
        <family val="2"/>
      </rPr>
      <t>60 +10+</t>
    </r>
    <r>
      <rPr>
        <sz val="10"/>
        <color rgb="FFFF0000"/>
        <rFont val="Calibri"/>
        <family val="2"/>
      </rPr>
      <t>18</t>
    </r>
  </si>
  <si>
    <t>Amanda Dyson</t>
  </si>
  <si>
    <t>Exception report to extend the current contract until 31 March 2024.</t>
  </si>
  <si>
    <t>DN398187</t>
  </si>
  <si>
    <t>Landlord Services</t>
  </si>
  <si>
    <t>Heating Servicing &amp; Repairs to Domestic Properties</t>
  </si>
  <si>
    <t xml:space="preserve">Sure Maintenance </t>
  </si>
  <si>
    <t xml:space="preserve">Colin Eales </t>
  </si>
  <si>
    <r>
      <rPr>
        <sz val="10"/>
        <color rgb="FFFF0000"/>
        <rFont val="Calibri"/>
        <family val="2"/>
      </rPr>
      <t>36</t>
    </r>
    <r>
      <rPr>
        <sz val="10"/>
        <color rgb="FF000000"/>
        <rFont val="Calibri"/>
        <family val="2"/>
      </rPr>
      <t xml:space="preserve"> + 12</t>
    </r>
  </si>
  <si>
    <r>
      <rPr>
        <sz val="10"/>
        <color rgb="FFFF0000"/>
        <rFont val="Calibri"/>
        <family val="2"/>
      </rPr>
      <t xml:space="preserve">File path: N:\fcs-data\Procurement\PROFESSIONAL\Corporate Contracts\1. AWARDED - LIVE\PPE &amp; Workwear 2021-25 DN548074
</t>
    </r>
    <r>
      <rPr>
        <sz val="10"/>
        <color rgb="FF000000"/>
        <rFont val="Calibri"/>
        <family val="2"/>
      </rPr>
      <t>Key Decision taken 28/02/23 - call off period closed.</t>
    </r>
  </si>
  <si>
    <t>Groupcall Limited</t>
  </si>
  <si>
    <t>N:\fcs-data\Procurement\PROFESSIONAL\T and C\Education\1. Awarded\School Data Collection and Reporting System DN405478
08/03 - contract signed - contract register and contracts finder complete.
24/11 - now that GCloud13 has gone live need to work on the desktop evaluation 
1/11/22 - GCloud route to market</t>
  </si>
  <si>
    <t>Code Enigma Limited</t>
  </si>
  <si>
    <t>decision Record</t>
  </si>
  <si>
    <t>14/03 - Contract signed, contract finder and register completed decision record 
13/09/2022  Requires handover. N:\FCS-DATA\Procurement\PROFESSIONAL\T and C\Infrastructure\Website Hosting\Tender Documents
Spec complete, ready to go to Market through G-Cloud Framework</t>
  </si>
  <si>
    <t>Avco Systems</t>
  </si>
  <si>
    <t xml:space="preserve">N:\fcs-data\Procurement\PROFESSIONAL\T and C\0. Archived\Secure File Transfer for Early Year Provider Data DN483340
14/03 - agreement filed, contract register completed 
26/01 - DR approved
</t>
  </si>
  <si>
    <t>Collections Management System (Calm)</t>
  </si>
  <si>
    <t>Axiell</t>
  </si>
  <si>
    <t>03/03 - MB has filled in best value form, I have forwarded to procurment inbox
22/02 - emailed MB for further info and to set up a teams call</t>
  </si>
  <si>
    <t xml:space="preserve">Technology </t>
  </si>
  <si>
    <t>Telephony - Single Phone Number IVR Phase 2 - Variation to Opus Telephony Contract</t>
  </si>
  <si>
    <t>13+12+12</t>
  </si>
  <si>
    <t>Katya Coldwell</t>
  </si>
  <si>
    <t>Records updated &amp; closed</t>
  </si>
  <si>
    <t>Workforce Management System (Currently Injixo) (PMO Ref:3221)</t>
  </si>
  <si>
    <t>Injixo</t>
  </si>
  <si>
    <t>37</t>
  </si>
  <si>
    <t>Christopher Taylor / Jen Coates / Silas Holland</t>
  </si>
  <si>
    <t>DN344997</t>
  </si>
  <si>
    <t>Local Bus Services (Hambleton, Harrogate and Richmondshire Areas) and Mainstream Home to School Transport (Harrogate and Richmondshire Areas)</t>
  </si>
  <si>
    <r>
      <rPr>
        <sz val="10"/>
        <color rgb="FF000000"/>
        <rFont val="Calibri"/>
        <family val="2"/>
      </rPr>
      <t>48+</t>
    </r>
    <r>
      <rPr>
        <sz val="10"/>
        <color rgb="FFFF0000"/>
        <rFont val="Calibri"/>
        <family val="2"/>
      </rPr>
      <t>12</t>
    </r>
  </si>
  <si>
    <t>File path: N:\fcs-data\Procurement\PROFESSIONAL\IPT\1. Awarded\2019-23 H'ton, H'gate, R'mond DN344997
Fully approved.  Service area to draft contract docs.</t>
  </si>
  <si>
    <t>DN358705</t>
  </si>
  <si>
    <t>Single View of a Child MDM Contract Variation</t>
  </si>
  <si>
    <t>Sentinel</t>
  </si>
  <si>
    <t>Lorena Phillips / Jon Learoyd</t>
  </si>
  <si>
    <r>
      <rPr>
        <sz val="10"/>
        <color rgb="FF000000"/>
        <rFont val="Calibri"/>
        <family val="2"/>
      </rPr>
      <t xml:space="preserve">File path: N:\fcs-data\Procurement\PROFESSIONAL\T and C\Education\1. Awarded\Single View of a Child - DN358705
Initial conversation has taken place with Jon.  Service area would like to vary the contract to include an additional model.  Further information to be supplied.
26/10/2022 update - Value of the additional module is £78,450. Clarity sought on relevance of Reg 72(b) (i) and value to 22 March 2024 (end date of contract)
5/10/2022 Updated quotation received confirming value and period of tie in for the module. Gateway document with Jon for review. Still waiting for confirmation from the service to buy the module.
12/10/2022 Reminder to JL to update on service confirmation to go ahead.  Gateway draft with JL for completion. Variation templete drafted
27/10/2022 Waiting reponse from JL.  Meeting arranged by Lorenna,  the contract manager w/c 31/10/2022 to discuss
02/11/2022 GW4 drafted by client. Aiming to go to PAB 10/11/2022 dependent on response for GW4 update, and response from supplier and legal.
2/11/22 GW4 and budget confirmation still with the client.  To be scheduled for PAB on 24/11/22, or sooner by email if urgency noted by client
7/11/22 GW4 complete apart from VAT level, and legal confirmation/advice, cost agreement by CYPS leadership team.  placeholder added to PAB 10/11
10/11/2022 approved in principle at PAB.  
21/11/2022 J Finn confirmed he is reviewing draft agreement, service area are yet to confirm funding
28/11/2022 meeting with Graham McClusker on company financial health.  LP updated
01/12/2022 Variation agreement received from legal and ready to go. Print req form drafted.  further email to LP
7/12/2022 LP emailed Vicki to confirm all is ready to go apart from the funding is not yet agreed.  Email sent on to SS and BN for information. LP reminded I am on leave from 14.12.22.  Funding confirmed
7/12/2022 email to LP noting that the extenstion end date is incorrect and offer to contact supplier to amend to the later date
15/12/22 Supplier confirmed happy with later end date of 31/3/24.  Variation amended to include reference to later end date. All forms ready to go (print requisition, letter to supplier, variation deed).  SS noted that Vicky is not happy with the variation.  - To check with Vicky when she is back from leave in Jan 2023, </t>
    </r>
    <r>
      <rPr>
        <b/>
        <sz val="10"/>
        <color rgb="FF000000"/>
        <rFont val="Calibri"/>
        <family val="2"/>
      </rPr>
      <t xml:space="preserve">to check start date for variation of 1.1.23 is correct, to check end date of 31.3.24 is correct
</t>
    </r>
    <r>
      <rPr>
        <sz val="10"/>
        <color rgb="FF000000"/>
        <rFont val="Calibri"/>
        <family val="2"/>
      </rPr>
      <t>12/1/23 VD has agreed variation - GW4 updated.  RL signature o/s - email to SS
16/1/23 RL signs form. Copy saved in folder. Lorena updated and documents sent to print - documents then cancelled as questions raised by Vikki Dixon. A decision report to draft, JF to be updated.
31/1/23 LP confirms on 31/1/23 that the contract will now start on 1/2/23 and that the quote remains the same as for the 1/1/23 start date.  Variation Ts and Cs amended to show the 1/2/23 start date and sent to print to send out. Yortender updated. NS file copy of deed from legal+AE873
 9/3/23 variation signed sent to LW and JF, legal. NS let SS know this is complete and amend the comments box</t>
    </r>
  </si>
  <si>
    <t>DN443108</t>
  </si>
  <si>
    <t>Void Property Repairs</t>
  </si>
  <si>
    <t xml:space="preserve">Kier Services Ltd </t>
  </si>
  <si>
    <r>
      <t>24+12+</t>
    </r>
    <r>
      <rPr>
        <sz val="10"/>
        <color rgb="FFFF0000"/>
        <rFont val="Calibri"/>
        <family val="2"/>
      </rPr>
      <t>12</t>
    </r>
  </si>
  <si>
    <t>Extension taken</t>
  </si>
  <si>
    <t>Outbreak Management System Support and Maintenance</t>
  </si>
  <si>
    <t>ANS Group</t>
  </si>
  <si>
    <t xml:space="preserve">Call-off complete. </t>
  </si>
  <si>
    <t>Strategy and Performance</t>
  </si>
  <si>
    <t>CFO Insights - Data Analysis Tool</t>
  </si>
  <si>
    <t>Grant Thornton</t>
  </si>
  <si>
    <t>Tony Law</t>
  </si>
  <si>
    <t>Contract signed and complete</t>
  </si>
  <si>
    <t>Case Management System 
(currently Careworks, provided by OneAdvanced through Softcat) (2020 Ref:1940)</t>
  </si>
  <si>
    <t>Advanced Business Software and Solutions Ltd</t>
  </si>
  <si>
    <t xml:space="preserve">BVF Complete. OneAdvanced updated us to say they will be discontinuing the product after 12 months. </t>
  </si>
  <si>
    <t>Finance (inc. Pension Fund)</t>
  </si>
  <si>
    <t>Pension Investment Independent Advisor</t>
  </si>
  <si>
    <t>Leslie Robb</t>
  </si>
  <si>
    <t>24+ up to 24</t>
  </si>
  <si>
    <t xml:space="preserve"> Tom Morrison/ Qingzi Bu</t>
  </si>
  <si>
    <t>Rachel Richardson</t>
  </si>
  <si>
    <t xml:space="preserve">Notificiation to extend for  2 years completed. N:\fcs-data\Procurement\PROFESSIONAL\Pensions\Awarded\2021 - 2025 Pensions Independent Investment Advisor.  </t>
  </si>
  <si>
    <t>DN314981</t>
  </si>
  <si>
    <t>Consumables (Transport)</t>
  </si>
  <si>
    <t>Bedale Motor Factors</t>
  </si>
  <si>
    <r>
      <t>36+</t>
    </r>
    <r>
      <rPr>
        <sz val="10"/>
        <color rgb="FFFF0000"/>
        <rFont val="Calibri"/>
        <family val="2"/>
      </rPr>
      <t>12</t>
    </r>
    <r>
      <rPr>
        <sz val="10"/>
        <color rgb="FF000000"/>
        <rFont val="Calibri"/>
        <family val="2"/>
      </rPr>
      <t>+12</t>
    </r>
  </si>
  <si>
    <t>Extension letter signed.</t>
  </si>
  <si>
    <t>Adult Social Care</t>
  </si>
  <si>
    <t>Domiciliary Care Framework (Harrogate and Selby)</t>
  </si>
  <si>
    <t>Continued Care, Springfield Home Care</t>
  </si>
  <si>
    <t>36+24+24</t>
  </si>
  <si>
    <t>Helen Thirkell</t>
  </si>
  <si>
    <t>Jonathan Finn corresponding directly with Service development to complete the process. No further action required. Case to close</t>
  </si>
  <si>
    <t xml:space="preserve">Administering the North Yorkshire Local Assistance Fund </t>
  </si>
  <si>
    <t>Family Fund Business Service</t>
  </si>
  <si>
    <r>
      <rPr>
        <sz val="10"/>
        <color rgb="FF000000"/>
        <rFont val="Calibri"/>
        <family val="2"/>
      </rPr>
      <t>36+12+</t>
    </r>
    <r>
      <rPr>
        <sz val="10"/>
        <color rgb="FFFF0000"/>
        <rFont val="Calibri"/>
        <family val="2"/>
      </rPr>
      <t>12</t>
    </r>
  </si>
  <si>
    <t>Amber Graver</t>
  </si>
  <si>
    <t xml:space="preserve">Safeguarding Adults Review </t>
  </si>
  <si>
    <t>Joseph Smith</t>
  </si>
  <si>
    <t xml:space="preserve">service area dsiregarded procurement advise had undertaken a direct award/3 quote process themselves - KL aware advised to fill in Best value form as record - info sent to legal who will pull together arrangement contract - minimal support needed in future KL aware for any future requirements </t>
  </si>
  <si>
    <t>Carers Breaks Sitting Services</t>
  </si>
  <si>
    <t>The Carers Resource: Lots 1 and 4
Stokesley and District Community Care Association: Lot 2
Ryedale Carers Support: Lot 3</t>
  </si>
  <si>
    <t>Adam Grey</t>
  </si>
  <si>
    <t>Subscription to CollectionHQ</t>
  </si>
  <si>
    <t>Bridgeall Libraries</t>
  </si>
  <si>
    <t xml:space="preserve">Service area had already renewed the subscription in 2022 for three further years. </t>
  </si>
  <si>
    <t>Environmental Services</t>
  </si>
  <si>
    <t>EV Charging Points</t>
  </si>
  <si>
    <t xml:space="preserve">Chargemaster </t>
  </si>
  <si>
    <t>Procurement Completed prior to NK, had no dealings with this</t>
  </si>
  <si>
    <t>MapInfo Pro Maintenance and Technical Support</t>
  </si>
  <si>
    <t>CDR Group</t>
  </si>
  <si>
    <t>72</t>
  </si>
  <si>
    <r>
      <rPr>
        <sz val="10"/>
        <color rgb="FF000000"/>
        <rFont val="Calibri"/>
        <family val="2"/>
      </rPr>
      <t>48+</t>
    </r>
    <r>
      <rPr>
        <sz val="10"/>
        <color rgb="FFFF0000"/>
        <rFont val="Calibri"/>
        <family val="2"/>
      </rPr>
      <t>12</t>
    </r>
    <r>
      <rPr>
        <sz val="10"/>
        <color rgb="FF000000"/>
        <rFont val="Calibri"/>
        <family val="2"/>
      </rPr>
      <t>+12</t>
    </r>
  </si>
  <si>
    <t>Lyn Alderson</t>
  </si>
  <si>
    <t>Contract termination</t>
  </si>
  <si>
    <t>Orginal KD taken for procurement - 04/12/2018</t>
  </si>
  <si>
    <t>FY2324Q1</t>
  </si>
  <si>
    <t xml:space="preserve">Recieved signed termination from Continued Care on 08/03/2023. Springfield Care signed document recieved 03/04/2023. No further action required. </t>
  </si>
  <si>
    <t>KeyRing</t>
  </si>
  <si>
    <t>Contracts signed. Decision Record competed. YOR Tender updated</t>
  </si>
  <si>
    <t>Public Transport</t>
  </si>
  <si>
    <t>Contracts will generally run between April 2023 and April 2025, with an option to extend for two further periods of 12 months, unless stated otherwise within Volume 3: Service Specifications.  Therefore, the total possible Contract duration is four years (2+1+1).</t>
  </si>
  <si>
    <t>Above Threshold Tender</t>
  </si>
  <si>
    <t>PROJECT COMPLETE: 30/03/2023: FTS Award notice in progress. Gateway 3 signed off. Contracts awarded, and re-awarded to next in line bidders where applicable. Final publcation of award info 06/03/23. Line 80 &amp; Line 81 Tender requirements were combined into one tender 56062. Scarborough, Selby &amp; Misc Local Bus Services and Hambleton, Scarborough, Selby Mainstream, &amp; Misc</t>
  </si>
  <si>
    <t>Previous Method Used (for externals)</t>
  </si>
  <si>
    <t>DN537928</t>
  </si>
  <si>
    <t>Idox Uniform / TLC software</t>
  </si>
  <si>
    <t xml:space="preserve">Idox  </t>
  </si>
  <si>
    <t xml:space="preserve"> N/A </t>
  </si>
  <si>
    <t>Annual renewal taken as compliant  frameowrk route not suitable due to sign off required and 3 year contract length. One year exemption approved</t>
  </si>
  <si>
    <t>Provision of software license, support and maintenance for Idox Uniform system</t>
  </si>
  <si>
    <t>Tim Informed a series of Idox upgrades scheduled into July/August 2022, no changes planned or possible on that basis, aside from the fact that Idox is massively embedded and common to all districts, is being looked at collectively as part of LGR. Found compliant CCS framework but min 3 year term. Exception to be reviewed prior to renewal. Renewal received 23/02/23. Estimated cost for 22/23 £54k need to confirm with Tim</t>
  </si>
  <si>
    <t>DN562139</t>
  </si>
  <si>
    <t>EDM Software (Workflow)</t>
  </si>
  <si>
    <t>Civica Workflow 360</t>
  </si>
  <si>
    <t>Tim Sedman/Theresa  Dykstra</t>
  </si>
  <si>
    <t>Exemption approved untill 31.08.22, due integration into other systems. Rolling contracts cant see value</t>
  </si>
  <si>
    <t xml:space="preserve">Network maintenance &amp; security </t>
  </si>
  <si>
    <t>RazorBlue</t>
  </si>
  <si>
    <t>Tim informed this is to continue on rolling annual until LGR, upgrades being discussed with Razorblue currently, to be scheduled Oct/Nov 22</t>
  </si>
  <si>
    <t>Chief Executive</t>
  </si>
  <si>
    <t>IVR Canvass Telephone/SMS/Web Response Service</t>
  </si>
  <si>
    <t>Idox Elections (Halarose)</t>
  </si>
  <si>
    <t>1 Year rolling</t>
  </si>
  <si>
    <t xml:space="preserve">Elizabeth Heath </t>
  </si>
  <si>
    <t>Jo Dogson sent 2022/23 renewal, end date now 23/5/23Possible no DPA in place.</t>
  </si>
  <si>
    <t>Perimeter Anti-virus</t>
  </si>
  <si>
    <t>Tim informed this has been renewed with Mimecast for a further year.  Still the cheapest / most suitable and in use by the majority of other NY councils but probably the last time we’ll renew on this basis.</t>
  </si>
  <si>
    <t>DN542727</t>
  </si>
  <si>
    <t>Legal Case Management System</t>
  </si>
  <si>
    <t>Iken</t>
  </si>
  <si>
    <t>Theresa Dykstra</t>
  </si>
  <si>
    <t>Exemption in place  for max 5 years. Annual rolling to be reviewed prior to renewal</t>
  </si>
  <si>
    <t>UPS Maintenance</t>
  </si>
  <si>
    <t>Powerworks Maintenance Services Ltd</t>
  </si>
  <si>
    <t>Tim informed no changes planned until UPS is replaced as hardware support is via manufacturer, due 2024/25 (though LGR is likely to dictate)</t>
  </si>
  <si>
    <t>Asbestos Analysis</t>
  </si>
  <si>
    <t>30+18</t>
  </si>
  <si>
    <t>Asbestos Removal</t>
  </si>
  <si>
    <t>Servicing of Mechanical Equipment &amp; Plant</t>
  </si>
  <si>
    <t>Wireless Network Maintenance</t>
  </si>
  <si>
    <t>Razorblue</t>
  </si>
  <si>
    <t>Tim to continue on rolling annual basis until LGR and links to CTBT05</t>
  </si>
  <si>
    <t>Terminal Services Support contract</t>
  </si>
  <si>
    <t>Elitetele.com PLC (NetCentrix)</t>
  </si>
  <si>
    <t>Tim informed this requirement is likely to wind down very quickly once we reach 01/04/23, I don’t envisage changes before then.</t>
  </si>
  <si>
    <t>Centralised printing</t>
  </si>
  <si>
    <t>Xerox</t>
  </si>
  <si>
    <t>Tim informed there are no plans for change with LGR and ‘New ways of working’ approach (fewer people in the building and usage dropped as a result) in mind.  Printers are overdue for renewal but difficult to scope requirements with so many unknowns in mind currently.  Has been raised during LGR workshops as is relevant to other Councils in a similar position. Annual rolling contract currently.</t>
  </si>
  <si>
    <t>Servicing of Electrcical Equipment &amp; Plant</t>
  </si>
  <si>
    <t>Responsive Maintenance</t>
  </si>
  <si>
    <t>Servicing and maintenance of Play Equipment</t>
  </si>
  <si>
    <t>12+12+12</t>
  </si>
  <si>
    <t>OJEU - Open</t>
  </si>
  <si>
    <t>Ian Morris</t>
  </si>
  <si>
    <t>Financial Information System incl Purchase Ordering</t>
  </si>
  <si>
    <t>Annual Rolling</t>
  </si>
  <si>
    <t>Anton Hodge/Tim Sedman</t>
  </si>
  <si>
    <t>Rolling contract buy this might link into an NYCC contract</t>
  </si>
  <si>
    <t>Water Hygiene Services</t>
  </si>
  <si>
    <t>Servicing of Fire Equipment</t>
  </si>
  <si>
    <t>Emergency salt provision (if req'd)</t>
  </si>
  <si>
    <t>Mike Roberts</t>
  </si>
  <si>
    <t>DN196608</t>
  </si>
  <si>
    <t>Civil Engineering Contractors Framework 2016 CECF2016</t>
  </si>
  <si>
    <t>-</t>
  </si>
  <si>
    <t>DN197033</t>
  </si>
  <si>
    <t>Painting Contractors Framework Contract 2016 PCF2016</t>
  </si>
  <si>
    <t>Carriageway Planing and Surfacing Contractors Framework 2016 CPSCF2016</t>
  </si>
  <si>
    <t>DN193000</t>
  </si>
  <si>
    <t>Lloyds</t>
  </si>
  <si>
    <t>Yortender</t>
  </si>
  <si>
    <t>Confirmed with Lloyds that we are taking the 1 year extension</t>
  </si>
  <si>
    <t>PRoW Seasonal Vegetation Cutting Programme</t>
  </si>
  <si>
    <t>35+12</t>
  </si>
  <si>
    <t xml:space="preserve">BMu </t>
  </si>
  <si>
    <t>PRoW Yorkshire Wolds Way Seasonal Vegetation Cutting Programme</t>
  </si>
  <si>
    <t>34+12</t>
  </si>
  <si>
    <t>initial term</t>
  </si>
  <si>
    <t>Economic impact assessment of future highways/transport development</t>
  </si>
  <si>
    <t>£80 - £100k</t>
  </si>
  <si>
    <t>undecided</t>
  </si>
  <si>
    <t>no</t>
  </si>
  <si>
    <t>Andrew Bainbridge / Mark Kibblewhite</t>
  </si>
  <si>
    <t>To provide an assessment of the impact that implementation of the Transport Prospectus would have on the economy of North Yorkshire and its wider hinterlads</t>
  </si>
  <si>
    <t>Capital Project Appraisal</t>
  </si>
  <si>
    <t>3 weeks</t>
  </si>
  <si>
    <t>Framework Call Off</t>
  </si>
  <si>
    <t>Adrian Green</t>
  </si>
  <si>
    <t>The Capital Project Appraisal procurement is still open with a probable August/September start date now. We will know more once we know what is happening in Government and whether the latest Growth Fund round proceeds.</t>
  </si>
  <si>
    <t>PAT &amp; Fit</t>
  </si>
  <si>
    <t>Crimson case management software</t>
  </si>
  <si>
    <t>12+12+12+12</t>
  </si>
  <si>
    <t>NYCC/BES - Trading Standards and Planning Services</t>
  </si>
  <si>
    <t>David Miller</t>
  </si>
  <si>
    <t>postponed pending funding approval.</t>
  </si>
  <si>
    <t>Programme officer role for core strategies (Examination in Public)</t>
  </si>
  <si>
    <t>Rob Smith</t>
  </si>
  <si>
    <t>Currently in procurement, Best Value form submitted?</t>
  </si>
  <si>
    <t>£5,000 est</t>
  </si>
  <si>
    <t>Desktop anti-virus</t>
  </si>
  <si>
    <t>Software Dialog Direct Ltd</t>
  </si>
  <si>
    <t>27.01.2023 Tim informed licence renewed. Extend licence for 12 months. Tim Sedman informed this is reviewed annually, AVG continues to be easily cheapest whilst meeting operational requirements</t>
  </si>
  <si>
    <t>eConsults Phase 2 Annual Maintenance - DEF Software limited</t>
  </si>
  <si>
    <t>Michelle Bellwood</t>
  </si>
  <si>
    <r>
      <rPr>
        <b/>
        <sz val="11"/>
        <rFont val="Calibri"/>
        <family val="2"/>
        <scheme val="minor"/>
      </rPr>
      <t>Query with Michelle Bellwood</t>
    </r>
    <r>
      <rPr>
        <sz val="11"/>
        <rFont val="Calibri"/>
        <family val="2"/>
        <scheme val="minor"/>
      </rPr>
      <t>. Yet to be on boarded, invoice come to T&amp;C as a legacy of centralisation (for 607.75) - Joanne Brownless, Planning Technician contacted. Information received 11/01/17 - The whole system is called Master Gov. E consults is a small module of the overall system. The main system costs in the region of £16,000 pa. This is planings end to end planning application system. Planning are currently paying invoices 3 or 4 times a year and are paying for 1 year at a time. We contract for two further modules, Officer alert at £984pa and a highways module, looked after by Michelle Johnson, in highways costing £4045.90 pa. Joanne Brownless to send contract to MH.</t>
    </r>
  </si>
  <si>
    <t>IT Health Checks</t>
  </si>
  <si>
    <t>12 month rolling</t>
  </si>
  <si>
    <t>Jon has run a a bid exercise went to 5 companies got 2 responses back the costs have significantly risen but we were aware this was likely to happen as the scope of work they need to do has increased from a PSN perspective. £8,500 but this covers 9 days compared to the previous 6 required to carry out the work.</t>
  </si>
  <si>
    <t>Cleaning &amp; Janitorial</t>
  </si>
  <si>
    <t>Cleaning and Janitorial</t>
  </si>
  <si>
    <t>Shaun Mancrief</t>
  </si>
  <si>
    <t>Chris Dale</t>
  </si>
  <si>
    <t>Benchmarking completed, actions with CD.</t>
  </si>
  <si>
    <t>WebEros Annual Support and Maintenance</t>
  </si>
  <si>
    <t>Jo Dodgson</t>
  </si>
  <si>
    <t>Jo Dodgson sent information of WebEros bolt on that reception can use to view the register of electors only</t>
  </si>
  <si>
    <t>Ad Hoc Transport Services</t>
  </si>
  <si>
    <t>Consideration for DPS - SS to look at defining the process visually for IPT</t>
  </si>
  <si>
    <t xml:space="preserve">AVCO - AnyComms </t>
  </si>
  <si>
    <t xml:space="preserve">Stronger Communities - Community Based Universal and Targeted Physical Activity Services </t>
  </si>
  <si>
    <t xml:space="preserve">Tender return 10/08/2017. 3 submissions received. </t>
  </si>
  <si>
    <t>Collections management system (Calm)</t>
  </si>
  <si>
    <t>£2497.00 PA</t>
  </si>
  <si>
    <t>Rolling 12 months</t>
  </si>
  <si>
    <r>
      <rPr>
        <b/>
        <sz val="11"/>
        <rFont val="Calibri"/>
        <family val="2"/>
        <scheme val="minor"/>
      </rPr>
      <t xml:space="preserve">Chased Margaret Boustead for information 19/07/2017. </t>
    </r>
    <r>
      <rPr>
        <sz val="11"/>
        <rFont val="Calibri"/>
        <family val="2"/>
        <scheme val="minor"/>
      </rPr>
      <t>16/01/2017: Margaret Boustead - No contract in place. The System was purchased in 01/04/2004 and we have been paying an annumal fee for support, maintenance and updated on a rolling basis. Annual fee for April 2017 = £2479.19 excl VAT</t>
    </r>
  </si>
  <si>
    <t>Riello UPS Ltd</t>
  </si>
  <si>
    <t>Self service</t>
  </si>
  <si>
    <t>Purchase of HWRC fixed assets</t>
  </si>
  <si>
    <t>Best Value Form</t>
  </si>
  <si>
    <t>Tony Norris</t>
  </si>
  <si>
    <t>Mobile Telephony</t>
  </si>
  <si>
    <t xml:space="preserve">Tim informed most if not all NY councils on Daisy and will be picked up via LGR, no plans to review with that in mind. </t>
  </si>
  <si>
    <t>Contract</t>
  </si>
  <si>
    <t>Business Capital Grant Programme</t>
  </si>
  <si>
    <t>Invitation to Bid</t>
  </si>
  <si>
    <t>Tim Frenneaux</t>
  </si>
  <si>
    <t>Complete award to BE Group.</t>
  </si>
  <si>
    <t>DN297305</t>
  </si>
  <si>
    <t>Diving Inspections of NYCC Bridges
Across the county</t>
  </si>
  <si>
    <t>Bid - Open</t>
  </si>
  <si>
    <t>Bridges - John Smith</t>
  </si>
  <si>
    <t xml:space="preserve">Corporate Grants Solution </t>
  </si>
  <si>
    <t>Further Comp</t>
  </si>
  <si>
    <r>
      <rPr>
        <b/>
        <sz val="11"/>
        <rFont val="Calibri"/>
        <family val="2"/>
        <scheme val="minor"/>
      </rPr>
      <t xml:space="preserve">Emailed Kathleen Atkinson for an update. </t>
    </r>
    <r>
      <rPr>
        <sz val="11"/>
        <rFont val="Calibri"/>
        <family val="2"/>
        <scheme val="minor"/>
      </rPr>
      <t>Kathleen Atkinson is the project manager - 30/11/16 -</t>
    </r>
  </si>
  <si>
    <r>
      <t>5+2+</t>
    </r>
    <r>
      <rPr>
        <sz val="11"/>
        <color rgb="FFFF0000"/>
        <rFont val="Calibri"/>
        <family val="2"/>
        <scheme val="minor"/>
      </rPr>
      <t>1</t>
    </r>
  </si>
  <si>
    <t>Lynda Player</t>
  </si>
  <si>
    <t>Jayne Kempen</t>
  </si>
  <si>
    <t xml:space="preserve"> Gateway 4 passed contract signed by all parties, completed. </t>
  </si>
  <si>
    <t>email Nick about this project.</t>
  </si>
  <si>
    <t>Containers for Leeming Bar Depot</t>
  </si>
  <si>
    <t>Paul Gilmore</t>
  </si>
  <si>
    <t>Quest Archive Manager</t>
  </si>
  <si>
    <t>12 months rolling</t>
  </si>
  <si>
    <t>Gavin Booth</t>
  </si>
  <si>
    <t>Self Service</t>
  </si>
  <si>
    <t>Strategic decision on the purpose and longevity of Quest. Gavin completed BVF</t>
  </si>
  <si>
    <t>extension</t>
  </si>
  <si>
    <t>Counsel (Barristers) to act for NYCC in respect of a range of legal matters</t>
  </si>
  <si>
    <t>APL</t>
  </si>
  <si>
    <t>Cathryn Moore</t>
  </si>
  <si>
    <t>Contract terminates 31/5/2017.  The contract commenced 1/6/2013 for 2+2 year period (i.e. 31/5/2017).  No provision to extend further. YPO to procure a legal services framework.  Service covered by Reg 10, pragmatic way forward is to vary the existing contract to 31/5/2018. We will need to take a decision by no later than end of October 2017 on whether we will use the YPO framework or undertake our own procurement exercise (inc. Districts &amp; CoY) in readiness for a 1st June 2018 start date. YPO (Mel) has confirmed she is linking in directly with Barrie and Natalie on the further market engagement which they will be undertaking. Total COntract Value included new extension £1.75M</t>
  </si>
  <si>
    <t>DN284153</t>
  </si>
  <si>
    <t xml:space="preserve">NPIF Royal Albert Drive  </t>
  </si>
  <si>
    <t>Call off - Carriageway Planing &amp; Surfacing Contractors Framework (CPSCF) 2016</t>
  </si>
  <si>
    <t>2 x Juniper SSG550M (Corporate firewalls) - currently provided by NTS</t>
  </si>
  <si>
    <t xml:space="preserve">Gavin Booth </t>
  </si>
  <si>
    <t>Included within the Security portfolio</t>
  </si>
  <si>
    <t>2 x Juniper SSG20 (N3 Firewalls) - currently provided by NTS</t>
  </si>
  <si>
    <t>DN275703</t>
  </si>
  <si>
    <t>Gilling Bridge (West) Maintenance</t>
  </si>
  <si>
    <t>Call off - Civil Engineering Contractors Framework (CECF) 2016</t>
  </si>
  <si>
    <t>TEN (Risk Management)</t>
  </si>
  <si>
    <r>
      <rPr>
        <sz val="11"/>
        <color rgb="FFFF0000"/>
        <rFont val="Calibri"/>
        <family val="2"/>
        <scheme val="minor"/>
      </rPr>
      <t>24</t>
    </r>
    <r>
      <rPr>
        <sz val="11"/>
        <rFont val="Calibri"/>
        <family val="2"/>
        <scheme val="minor"/>
      </rPr>
      <t>+24+24</t>
    </r>
  </si>
  <si>
    <t>BVF</t>
  </si>
  <si>
    <t xml:space="preserve">Awarded - 2 OTE available. </t>
  </si>
  <si>
    <t xml:space="preserve">Out Of Hours Service Centre Support Contract - Sopra Steria </t>
  </si>
  <si>
    <r>
      <t>24+</t>
    </r>
    <r>
      <rPr>
        <sz val="11"/>
        <color rgb="FFFF0000"/>
        <rFont val="Calibri"/>
        <family val="2"/>
        <scheme val="minor"/>
      </rPr>
      <t>12</t>
    </r>
    <r>
      <rPr>
        <sz val="11"/>
        <rFont val="Calibri"/>
        <family val="2"/>
        <scheme val="minor"/>
      </rPr>
      <t>+12+12</t>
    </r>
  </si>
  <si>
    <t>Mike Pickering</t>
  </si>
  <si>
    <t>Extension signed for a further year.</t>
  </si>
  <si>
    <t>Digital Signatures</t>
  </si>
  <si>
    <t>Silas Holland</t>
  </si>
  <si>
    <t xml:space="preserve">Webchat </t>
  </si>
  <si>
    <t>Conversation in May 2017 - in relation to this provision. Update email sent to CR 03/08/2017)</t>
  </si>
  <si>
    <t>Training</t>
  </si>
  <si>
    <t>Theory of Youth Work (DN281076)</t>
  </si>
  <si>
    <t>Open bid</t>
  </si>
  <si>
    <t>Gary Roberts</t>
  </si>
  <si>
    <t>Mark Tserkezie</t>
  </si>
  <si>
    <t>Meeting to be held with Gary Roberts, Matt Clothier and Mark Tserkezie on 09/06/17 to run through recent batch of training required. Bids returned on 27/06/17. Returned bids and scorecards emailed to Gary Roberts &amp; Tracy Harrison 29/06/17.  Slight delay as Gary on holiday and Tracy wants to wait until he returns</t>
  </si>
  <si>
    <t>Youth Work Skills V2 (inc groupwork) (DN281133)</t>
  </si>
  <si>
    <t>Equipment Adaptations and Telecare Competencies (DN281203)</t>
  </si>
  <si>
    <t>DN284058</t>
  </si>
  <si>
    <t>Tadcaster Bus Station - Resurfacing</t>
  </si>
  <si>
    <t>DN282919</t>
  </si>
  <si>
    <t>A59 Kex Gill Diversion - Ground Investigation</t>
  </si>
  <si>
    <t>Colin Quinn</t>
  </si>
  <si>
    <t>ITIL Foundation Certificate in IT Service Management Training (DN282138)</t>
  </si>
  <si>
    <t>Woodfield Bridleway Bridge Replacement</t>
  </si>
  <si>
    <t>Phil Richardson</t>
  </si>
  <si>
    <t>ICT/Highways</t>
  </si>
  <si>
    <r>
      <t xml:space="preserve">Equisys </t>
    </r>
    <r>
      <rPr>
        <b/>
        <sz val="11"/>
        <rFont val="Calibri"/>
        <family val="2"/>
        <scheme val="minor"/>
      </rPr>
      <t>Timemaster</t>
    </r>
    <r>
      <rPr>
        <sz val="11"/>
        <rFont val="Calibri"/>
        <family val="2"/>
        <scheme val="minor"/>
      </rPr>
      <t xml:space="preserve"> Ltd: Highways Time Recording system annual maintenance (see notes)</t>
    </r>
  </si>
  <si>
    <t>£3000/annum</t>
  </si>
  <si>
    <r>
      <rPr>
        <b/>
        <sz val="11"/>
        <rFont val="Calibri"/>
        <family val="2"/>
        <scheme val="minor"/>
      </rPr>
      <t>Chased with Michelle and Chris.</t>
    </r>
    <r>
      <rPr>
        <sz val="11"/>
        <rFont val="Calibri"/>
        <family val="2"/>
        <scheme val="minor"/>
      </rPr>
      <t xml:space="preserve">Nick Leggott (21/07/16) </t>
    </r>
    <r>
      <rPr>
        <b/>
        <sz val="11"/>
        <rFont val="Calibri"/>
        <family val="2"/>
        <scheme val="minor"/>
      </rPr>
      <t xml:space="preserve">Extended with BVF for further 12 months: </t>
    </r>
    <r>
      <rPr>
        <sz val="11"/>
        <rFont val="Calibri"/>
        <family val="2"/>
        <scheme val="minor"/>
      </rPr>
      <t xml:space="preserve">We have had this system for a number of years. It is used in BES for time recording purposes on Highways projects etc.
There was a plan to scrap this in favour of Project Vision which would have been technically free, however this option became cost prohibitive as when we re-aligned the contract (Matthew Hoyle) in March this year to ensure we were compliant. (i.e. Had a contract.) Cora removed the ‘enterprise’ licence capability and the cost of using PV for the Timemaster users was in excess of £7000, so more than double the cost. 
Mike Sinnott has been liaising with Allan McVeigh/Kirstine Rudd on this item as part of project 1014 – Solution for managing Highways Capital Programme, which incidentally is being cancelled as Cora haven’t delivered a solution that is fit for purpose. Kevin Brown has asked for a new project to be raised which I am raising and will involve Business Change &amp; Solutions to look at alternative solutions.
As part of the Project Management system re-procurement project that I believe Chris Bell is going to be managing, we need to include this as a requirement so that we can cease using the Timemaster system when this renewal ends 31/07/17.
</t>
    </r>
  </si>
  <si>
    <t>Recruitment Admin System - Currently WCN</t>
  </si>
  <si>
    <t>Existing Framework</t>
  </si>
  <si>
    <t>Mairi Reed/Alison Ryde</t>
  </si>
  <si>
    <t>Kevin Draisey</t>
  </si>
  <si>
    <t>This project has been created in order to replace the current Recruitment Admin System which is WCN. Project Managed by Mairi Reed.  Engaged with Service Area. KD attending supplier discovery days.</t>
  </si>
  <si>
    <t>Security portfolio partner - including Next Gen Firewall, McAfee Anti virus etc. Phase 1</t>
  </si>
  <si>
    <t>Firewall phase 1 complete - GW1&amp;3 signed off - Andy Jarvis preparing PO for Softcat.</t>
  </si>
  <si>
    <t xml:space="preserve">ICT </t>
  </si>
  <si>
    <t>AEM (centrastage remote support system)</t>
  </si>
  <si>
    <t>Keren Wild / Tony Lyons</t>
  </si>
  <si>
    <t>Best Value form completed.</t>
  </si>
  <si>
    <t xml:space="preserve">E Governance Software to enable the management of the generation and publication of agendas to be handled entirely electronically Weblabs - Democratic Services </t>
  </si>
  <si>
    <r>
      <t>40+</t>
    </r>
    <r>
      <rPr>
        <b/>
        <sz val="11"/>
        <color rgb="FFFF0000"/>
        <rFont val="Calibri"/>
        <family val="2"/>
        <scheme val="minor"/>
      </rPr>
      <t>24</t>
    </r>
    <r>
      <rPr>
        <sz val="11"/>
        <rFont val="Calibri"/>
        <family val="2"/>
        <scheme val="minor"/>
      </rPr>
      <t>+24</t>
    </r>
  </si>
  <si>
    <t>Josie O'Dowd / Karen Wilson</t>
  </si>
  <si>
    <t>Extension taken to Aug 2019. Paperwork complete</t>
  </si>
  <si>
    <t xml:space="preserve">Mail marshal / Trustwave - and email gateway </t>
  </si>
  <si>
    <t>Currently provide by NTS which is Capita which is a reseller -  There will not be time to complete the project therefore a short term extension has been requested. 'Trustwave secure email gateway' for licencing and support. A 1 year contract has been requested in order to allow a full security portfolio review. July 2016 update - MH.</t>
  </si>
  <si>
    <t xml:space="preserve">Websense / Rathium - corporate and libraries </t>
  </si>
  <si>
    <r>
      <t xml:space="preserve">Update received from GB 27/06/16 - there will not be time to complete the project therefore a short term extension has been requested. 06/07/17 12 month extension has been requested to allow the security strategy has been requested. Bytes - other solutions, websense must be competitive, Quoting against other products. 2 products at least per reseller. </t>
    </r>
    <r>
      <rPr>
        <sz val="11"/>
        <color rgb="FFFF0000"/>
        <rFont val="Calibri"/>
        <family val="2"/>
        <scheme val="minor"/>
      </rPr>
      <t>Do this ASAP.</t>
    </r>
  </si>
  <si>
    <t>DN280441</t>
  </si>
  <si>
    <t>Highways Grit Bins</t>
  </si>
  <si>
    <t>Fiona Stone</t>
  </si>
  <si>
    <t>Tadcaster Albion Outfall Clearance &amp; Drainage Investigation</t>
  </si>
  <si>
    <t>Paul Tweed</t>
  </si>
  <si>
    <t>DN284290</t>
  </si>
  <si>
    <t>Area 1 Finghall RR (Framework Package 1)</t>
  </si>
  <si>
    <t>Area 1 - Nigel Smith</t>
  </si>
  <si>
    <t>DN287346</t>
  </si>
  <si>
    <t>Area 1 Harmby RR (Framework Package 2)</t>
  </si>
  <si>
    <t>DN287364</t>
  </si>
  <si>
    <t>Area 1 Marsett &amp; Stalling Busk R &amp; R</t>
  </si>
  <si>
    <t>DN287371</t>
  </si>
  <si>
    <t>AREA 1 NEWSHAM TO SMALLWAYS R&amp;R (FRAMEWORK PACKAGE 4)</t>
  </si>
  <si>
    <t>DN275699</t>
  </si>
  <si>
    <t>Thornton on Swale</t>
  </si>
  <si>
    <t>60+60</t>
  </si>
  <si>
    <t>Ali Wildash</t>
  </si>
  <si>
    <t>Looking to extend 5 years, potential savings as I have managed to wipe out RPI, also reviewing exit strategy as current contract does not have one.</t>
  </si>
  <si>
    <t>DN281343</t>
  </si>
  <si>
    <t>Bedale, Aiskew &amp; Leeming Bar Bypass Off-site Landscape Mitigation Scheme: Planting and Maintenance</t>
  </si>
  <si>
    <t>Bid - Restricted</t>
  </si>
  <si>
    <t>Ruth Benson</t>
  </si>
  <si>
    <t>36 + 24</t>
  </si>
  <si>
    <r>
      <t xml:space="preserve">NRSWA StreetWorks Supervisors Card Training - Full Qualification </t>
    </r>
    <r>
      <rPr>
        <b/>
        <u/>
        <sz val="11"/>
        <rFont val="Calibri"/>
        <family val="2"/>
        <scheme val="minor"/>
      </rPr>
      <t>and</t>
    </r>
    <r>
      <rPr>
        <sz val="11"/>
        <rFont val="Calibri"/>
        <family val="2"/>
        <scheme val="minor"/>
      </rPr>
      <t xml:space="preserve"> Refresher</t>
    </r>
  </si>
  <si>
    <t>Have merged the two commissioning packs into one single ITB document as same suppliers will be quoting for both the full qualification and the refresher training</t>
  </si>
  <si>
    <t>Apprenticeship - Coventry University Scarborough</t>
  </si>
  <si>
    <t>Collaboration Agreement</t>
  </si>
  <si>
    <t>Jamie Sims / Louise Sandall</t>
  </si>
  <si>
    <t>Rachel Woodward</t>
  </si>
  <si>
    <t>Maria Hill and service area completed partnership agreement no further action from procurement.</t>
  </si>
  <si>
    <t>Evaluation of LEADER Programmes</t>
  </si>
  <si>
    <t>7</t>
  </si>
  <si>
    <t>Helen Patchett</t>
  </si>
  <si>
    <t xml:space="preserve">Entry needs to be put on the contracts register then complete. 12.12.2017 - completed and on the register. </t>
  </si>
  <si>
    <t>Apprenticeship - IT, Software, Web &amp; Telecoms Professionals</t>
  </si>
  <si>
    <t>Louise Sandall</t>
  </si>
  <si>
    <t xml:space="preserve">No bids received so agreed that best value form would be used </t>
  </si>
  <si>
    <t>SSentif Analytics</t>
  </si>
  <si>
    <t>Award direct to Ssentif. John Kelly completing BVF.</t>
  </si>
  <si>
    <t>DN285917</t>
  </si>
  <si>
    <t xml:space="preserve">Area 6 Market Place Ripon Special </t>
  </si>
  <si>
    <t>Area 6 - Nigel Smith</t>
  </si>
  <si>
    <t>DN290450</t>
  </si>
  <si>
    <t>S278 Flaxby Roundabout Remedial Work</t>
  </si>
  <si>
    <t>Spot purchase</t>
  </si>
  <si>
    <t>HP 430's</t>
  </si>
  <si>
    <t>to purchase 200 units of HP for the final role out of NWOW - framework identified ts and cs sent to legal for review (31/07/2017) direct award to HP available, Sent further chase to legal to answer queries and raised issues with framework provider (nhs Link2 it hardware services -  11, 13 and 21/08/2017. Chaser email sent to framework provider 05/09/2017. Telephone with framework provider 06092017 advising will be raising an order using the framework. Email sent to legal 06/09/2017 confirming will place the order - call off order form needs completing. Direct purchase order to be raised by service area all info passed to them.</t>
  </si>
  <si>
    <t xml:space="preserve">DN275958 </t>
  </si>
  <si>
    <t>Ilton Footbridge Replacement</t>
  </si>
  <si>
    <t>DN286324</t>
  </si>
  <si>
    <t>Grinton East (Great) Bridge Maintenance 2017</t>
  </si>
  <si>
    <t>Grinton East (Great) Bridge</t>
  </si>
  <si>
    <t>Survey System / Consultation  - SNAP is current system</t>
  </si>
  <si>
    <t>Best value form</t>
  </si>
  <si>
    <t>Stephen Greiff</t>
  </si>
  <si>
    <t>BVF forwarded 11/11/17. Previous years via BVF £8394 (incl VAT). Contract end 30/09/18.</t>
  </si>
  <si>
    <t>Helen Edwards</t>
  </si>
  <si>
    <r>
      <rPr>
        <b/>
        <sz val="11"/>
        <rFont val="Calibri"/>
        <family val="2"/>
        <scheme val="minor"/>
      </rPr>
      <t>Chased Helen Edwards.</t>
    </r>
    <r>
      <rPr>
        <sz val="11"/>
        <rFont val="Calibri"/>
        <family val="2"/>
        <scheme val="minor"/>
      </rPr>
      <t xml:space="preserve">Best Value form completed by Helen Edwards. Subscription renewed 01/10/16 to 30/09/17 at £6,995.00 + VAT.
This relates to an annual licence renewal. </t>
    </r>
  </si>
  <si>
    <t>Pensions Admin Support Services</t>
  </si>
  <si>
    <t>GW1/3 with SS to review before PAB. Contract drafted and waiting on answer from insurance about cover levels as requested by legal</t>
  </si>
  <si>
    <t>ICT/CORP</t>
  </si>
  <si>
    <t xml:space="preserve">Primo (ex-Tharsterns) </t>
  </si>
  <si>
    <t>48+12</t>
  </si>
  <si>
    <r>
      <t xml:space="preserve">best value </t>
    </r>
    <r>
      <rPr>
        <b/>
        <sz val="11"/>
        <rFont val="Calibri"/>
        <family val="2"/>
        <scheme val="minor"/>
      </rPr>
      <t>completed</t>
    </r>
  </si>
  <si>
    <t>DN301866</t>
  </si>
  <si>
    <t>Hewick Bridge
Masonry repairs and vegetation removal</t>
  </si>
  <si>
    <t>DN301376</t>
  </si>
  <si>
    <t>Hewick Bridge
Stone Supply</t>
  </si>
  <si>
    <t>DN300390</t>
  </si>
  <si>
    <t>Sleights New Bridge
Repairs to parapets and repainting</t>
  </si>
  <si>
    <t>Call off - Painting Contractors Framework (PCF) 2016</t>
  </si>
  <si>
    <t>DN264796</t>
  </si>
  <si>
    <t>Snaizeholme Bridge Repair Scheme</t>
  </si>
  <si>
    <t>DN290163</t>
  </si>
  <si>
    <t xml:space="preserve">Area 3 NPIF Marine Drive / Royal Albert Drive - Ducting </t>
  </si>
  <si>
    <t>DN264794</t>
  </si>
  <si>
    <t>Gilling Bridge, Gilling East - Stone Repairs</t>
  </si>
  <si>
    <t>DN292327</t>
  </si>
  <si>
    <t>Valley Bridge Deck Waterproofing and Resurfacing</t>
  </si>
  <si>
    <t>DN294191</t>
  </si>
  <si>
    <t>Calvis Hall - Painting Handrail &amp; Tree Clearance</t>
  </si>
  <si>
    <t>DN294219</t>
  </si>
  <si>
    <t>Area 4 Ings Lane (NPIF Scheme)</t>
  </si>
  <si>
    <t>Case Handling System for Compliments, Comments and Complaints - current system by icasework, system name 'Useful Feedback'</t>
  </si>
  <si>
    <r>
      <t>60+12+12+</t>
    </r>
    <r>
      <rPr>
        <b/>
        <sz val="11"/>
        <color rgb="FFFF0000"/>
        <rFont val="Calibri"/>
        <family val="2"/>
        <scheme val="minor"/>
      </rPr>
      <t>12</t>
    </r>
    <r>
      <rPr>
        <sz val="11"/>
        <rFont val="Calibri"/>
        <family val="2"/>
        <scheme val="minor"/>
      </rPr>
      <t xml:space="preserve">+12 +12 </t>
    </r>
  </si>
  <si>
    <t>Alison Schofield</t>
  </si>
  <si>
    <t>Awaiting RL sign off</t>
  </si>
  <si>
    <t>Unix Hardware Maintenance</t>
  </si>
  <si>
    <t>PROJECT COMPLETED - NEW ROW NEEDS ADDING BELOW
PO raised by Steve for 12-month renewal of the annual maintenance and support covering 21/10/17 to 20/10/18 for £11,143.38.  Unsure of the original contract period or whole life costs; however it appears that a payment was made for the previous 12 months at £10,818.81.  Unable to obtain further financial breakdown for this service, due to lack of information.  Steve has confirmed via email that this will be needed as from 21/10/18.  (10/05/18 GP)</t>
  </si>
  <si>
    <t>DN294636</t>
  </si>
  <si>
    <t>Ravensthorpe Mill Footbridge Replacement</t>
  </si>
  <si>
    <t>DN301953</t>
  </si>
  <si>
    <t>NY17003 Holly Garth – Former Elderly Persons’ Home Demolition Contract</t>
  </si>
  <si>
    <t>Call off - ProcureOne Framework: Small Works (SWO)</t>
  </si>
  <si>
    <t>Zoe Stevenson (Align)</t>
  </si>
  <si>
    <t>Ashridge On line learning</t>
  </si>
  <si>
    <t>Tracy Harrison</t>
  </si>
  <si>
    <t xml:space="preserve">Best Value Form will be completed for 01/11/2017 to 31/10/2018. Best value form completed by Roger Smith for contract covering the period 1/11/2016 - 31/10/2017. </t>
  </si>
  <si>
    <t>24 + 12 + 12</t>
  </si>
  <si>
    <t>Completed and approved.</t>
  </si>
  <si>
    <t>Media &amp; Communications</t>
  </si>
  <si>
    <t>Photography</t>
  </si>
  <si>
    <t>Videography was not awarded on this occasion - changed value to 80K - reminder sent on signing hub today 08.01.2018. R Jemison still needs to sign the contract. 11.01.2018</t>
  </si>
  <si>
    <t>Ticket Machines Provision</t>
  </si>
  <si>
    <t>Mark met with Andrew Sharpin 11/07/2017 and Andrew advised he would create best value form to cover this requirement</t>
  </si>
  <si>
    <t>Planning Consultant</t>
  </si>
  <si>
    <t>Framework Direct Award</t>
  </si>
  <si>
    <t>Andy Robson</t>
  </si>
  <si>
    <t xml:space="preserve">26.10.2017 - Andy Robson informed me that he is just about to sign a contract with Bloom through the NEPRO framework. </t>
  </si>
  <si>
    <t>DN302663</t>
  </si>
  <si>
    <t>Beck House Bridge - Flange Repainting</t>
  </si>
  <si>
    <t>Local Government Chronicle Subscription</t>
  </si>
  <si>
    <t>Infrastructure Asset Management Systems (Symology)</t>
  </si>
  <si>
    <t>David Hunt</t>
  </si>
  <si>
    <r>
      <rPr>
        <b/>
        <sz val="11"/>
        <rFont val="Calibri"/>
        <family val="2"/>
        <scheme val="minor"/>
      </rPr>
      <t xml:space="preserve">Chased Nick Leggott. </t>
    </r>
    <r>
      <rPr>
        <sz val="11"/>
        <rFont val="Calibri"/>
        <family val="2"/>
        <scheme val="minor"/>
      </rPr>
      <t>20/01/2017: David Hunt - Symology Project Board will be discussing re-procurment options (Currently G-Cloud)</t>
    </r>
  </si>
  <si>
    <t>Voluntary benefits and salary sacrifice including Childcare vouchers</t>
  </si>
  <si>
    <t>Collaborate NYCC Lead</t>
  </si>
  <si>
    <t xml:space="preserve"> This is now completed and on the register. 11.01.18 JK</t>
  </si>
  <si>
    <t>Environmental</t>
  </si>
  <si>
    <t xml:space="preserve">John Metcalfe </t>
  </si>
  <si>
    <t>Contract extension completed.</t>
  </si>
  <si>
    <t>Telematics</t>
  </si>
  <si>
    <t>Contract now merged with Trackers/telematics</t>
  </si>
  <si>
    <t>LGC EMAPs Subscription</t>
  </si>
  <si>
    <t>awarded and signed 01-12-2017</t>
  </si>
  <si>
    <t>Kirby Misperton Waste Transfer Station</t>
  </si>
  <si>
    <t>Andrew Bardon</t>
  </si>
  <si>
    <t>Stationery</t>
  </si>
  <si>
    <t xml:space="preserve">The supply and delivery of office supplies, office paper, and IT consumables (Banner is current) </t>
  </si>
  <si>
    <t>Graham Millichap</t>
  </si>
  <si>
    <t>Jayne Kempen/Katie Longstaff</t>
  </si>
  <si>
    <t xml:space="preserve"> contract date still to be determined awaiting on confirmation from Lyreco 11.01.2018. JK</t>
  </si>
  <si>
    <t xml:space="preserve">IBM i2 (iBase and Designer) </t>
  </si>
  <si>
    <t>Ritch Baine / Jonathan (David) Miller/CST</t>
  </si>
  <si>
    <t>Information provided from Ritch.  Software is licensed annually and was renewed directly with IBM via PO at £2,806.00 for period 01/01/18 - 31/12/18.  Ritch was unsure of the original contract period or whole life costs as it pre-dates him being in post.  Previous annual license covering the period 01/01/17 - 31/12/17 was £2,652.00.  Have asked Ritch for confirmation that this will be needed as from 01/01/19  (09/04/18 GP)</t>
  </si>
  <si>
    <t>Oracle &amp; SQL Server Support.</t>
  </si>
  <si>
    <t>Currently with Xynomix Ltd.  Service will self service bid process.
Voicemail left with Steve to check if project has been completed - paperwork etc. and chased up via email.  Still awaiting information from Steve.  Chased up again  (09/04/18 GP)</t>
  </si>
  <si>
    <t xml:space="preserve">Procurement Management Software - YORtender </t>
  </si>
  <si>
    <t>Other</t>
  </si>
  <si>
    <t xml:space="preserve">Kevin Draisey </t>
  </si>
  <si>
    <t>Regional decision to be made.</t>
  </si>
  <si>
    <t>Payments software (Potentially KORVID option)</t>
  </si>
  <si>
    <t>Mike Shepherd / Nicola Young</t>
  </si>
  <si>
    <r>
      <t>Sourced new system via g-cloud Corvid , g-cloud document signed off by both sides , PO issued by MB , Customer benefit record sent to CCS -</t>
    </r>
    <r>
      <rPr>
        <b/>
        <sz val="11"/>
        <rFont val="Calibri"/>
        <family val="2"/>
        <scheme val="minor"/>
      </rPr>
      <t xml:space="preserve"> Completed</t>
    </r>
  </si>
  <si>
    <t>Gandlake (Print Unit)</t>
  </si>
  <si>
    <t>120+12</t>
  </si>
  <si>
    <t>21/6/18</t>
  </si>
  <si>
    <r>
      <t xml:space="preserve">15/3 - refused to sign extension document SS aware - license to continue with no extension doc - enforce notice period dates on nick leggot &amp; john metcalfe- </t>
    </r>
    <r>
      <rPr>
        <b/>
        <sz val="11"/>
        <rFont val="Calibri"/>
        <family val="2"/>
        <scheme val="minor"/>
      </rPr>
      <t xml:space="preserve">complete </t>
    </r>
  </si>
  <si>
    <t>DN306456</t>
  </si>
  <si>
    <t>Area 3 NPIF Bar Street, Aberdeen Walk and Newborough
NPIF Scarbrough Precint</t>
  </si>
  <si>
    <t>Area 4 - Richard Marr</t>
  </si>
  <si>
    <t>DN311059</t>
  </si>
  <si>
    <t>Sutton Bank NP Centre, Car Park Remodelling and Extension / Dark Skies pavilion</t>
  </si>
  <si>
    <t>Call off - ProcureOne Framework: Works (WOK)</t>
  </si>
  <si>
    <t>DN275708</t>
  </si>
  <si>
    <t>Skip Bridge New (Phase2)
Deck beams at ends and bearings need painting and refurbishment also concrete repairs, repair revetment</t>
  </si>
  <si>
    <t>DN301718</t>
  </si>
  <si>
    <t>Kirby Misperton Civils</t>
  </si>
  <si>
    <t>WSP</t>
  </si>
  <si>
    <t>Library Shelving &amp; Furniture 2 sites, Malton &amp; Filey</t>
  </si>
  <si>
    <t>10504 core switch - support and maintenance package</t>
  </si>
  <si>
    <t>60</t>
  </si>
  <si>
    <t>Has been purchased.</t>
  </si>
  <si>
    <t>DN304460</t>
  </si>
  <si>
    <t>Kirkham Bridge
Stone indents, vegetation clearance, paint ironwork and scour check</t>
  </si>
  <si>
    <t>DN307660</t>
  </si>
  <si>
    <t>B0847 Pickering EPH – Dementia Unit</t>
  </si>
  <si>
    <t>Louise Dale</t>
  </si>
  <si>
    <t xml:space="preserve">Fuel Cards </t>
  </si>
  <si>
    <t>12+14</t>
  </si>
  <si>
    <t>Now complete and logged on YorTender. Line can now be removed.</t>
  </si>
  <si>
    <t>PROJECT NOW COMPLETE AND READY FOR NEW LINE TO BE CREATED</t>
  </si>
  <si>
    <t>CANCELLED</t>
  </si>
  <si>
    <t>Traffic Signal Refurbishment - Clock Tower, Ripon
NY6-127-J</t>
  </si>
  <si>
    <t>DN311071</t>
  </si>
  <si>
    <t>Roofing and Associated Works at Sessay Church of England VC Primary School</t>
  </si>
  <si>
    <t>Align</t>
  </si>
  <si>
    <t>DN311476</t>
  </si>
  <si>
    <t>B0754 Tadcaster Library</t>
  </si>
  <si>
    <t>Paula McLean / AMa</t>
  </si>
  <si>
    <t>Website Hosting (Selby, Corporate, SmartSolutions) Drupal</t>
  </si>
  <si>
    <r>
      <t>12+12+</t>
    </r>
    <r>
      <rPr>
        <sz val="11"/>
        <color rgb="FFFF0000"/>
        <rFont val="Calibri"/>
        <family val="2"/>
        <scheme val="minor"/>
      </rPr>
      <t>12</t>
    </r>
  </si>
  <si>
    <t>Sarah Richardson</t>
  </si>
  <si>
    <t>Final extension paperwork to be completed. Previous contract with Code-Enigma - £42,480 total. Final extension issued.</t>
  </si>
  <si>
    <t>DN312994</t>
  </si>
  <si>
    <t>Sheriff Hutton bridge
Rewaterproof</t>
  </si>
  <si>
    <t>DN304790</t>
  </si>
  <si>
    <t>15080 Settrington All Saints Church of England Primary School</t>
  </si>
  <si>
    <t>Philip Wigham (Align)</t>
  </si>
  <si>
    <t xml:space="preserve">Mercato Solutions - Knowledge Bus </t>
  </si>
  <si>
    <t>Andy Jarvis</t>
  </si>
  <si>
    <r>
      <rPr>
        <b/>
        <sz val="11"/>
        <rFont val="Calibri"/>
        <family val="2"/>
        <scheme val="minor"/>
      </rPr>
      <t xml:space="preserve">Check with Kevin as issues with this, </t>
    </r>
    <r>
      <rPr>
        <sz val="11"/>
        <rFont val="Calibri"/>
        <family val="2"/>
        <scheme val="minor"/>
      </rPr>
      <t xml:space="preserve">Two Year Enterprise Multi-user Licence (up to 10 users) at a discounted cost of £16,100. Inclusive of all three Bolt-On Modules (‘List Upload’, ‘Export Spend Analysis’, and ‘Framework Pricing’)(The licence period will not start until we have completed training with relevant users in the New Year) 04/07 CD To send over termination email sent previously not recieved a response from supplier will re-issue with termination letter and seek confirmation 
CD to send over confirmation of termination - CD provided confirmation from mercato acknowledging the notice period - copies saved in folder -CD Confirmed formal notice was sent to the service area - </t>
    </r>
    <r>
      <rPr>
        <b/>
        <sz val="11"/>
        <rFont val="Calibri"/>
        <family val="2"/>
        <scheme val="minor"/>
      </rPr>
      <t xml:space="preserve">Complete </t>
    </r>
  </si>
  <si>
    <t>Dashcams (supply and installation/de-installation)</t>
  </si>
  <si>
    <t xml:space="preserve">Contract signed by both parties </t>
  </si>
  <si>
    <t>DN305269</t>
  </si>
  <si>
    <t>Millers Ford Low Bentham 
Failing paintwork and parapet coating F/Br, maintenance works in general</t>
  </si>
  <si>
    <t>DN304476</t>
  </si>
  <si>
    <t>Settle Bridge
Pointing and stone repairs, resurfacng and scour check</t>
  </si>
  <si>
    <t>DN310674</t>
  </si>
  <si>
    <t>Accelerated roll-out of LED Street Lights: Supply of LED Streetlights</t>
  </si>
  <si>
    <t>Call off - YPO StreetLighting Products and Services (711) framework</t>
  </si>
  <si>
    <t>DN324273</t>
  </si>
  <si>
    <t>Railway Street - Malton - Footpath Repairs</t>
  </si>
  <si>
    <t>DN290500</t>
  </si>
  <si>
    <t>A63 Swing Bridge
Repainting of the structure</t>
  </si>
  <si>
    <t xml:space="preserve">Swivel 2 Factor Authentication </t>
  </si>
  <si>
    <t>PROJECT COMPLETED - NEW ROW NEEDS ADDING BELOW
Supplied by Axial.
PO raised by Gavin for 12-month renewal of the annual maintenance and licencing for the period 26/02/18 - 25/02/19 at £4,650.00.  Unsure of the original contract period or whole life costs; however it appears to have been in place since at least 26/02/15.  Unable to obtain further financial breakdown for this service, due to lack of information.  Gavin has confirmed via email that this will be needed as from 26/02/19.  (10/05/18 GP)</t>
  </si>
  <si>
    <t>DN303667</t>
  </si>
  <si>
    <t>Golden Grove 
Painting to main deck beams</t>
  </si>
  <si>
    <t>DN305276</t>
  </si>
  <si>
    <t>High Mill 
Rebuild parapet wall</t>
  </si>
  <si>
    <t>DN319896</t>
  </si>
  <si>
    <t>Refurbishment of the Undercroft to create office space at Castle House</t>
  </si>
  <si>
    <t>Tomas Mackay (Align)</t>
  </si>
  <si>
    <t>Core sampling and testing</t>
  </si>
  <si>
    <t>On-line Registrar, Births, Deaths and Marriages - Online Appointments System</t>
  </si>
  <si>
    <t>Robin Mair/CST</t>
  </si>
  <si>
    <t>Contract signed by all parties 28/02/18</t>
  </si>
  <si>
    <t>Robin Mair</t>
  </si>
  <si>
    <t>Initial period award.</t>
  </si>
  <si>
    <t>DN319871</t>
  </si>
  <si>
    <t>C68 Marishes Lane, Low Marishes</t>
  </si>
  <si>
    <t>Subscription to legal reference material:
- Family law</t>
  </si>
  <si>
    <t>Pauline Smurthwaite</t>
  </si>
  <si>
    <t>SG 09/04/2018; BVF to be utilised. Subscriptions are not available from other suppliers and are industry standard.</t>
  </si>
  <si>
    <t>DN318364</t>
  </si>
  <si>
    <t>Filey Junior School replacement of three TCU buildings with a Three Classroom extension</t>
  </si>
  <si>
    <t>Further Comp - NYCC</t>
  </si>
  <si>
    <t>DN325943</t>
  </si>
  <si>
    <t>Hodge Beck New Bridge Maintenance Works</t>
  </si>
  <si>
    <t>Jon-Pierre Winlow</t>
  </si>
  <si>
    <t>Liquid Logic - case management system for Adults and Children's social care
- EHM (formally Ecaf)
- LLA/LAS (contrOCC) Adults
- ConrtOCC Children's</t>
  </si>
  <si>
    <t>CD drafting 1 GW4 and 2xextension documents - w.e. 1st December.</t>
  </si>
  <si>
    <t xml:space="preserve">Ancillary Hardware Items - Server Team </t>
  </si>
  <si>
    <t>The Ancillary Hardware items is a £50k annual kitty for Hardware renewals. It’s not a contract.</t>
  </si>
  <si>
    <t>Local Bus Service - Scarborough Area - Home to School Transport Review - Hambleton &amp; Scarborough Area</t>
  </si>
  <si>
    <t>PROJECT COMPLETED
Award notice submitted directly on OJEU.  Contracts issued by IPT.  (08/05/18 GP)</t>
  </si>
  <si>
    <t>Fresh Fruit, Vegetables and Milk Products</t>
  </si>
  <si>
    <t>Further competition</t>
  </si>
  <si>
    <t>Project now complete and new line can be created.</t>
  </si>
  <si>
    <t>Fresh Meat and Frozen Goods [Veg/Meat/Fruit/Fish/Bread/Desserts]</t>
  </si>
  <si>
    <t>Groceries and Chilled [exc. Milk]</t>
  </si>
  <si>
    <t>MT and Catering meeting with Jane and Darren from YPO 18/01/18 to agree everything moving forwards for next 2 year deal.</t>
  </si>
  <si>
    <t xml:space="preserve">Careworks </t>
  </si>
  <si>
    <t>Lorena Phillips / Chris Bell</t>
  </si>
  <si>
    <t>Order confirmed - 1 year extension</t>
  </si>
  <si>
    <t>Client Caseload Management Information System (CCIS)  - Aspire</t>
  </si>
  <si>
    <t>Completed - 1 year contract through the KCS framework</t>
  </si>
  <si>
    <t>Paritor Music Service System</t>
  </si>
  <si>
    <t>MT emailed Lorena Phillips 23/11/17 to advise to follow best value form process for a further 2 years.  T&amp;C already involved</t>
  </si>
  <si>
    <t>Music service system</t>
  </si>
  <si>
    <r>
      <t>14+12+12+</t>
    </r>
    <r>
      <rPr>
        <sz val="11"/>
        <color rgb="FFFF0000"/>
        <rFont val="Calibri"/>
        <family val="2"/>
        <scheme val="minor"/>
      </rPr>
      <t>12</t>
    </r>
  </si>
  <si>
    <t>India Landers</t>
  </si>
  <si>
    <t>20 Jan 14 to 31 Mar 15 = initial period
01 Apr 15 to 31 Mar 16 = OTE 1 – done
01 Apr 16 to 31 Mar 17 = OTE 2 - done .
MH to flag to T&amp;C that they need to start options review now (July 2016).
01 Apr 17 to 31 Mar 18 = OTE 3 - done
Since Contract Management meeting service has improved - MH offered further support if and when required. . Meeting with T&amp;C to take place 30/10/2017</t>
  </si>
  <si>
    <t>Now awarded</t>
  </si>
  <si>
    <t>ICT/CYPS</t>
  </si>
  <si>
    <r>
      <t>36+12+</t>
    </r>
    <r>
      <rPr>
        <sz val="11"/>
        <color rgb="FFFF0000"/>
        <rFont val="Calibri"/>
        <family val="2"/>
        <scheme val="minor"/>
      </rPr>
      <t>12</t>
    </r>
  </si>
  <si>
    <t xml:space="preserve">Janet Bates/Nick Horn </t>
  </si>
  <si>
    <r>
      <rPr>
        <b/>
        <sz val="11"/>
        <rFont val="Calibri"/>
        <family val="2"/>
      </rPr>
      <t xml:space="preserve">Completed - </t>
    </r>
    <r>
      <rPr>
        <sz val="11"/>
        <rFont val="Calibri"/>
        <family val="2"/>
      </rPr>
      <t xml:space="preserve">Signed off by Judith Kirk , Form sent to CCS </t>
    </r>
  </si>
  <si>
    <t>ISAM Provision (Concessionary Care function for ticket machines)</t>
  </si>
  <si>
    <t xml:space="preserve">Banking Services - Currently Barclays </t>
  </si>
  <si>
    <r>
      <t>60+</t>
    </r>
    <r>
      <rPr>
        <sz val="11"/>
        <color rgb="FFFF0000"/>
        <rFont val="Calibri"/>
        <family val="2"/>
        <scheme val="minor"/>
      </rPr>
      <t>24</t>
    </r>
  </si>
  <si>
    <t>+</t>
  </si>
  <si>
    <t>Michelle Oates</t>
  </si>
  <si>
    <r>
      <t xml:space="preserve">Document signed off by legal - copy sent back to barcalys scan saved in folder - </t>
    </r>
    <r>
      <rPr>
        <b/>
        <sz val="11"/>
        <rFont val="Calibri"/>
        <family val="2"/>
        <scheme val="minor"/>
      </rPr>
      <t>Completed</t>
    </r>
  </si>
  <si>
    <t>Financial/In</t>
  </si>
  <si>
    <t xml:space="preserve">Forensic coding </t>
  </si>
  <si>
    <t>Louise Gigante</t>
  </si>
  <si>
    <t>SG 09/04/2018; BVF completed. 3 year agreement or upto value of £25k.</t>
  </si>
  <si>
    <t>Adult Learning System - Aqua Extension</t>
  </si>
  <si>
    <t>Lorena Phillips/Emily A-F</t>
  </si>
  <si>
    <t xml:space="preserve">11/1/18 online statement received details sent over to lorena - Lorena has confirmed to SS this is complete </t>
  </si>
  <si>
    <t>Tax and VAT Support</t>
  </si>
  <si>
    <t>Kim Trenholme/Paul Nicholson</t>
  </si>
  <si>
    <r>
      <rPr>
        <b/>
        <sz val="11"/>
        <rFont val="Calibri"/>
        <family val="2"/>
        <scheme val="minor"/>
      </rPr>
      <t xml:space="preserve"> Complete </t>
    </r>
    <r>
      <rPr>
        <sz val="11"/>
        <rFont val="Calibri"/>
        <family val="2"/>
        <scheme val="minor"/>
      </rPr>
      <t>PSTAX awarded -Quote process</t>
    </r>
  </si>
  <si>
    <t>Purchase and/or Contract Hire of Vehicles (Cars and Vans)</t>
  </si>
  <si>
    <t>Now complete, line can be set to complete.  New line added as requested by Stacey</t>
  </si>
  <si>
    <t>ICT/BES</t>
  </si>
  <si>
    <t>Public rights of way system - (Currently Exegesis)</t>
  </si>
  <si>
    <t>Nick Leggott/Karen Lane</t>
  </si>
  <si>
    <t xml:space="preserve">Completed </t>
  </si>
  <si>
    <t>Project Management Tool (Currently Project Vision)</t>
  </si>
  <si>
    <r>
      <rPr>
        <sz val="11"/>
        <color rgb="FFFF0000"/>
        <rFont val="Calibri"/>
        <family val="2"/>
        <scheme val="minor"/>
      </rPr>
      <t>24</t>
    </r>
    <r>
      <rPr>
        <sz val="11"/>
        <rFont val="Calibri"/>
        <family val="2"/>
        <scheme val="minor"/>
      </rPr>
      <t>+12+12</t>
    </r>
  </si>
  <si>
    <t>Gemma Dickinson</t>
  </si>
  <si>
    <t>Stacey / India</t>
  </si>
  <si>
    <t>Contract signed by both parties 09/03/2018</t>
  </si>
  <si>
    <t xml:space="preserve">E Books - Current Provider is Overdrive </t>
  </si>
  <si>
    <t>Suppliers of required materials are Sole Supplier (ie only one company has the rights to publish and sell). As such this project is exempt from the Contract Procedure Rules under 15.1 (e).</t>
  </si>
  <si>
    <t>Civica APP - Flare</t>
  </si>
  <si>
    <t>Nick Leggott/Ritch Baine</t>
  </si>
  <si>
    <r>
      <rPr>
        <b/>
        <sz val="11"/>
        <rFont val="Calibri"/>
        <family val="2"/>
        <scheme val="minor"/>
      </rPr>
      <t xml:space="preserve">Queried with Ritch and Hans 19/07/2017. Contract has been in place since 2000? Paper completed by Hans 2015 on the options - this needs revisiting. </t>
    </r>
    <r>
      <rPr>
        <sz val="11"/>
        <rFont val="Calibri"/>
        <family val="2"/>
        <scheme val="minor"/>
      </rPr>
      <t>Need to confirm the start date, believe this is purchased through G-cloud on a 1+1 basis. Some work carried out by Hans in 2015. Possible negotiation point on a longer term agreement. Assigned 15/02/18</t>
    </r>
  </si>
  <si>
    <t xml:space="preserve">HP server maintenance </t>
  </si>
  <si>
    <r>
      <rPr>
        <b/>
        <sz val="11"/>
        <color rgb="FF00B050"/>
        <rFont val="Calibri"/>
        <family val="2"/>
        <scheme val="minor"/>
      </rPr>
      <t>PLEASE MOVE TO COMPLETED</t>
    </r>
    <r>
      <rPr>
        <sz val="11"/>
        <rFont val="Calibri"/>
        <family val="2"/>
        <scheme val="minor"/>
      </rPr>
      <t>: BVF now submitted and logged.</t>
    </r>
  </si>
  <si>
    <t>HBSMR System (currently Exegesis)</t>
  </si>
  <si>
    <r>
      <t xml:space="preserve">Extension in place via best value form &amp; short form contract - </t>
    </r>
    <r>
      <rPr>
        <b/>
        <sz val="11"/>
        <rFont val="Calibri"/>
        <family val="2"/>
      </rPr>
      <t xml:space="preserve">completed </t>
    </r>
  </si>
  <si>
    <t>DN197032</t>
  </si>
  <si>
    <t>Temporary Traffic Data Collection, including Manual Traffic Surveys</t>
  </si>
  <si>
    <t>Area 4 Salton R&amp;R</t>
  </si>
  <si>
    <t>John Putsey</t>
  </si>
  <si>
    <t>Harrogate VMS Phase 1</t>
  </si>
  <si>
    <t>Area 4 Acklam Carriageway Patching Package</t>
  </si>
  <si>
    <t xml:space="preserve">Large Print &amp; Audio Books Servicing and Supply  </t>
  </si>
  <si>
    <t>DN325105</t>
  </si>
  <si>
    <t>Demolition of Ramp to TCU and provision of new access steps at Kirby Moorside Community Primary School</t>
  </si>
  <si>
    <t>10 days</t>
  </si>
  <si>
    <t xml:space="preserve">Red Hat licence support </t>
  </si>
  <si>
    <t>Not required. Decision made to use a free service.</t>
  </si>
  <si>
    <t>IMC Network Management - HP Via Switchshop</t>
  </si>
  <si>
    <t>19.02.2018 Best Value Form sent to Gavin for completion</t>
  </si>
  <si>
    <t>Information provided from Gavin.  PO not yet raised for 2018/19 but Gavin advised he would usually order a 12-month renewal of the maintenance and licencing with Quest at £3,819.90 per annum.  Gavin is unsure of the original contract period or whole life costs.  Unable to obtain further financial breakdown for this; however, the contract appears to have been in place since at least 15/04/13.  Have asked Gavin for confirmation that this will be needed as from 15/04/19  (09/04/18 GP)</t>
  </si>
  <si>
    <t>External Legal Advice</t>
  </si>
  <si>
    <t>EMLawshare Framework</t>
  </si>
  <si>
    <r>
      <t xml:space="preserve">MT19/04/2018 Line can be removed as Legal will call off directly from EM Lawshare and have a review of position in 24 months. </t>
    </r>
    <r>
      <rPr>
        <sz val="11"/>
        <color rgb="FFFF0000"/>
        <rFont val="Calibri"/>
        <family val="2"/>
        <scheme val="minor"/>
      </rPr>
      <t>JEN WILL YOU CREATE NEW LINE ON FPP?</t>
    </r>
  </si>
  <si>
    <t>Affinitext Complex Contract Management (WCS)</t>
  </si>
  <si>
    <t>G-Cloud</t>
  </si>
  <si>
    <t>Suzanne Williamson</t>
  </si>
  <si>
    <t>Proceeding with 2 year G-Cloud deal.  Date in diary for March to sort out paperwork with Affintext.  07/09/17 - t&amp;cs requested to forward on for legal review</t>
  </si>
  <si>
    <t>Silas to be involved?</t>
  </si>
  <si>
    <t>DN340117</t>
  </si>
  <si>
    <t>Greatwood CPS - Renew railings and alterations to retaining wall</t>
  </si>
  <si>
    <t>May 2018</t>
  </si>
  <si>
    <t>Budget planning tool for schools (currently Orovia)</t>
  </si>
  <si>
    <t>Lynda Player/CST soon</t>
  </si>
  <si>
    <t xml:space="preserve">Completed  </t>
  </si>
  <si>
    <t>Telecoms</t>
  </si>
  <si>
    <t>Feasibility of improving the mobile network in North Yorkshire.</t>
  </si>
  <si>
    <t>Michael Grayson</t>
  </si>
  <si>
    <t>Waiver Signed off</t>
  </si>
  <si>
    <t>28/06/18</t>
  </si>
  <si>
    <t>DN321554</t>
  </si>
  <si>
    <t>Weather Forecasting Contract and Weather Station Bureau Service</t>
  </si>
  <si>
    <t>Insurance-Linked Securities (ILS)</t>
  </si>
  <si>
    <r>
      <rPr>
        <sz val="11"/>
        <color rgb="FFFF0000"/>
        <rFont val="Calibri"/>
        <family val="2"/>
        <scheme val="minor"/>
      </rPr>
      <t>36</t>
    </r>
    <r>
      <rPr>
        <sz val="11"/>
        <rFont val="Calibri"/>
        <family val="2"/>
        <scheme val="minor"/>
      </rPr>
      <t>+1+1+1+1+1+1+1</t>
    </r>
  </si>
  <si>
    <t>Accelerated Restricted Procedure</t>
  </si>
  <si>
    <t>Project now complete.  YorTender fully populated. LINE CAN BE REMOVED PLEASE</t>
  </si>
  <si>
    <t>Lone Worker Solution</t>
  </si>
  <si>
    <t>Stuart Langston / Chris Bell</t>
  </si>
  <si>
    <t>Graham Pearey/Katie Longstaff</t>
  </si>
  <si>
    <t>PROJECT COMPLETED
Direct award from Procurement for Housing framework.  
Contract signed.  Usage will be analysed during contract and Management Board will make decision on need going forwards.  (GP 16/05/18)</t>
  </si>
  <si>
    <t>DN330694</t>
  </si>
  <si>
    <r>
      <t xml:space="preserve">Area 2 Package 2018-19
</t>
    </r>
    <r>
      <rPr>
        <i/>
        <sz val="10"/>
        <rFont val="Calibri"/>
        <family val="2"/>
        <scheme val="minor"/>
      </rPr>
      <t>(Borrowby R&amp;R, Gatenby R&amp;R, Carlton Miniott R&amp;R, Hutton Sessay R&amp;R, Pickhill R&amp;R, Scorton R&amp;R)</t>
    </r>
  </si>
  <si>
    <t>DN326384</t>
  </si>
  <si>
    <t>Extension and internal re-modelling to provide waiting facility and additional office at Whitby Park &amp; Ride</t>
  </si>
  <si>
    <t>DN548291</t>
  </si>
  <si>
    <t>Director Economic Development, Business and Partnerships</t>
  </si>
  <si>
    <t>Off Street Parking Enforcement</t>
  </si>
  <si>
    <t>Scarborough Borough Council</t>
  </si>
  <si>
    <t>2 years</t>
  </si>
  <si>
    <t>S101 1972 LGA</t>
  </si>
  <si>
    <t>Amy Thomas</t>
  </si>
  <si>
    <t>Amy informed she is taking the 2 year extension and Glen was dealing with SBC legal and SLA</t>
  </si>
  <si>
    <t>Financial Wellbeing Service</t>
  </si>
  <si>
    <t>Nil</t>
  </si>
  <si>
    <t>Castlerock network management - currently provided by Eurotek Network Solutions Ltd.</t>
  </si>
  <si>
    <t>Annual maintenance contract.
Best Value process utilised. 
Annual cost quoted at approx. £2000.</t>
  </si>
  <si>
    <t>Supply of Library Materials</t>
  </si>
  <si>
    <t>3+1</t>
  </si>
  <si>
    <t>GW4 approved 140218. AD to pull together extension doc.  got a contact from CM for star procurement contract management - need to discuss how they want notifying of the extension either extension doc/letter/email ? - emailed awaiting contact name 19/2 - chased email to providers for confirmation of notification 15/3 - providers confirmed email notificiation sufficient - completed and saved in folder for audit purposes</t>
  </si>
  <si>
    <t>Approved Provider List</t>
  </si>
  <si>
    <r>
      <rPr>
        <b/>
        <sz val="11"/>
        <color rgb="FF00B050"/>
        <rFont val="Calibri"/>
        <family val="2"/>
      </rPr>
      <t>PLEASE MOVE TO COMPLETED</t>
    </r>
    <r>
      <rPr>
        <sz val="11"/>
        <rFont val="Calibri"/>
        <family val="2"/>
      </rPr>
      <t>: All closed down on YorTender.</t>
    </r>
  </si>
  <si>
    <t>GSM Gateway</t>
  </si>
  <si>
    <t>Best value form received 09/03/2018</t>
  </si>
  <si>
    <t>Cash Collection Service</t>
  </si>
  <si>
    <t>22/06/18</t>
  </si>
  <si>
    <t>LINE NOW COMPLETE: Best Value Form now submitted.</t>
  </si>
  <si>
    <t>DN331828</t>
  </si>
  <si>
    <t>Lambs Lane Resurfacing &amp; PSDP Area 2 Thirsk Tender 2018-19</t>
  </si>
  <si>
    <t>Steve Plumpton</t>
  </si>
  <si>
    <r>
      <t xml:space="preserve">Invoice date - 06/06/2018 Cost - £4688.33. </t>
    </r>
    <r>
      <rPr>
        <b/>
        <sz val="11"/>
        <color rgb="FFFF0000"/>
        <rFont val="Calibri"/>
        <family val="2"/>
      </rPr>
      <t xml:space="preserve">This is all complete now. </t>
    </r>
  </si>
  <si>
    <t>AutoCad Licences</t>
  </si>
  <si>
    <t>John Putsey (BES) / Nick Leggott (T&amp;C)</t>
  </si>
  <si>
    <t>PROJECT COMPLETED - NEW LINE TO BE CREATED
Purchased through Keysoft Solutions for AutoCad One (24 licences) and AEC Collection (2 licences).  PO raised by service area and Best Value Form.
Will be looking to re-procure for longer period at end of current contract; however, strategic review of all CAD-related products is required as NYCC have other AutoCad products that are not on this agreement, e.g. in  Property Services.  Keysoft also provide additional 'bolt-ons' to AutoCad which will need to be factored in.</t>
  </si>
  <si>
    <t>DN324731</t>
  </si>
  <si>
    <t>Area 5 Carriageway Patching and Surfacing Package 18-19</t>
  </si>
  <si>
    <t>Energy Efficiency Grant Management</t>
  </si>
  <si>
    <t>Yorkshire Energy Services</t>
  </si>
  <si>
    <t>Direct Quote</t>
  </si>
  <si>
    <t>Serena Williams</t>
  </si>
  <si>
    <t>Approx 5k spend annually 10% of £50,000 grant retained by YES for administration. This agreement is for 01/04/22 to 30/09/23, but been contracting for five year, in total and advised 2 further quotes should have been sought. Service area proceeded with this SLA.</t>
  </si>
  <si>
    <t>Kevin Draisey / Graham Millichap</t>
  </si>
  <si>
    <r>
      <t xml:space="preserve">Contract uploaded to SigningHub and signed off by Supplier and Justine on 25/06/18 </t>
    </r>
    <r>
      <rPr>
        <b/>
        <sz val="11"/>
        <color rgb="FFFF0000"/>
        <rFont val="Calibri"/>
        <family val="2"/>
      </rPr>
      <t>This is all complete now.</t>
    </r>
    <r>
      <rPr>
        <sz val="11"/>
        <rFont val="Calibri"/>
        <family val="2"/>
      </rPr>
      <t xml:space="preserve"> </t>
    </r>
  </si>
  <si>
    <t>DN329351</t>
  </si>
  <si>
    <t>Additional Teaching Block at Graham School</t>
  </si>
  <si>
    <t>DN325101</t>
  </si>
  <si>
    <t>Kirkby Malzeard - Replacement PCU</t>
  </si>
  <si>
    <t>Replacement of 2 PCU’s with a Double PCU at Kirby Malzeard Church of England Primary School</t>
  </si>
  <si>
    <t>Victoria Forms Software License Agreement</t>
  </si>
  <si>
    <t>Victoria Solutions Limited t/as Victoria Forms</t>
  </si>
  <si>
    <t>Tim informed upgrade being planned currently, likely to be undertaken Sept/Oct 2022, no changes planned or possible on that basis.</t>
  </si>
  <si>
    <t>Skype for Business</t>
  </si>
  <si>
    <t>Gavin Booth /Nick Leggott</t>
  </si>
  <si>
    <t>Best Value process utilised. 
Annual cost quoted at approx. £7000.</t>
  </si>
  <si>
    <t>DN340132</t>
  </si>
  <si>
    <t>Holy Trinity CE Infant School - Replacement of L&amp;P ceiling to Room 13</t>
  </si>
  <si>
    <t>Paula McLean / Tom Mackay (Align)</t>
  </si>
  <si>
    <t>Easingwold School
Structural works 
Replacement of defective structural steelwork to the main hall.</t>
  </si>
  <si>
    <t>Jo Wade</t>
  </si>
  <si>
    <t>Contract has been awarded and the supplier has been notified - Accurate Data Services Ltd 27/06/18. The contract has been drawn up and uploaded to SigningHub. Contract completely signed off by Supplier and Phillippa on 06/07/18.</t>
  </si>
  <si>
    <t xml:space="preserve">Mail services </t>
  </si>
  <si>
    <r>
      <t>24+</t>
    </r>
    <r>
      <rPr>
        <sz val="11"/>
        <color rgb="FFFF0000"/>
        <rFont val="Calibri"/>
        <family val="2"/>
      </rPr>
      <t>12+12</t>
    </r>
  </si>
  <si>
    <t>Further Comp - External</t>
  </si>
  <si>
    <t>GW4 completed approved both OTE.</t>
  </si>
  <si>
    <t>DN335600</t>
  </si>
  <si>
    <t>Area 6 Harrogate Resurfacing Scheme 2018-19</t>
  </si>
  <si>
    <t>Kath Rumford</t>
  </si>
  <si>
    <r>
      <t>24+12+</t>
    </r>
    <r>
      <rPr>
        <sz val="11"/>
        <color rgb="FFFF0000"/>
        <rFont val="Calibri"/>
        <family val="2"/>
        <scheme val="minor"/>
      </rPr>
      <t>12</t>
    </r>
    <r>
      <rPr>
        <sz val="11"/>
        <rFont val="Calibri"/>
        <family val="2"/>
        <scheme val="minor"/>
      </rPr>
      <t>+12</t>
    </r>
  </si>
  <si>
    <t xml:space="preserve">Extension to 03/07/19 signed.
</t>
  </si>
  <si>
    <t>Y1 = £15,281
Y2 = £15,419
Y3 = £15,558
Y4 = £15,687
Y5 = £15,828</t>
  </si>
  <si>
    <t>Local Authority Designated Officer – for Adults - Module (currently Liquid Logic)</t>
  </si>
  <si>
    <t>Variation to LCS contract to include LADO module fully signed on Signing Hub (11/03/19)</t>
  </si>
  <si>
    <t>£6000 then £1000</t>
  </si>
  <si>
    <r>
      <rPr>
        <sz val="11"/>
        <color rgb="FFFF0000"/>
        <rFont val="Calibri"/>
        <family val="2"/>
        <scheme val="minor"/>
      </rPr>
      <t>This is now complete.</t>
    </r>
    <r>
      <rPr>
        <sz val="11"/>
        <rFont val="Calibri"/>
        <family val="2"/>
        <scheme val="minor"/>
      </rPr>
      <t xml:space="preserve"> Extended for 1 year using BV form as total cost was - £3916.80</t>
    </r>
  </si>
  <si>
    <t>DN326374</t>
  </si>
  <si>
    <t>Installation of a Double PCU and construction of a Ramp and Steps at The Forest School</t>
  </si>
  <si>
    <t>6 months</t>
  </si>
  <si>
    <t>DN329336</t>
  </si>
  <si>
    <t xml:space="preserve">Improvement Work and Hall Extension at Barwic Parade CPS </t>
  </si>
  <si>
    <t>DN329353</t>
  </si>
  <si>
    <t>Car Park Alteration Works at Northallerton School</t>
  </si>
  <si>
    <t>DN329355</t>
  </si>
  <si>
    <t>Dishforth CEPS - New PCU, Fire Alarm and Heating</t>
  </si>
  <si>
    <t>DN331331</t>
  </si>
  <si>
    <t>Car park drainage works at Riverside Community Primary School</t>
  </si>
  <si>
    <t>DN331338</t>
  </si>
  <si>
    <t>Re-roofing and replacement of rainwater goods at Gladstone Road Community Primary School</t>
  </si>
  <si>
    <t>DN336188</t>
  </si>
  <si>
    <t>Settle College - Window replacement and associated maintenance works</t>
  </si>
  <si>
    <t>June 2018</t>
  </si>
  <si>
    <t>DN340097</t>
  </si>
  <si>
    <t>Glusburn Primary School - Re-design of roof to remove polycarbonate inverted roof above internal room</t>
  </si>
  <si>
    <t>DN340098</t>
  </si>
  <si>
    <t>Easingwold CPS - Essential ceiling repairs</t>
  </si>
  <si>
    <t>DN340128</t>
  </si>
  <si>
    <t>Richmond Methodist Primary School - Replacement of defective fire escape staircase</t>
  </si>
  <si>
    <t>DN340092</t>
  </si>
  <si>
    <t>Luttons CPS - Staffroom and admin alterations</t>
  </si>
  <si>
    <t>DN301951</t>
  </si>
  <si>
    <t>Bedale High School Sports Hall Floor Replacement</t>
  </si>
  <si>
    <t>ICT/Libraries</t>
  </si>
  <si>
    <t xml:space="preserve">Library management system </t>
  </si>
  <si>
    <r>
      <t>36+</t>
    </r>
    <r>
      <rPr>
        <sz val="11"/>
        <color rgb="FFFF0000"/>
        <rFont val="Calibri"/>
        <family val="2"/>
        <scheme val="minor"/>
      </rPr>
      <t>24</t>
    </r>
    <r>
      <rPr>
        <sz val="11"/>
        <rFont val="Calibri"/>
        <family val="2"/>
        <scheme val="minor"/>
      </rPr>
      <t>+24</t>
    </r>
  </si>
  <si>
    <t>Lorena Phillips/Chrys Mellor</t>
  </si>
  <si>
    <t>GW4 sent to ML &amp; Julie B for approval (12/03/2018)</t>
  </si>
  <si>
    <t>Consultancy - Kerb side collection and Recycling</t>
  </si>
  <si>
    <t>Framework - External</t>
  </si>
  <si>
    <t>Kerry Green/Tony Vardy</t>
  </si>
  <si>
    <r>
      <rPr>
        <sz val="11"/>
        <color rgb="FFFF0000"/>
        <rFont val="Calibri"/>
        <family val="2"/>
      </rPr>
      <t xml:space="preserve">Not to be advertised </t>
    </r>
    <r>
      <rPr>
        <sz val="11"/>
        <rFont val="Calibri"/>
        <family val="2"/>
      </rPr>
      <t>Quotation approved, awaiting copy of contract documentation from Bloom. Complete</t>
    </r>
  </si>
  <si>
    <t>ICT/Property</t>
  </si>
  <si>
    <t>Door Access Control</t>
  </si>
  <si>
    <t>Nick Leggott/Karen Adamson</t>
  </si>
  <si>
    <t>16/01/2019 Silas Signed contract, Completed.
11/01/2019 Reminder sent to Silas through SigningHub
03/01/2019 Extension contract curently on SigningHub awaiting signature from Silas Holland (NYCC).</t>
  </si>
  <si>
    <t>DN329348</t>
  </si>
  <si>
    <t>PCU Replacement at Welburn CPS</t>
  </si>
  <si>
    <t>DN345414</t>
  </si>
  <si>
    <t>Consultancy - A study on ‘Low carbon value chains and economic growth’</t>
  </si>
  <si>
    <t>3</t>
  </si>
  <si>
    <t>Katie Thomas</t>
  </si>
  <si>
    <t>Rebecca Shenton (Support Stacey)</t>
  </si>
  <si>
    <t xml:space="preserve">Awarded to Cambridge Econometrics on 10th August. Can be moved on. </t>
  </si>
  <si>
    <t>DN353779</t>
  </si>
  <si>
    <t>Nine Acre and Fox Covert Footbridge Replacement</t>
  </si>
  <si>
    <t>Ben Savage / Philip Richardson</t>
  </si>
  <si>
    <t>DN329344</t>
  </si>
  <si>
    <t>King James - 6th Form block and car park works</t>
  </si>
  <si>
    <t>DN329338</t>
  </si>
  <si>
    <t>Selby CP School - 4 Class Nursery Extension (Foundation Unit)</t>
  </si>
  <si>
    <t>Stronger Communities Programme &amp; Investment Evaluation</t>
  </si>
  <si>
    <t>50+6</t>
  </si>
  <si>
    <t>Marie-Ann Jackson and Mark Taylor</t>
  </si>
  <si>
    <t>Rebecca Shenton</t>
  </si>
  <si>
    <t xml:space="preserve">Awarded to The Ideas Mine on 16th August. 50+6 months. Commencing 20th August - 19th October 2022. Can be moved on. </t>
  </si>
  <si>
    <t>DN353822</t>
  </si>
  <si>
    <t>Southend &amp; Ings Beck Footbridge Replacements</t>
  </si>
  <si>
    <t>Josh Calvert / Philip Richardson</t>
  </si>
  <si>
    <t>Recruitment Admin System (DBS Functionality)</t>
  </si>
  <si>
    <t>Natalie Coulson</t>
  </si>
  <si>
    <t>PROJECT COMPLETED
Links to Recruitment Admin System project.  This project is in relation to DBS functionality prior to launch of DBS national product called R1.</t>
  </si>
  <si>
    <t>Robert Ling confirmed that Gartner is utilised well across T&amp;C.</t>
  </si>
  <si>
    <t>IT Hardware Partner</t>
  </si>
  <si>
    <t>2+1+1+1</t>
  </si>
  <si>
    <t>Keren Wild / Nic Watters / Mike Pickering / Gordon Atkin</t>
  </si>
  <si>
    <t>PROJECT COMPLETED - please move to completed</t>
  </si>
  <si>
    <t>Contract extension signed off on SigningHub. 08/03/18</t>
  </si>
  <si>
    <t>Supply and Maintenance of SAN Virtual Tape Library</t>
  </si>
  <si>
    <t>108</t>
  </si>
  <si>
    <t xml:space="preserve">Service area undertaking development of 2020 documentation.
G1 &amp; G3 approved 28/03/18. Service area to issue PO. </t>
  </si>
  <si>
    <t xml:space="preserve">HSM devices </t>
  </si>
  <si>
    <t>Complete. Signed up for a 3 year contract using the NHS SBS IT framework.</t>
  </si>
  <si>
    <t>GRANT</t>
  </si>
  <si>
    <t>SEND Employment Grant</t>
  </si>
  <si>
    <t>Rebecca Ward</t>
  </si>
  <si>
    <t>GRANT - approved at CYPSLT APR18.</t>
  </si>
  <si>
    <t xml:space="preserve">Egress - secure email </t>
  </si>
  <si>
    <t>T&amp;C to review the performance and requirements to either 12 month rolling maintain with review in X years.  Three quotes received so no BVF required.</t>
  </si>
  <si>
    <t>Wisdom - provided by Daisy</t>
  </si>
  <si>
    <r>
      <t>Softcat have provided contract docs. Sent to service area.</t>
    </r>
    <r>
      <rPr>
        <sz val="11"/>
        <color rgb="FF00B050"/>
        <rFont val="Calibri"/>
        <family val="2"/>
        <scheme val="minor"/>
      </rPr>
      <t xml:space="preserve"> </t>
    </r>
    <r>
      <rPr>
        <b/>
        <sz val="11"/>
        <color rgb="FF00B050"/>
        <rFont val="Calibri"/>
        <family val="2"/>
        <scheme val="minor"/>
      </rPr>
      <t>Completed</t>
    </r>
  </si>
  <si>
    <t>Catering Traded Service Stock Ordering System (Cypad)</t>
  </si>
  <si>
    <t>Shaun Mancrief (Service) / Lorena Philips (T&amp;C)</t>
  </si>
  <si>
    <t>PROJECT COMPLETED
2020 Project ID 1947.  Also links to Catering Traded Service MI System project on FPP.
Contract commencement date: 01/09/18, Go-live date: 05/11/18.
Direct award from YPO framework agreement (684 Electronic Kitchen Management).</t>
  </si>
  <si>
    <t>Interactive Panels and Projectors including installation - Schools ICT</t>
  </si>
  <si>
    <t>YPO Own Framework</t>
  </si>
  <si>
    <t>Keren Wild/Nic Watters</t>
  </si>
  <si>
    <t>02/07/18</t>
  </si>
  <si>
    <t>Please move to completed.</t>
  </si>
  <si>
    <t>ICT/HAS</t>
  </si>
  <si>
    <t>Just Checking' Service - Activity monitoring services (hardware &amp; software)</t>
  </si>
  <si>
    <t>Avril Hunter/Jon Tilley</t>
  </si>
  <si>
    <t xml:space="preserve">Service area will be sending in a BVF. </t>
  </si>
  <si>
    <t>Adult Care Worker and Lead Adult Care Worker apprenticeships - EPA</t>
  </si>
  <si>
    <t>DR</t>
  </si>
  <si>
    <t>Ruth Egglestone</t>
  </si>
  <si>
    <t>Director's Recommendation approved.</t>
  </si>
  <si>
    <t>(CIPFA) Accountancy/Taxation Professional Level 7</t>
  </si>
  <si>
    <t xml:space="preserve">LEN Network Opportunities </t>
  </si>
  <si>
    <t>BVF completed and submitted.</t>
  </si>
  <si>
    <t>DN331392</t>
  </si>
  <si>
    <t>Area 4 Claxton R&amp;R</t>
  </si>
  <si>
    <t>A6068 Cowling Resurfacing</t>
  </si>
  <si>
    <t>Martin Garner</t>
  </si>
  <si>
    <t>DN354120</t>
  </si>
  <si>
    <t>Improvements to maintenance access at Killinghall Church of England Primary School</t>
  </si>
  <si>
    <t>Tom Mackay / RS</t>
  </si>
  <si>
    <t>Sherburn High - fire - temporary works</t>
  </si>
  <si>
    <t>Consultancy: District Heating feasibility study Stage 1. Heat Mapping, Stage 2. Energy Master Planning</t>
  </si>
  <si>
    <t>5+3</t>
  </si>
  <si>
    <t>Open Bid Grant</t>
  </si>
  <si>
    <t>Mark Rushworth</t>
  </si>
  <si>
    <t>Contract signed and customer satisfaction form completed.</t>
  </si>
  <si>
    <t>Various Leadership &amp; Management Apprenticeships</t>
  </si>
  <si>
    <t>LPP DPS</t>
  </si>
  <si>
    <t>Various Facilities Management Apprenticeships</t>
  </si>
  <si>
    <t>Various Hospitality &amp; Catering Apprenticeships</t>
  </si>
  <si>
    <t>Approved Mental Health Professionals Legal Update</t>
  </si>
  <si>
    <t>Contract uploaded to SigningHub</t>
  </si>
  <si>
    <t>The Forest School - Accommodation development (Extension and internal mods)</t>
  </si>
  <si>
    <t>Payments software (Potentially CORVID option)</t>
  </si>
  <si>
    <t>Natalie Coulson / Nicola Young</t>
  </si>
  <si>
    <t xml:space="preserve">Procurement closed - forward to Kirsten from a contract management perspective. </t>
  </si>
  <si>
    <t>DN350572</t>
  </si>
  <si>
    <t>Bond End Air Quality Scheme
Bond End Junction Improvement – Knaresborough (NPIF Scheme)</t>
  </si>
  <si>
    <t>DN355295</t>
  </si>
  <si>
    <t>Vegetation and Re-pointing Works at Burton in Lonsdale Bridge</t>
  </si>
  <si>
    <t>Josh Calvert</t>
  </si>
  <si>
    <t>DN360198</t>
  </si>
  <si>
    <t>Clapgate Bridge - General Repair</t>
  </si>
  <si>
    <t>DN356776</t>
  </si>
  <si>
    <t>Stephenson's Bridge Works</t>
  </si>
  <si>
    <t>DN347484</t>
  </si>
  <si>
    <t>Carriageway Resurfacing of Skipton on Swale Bridge</t>
  </si>
  <si>
    <t>DN333713</t>
  </si>
  <si>
    <t>Spa Bridge - Paint underside of bridge</t>
  </si>
  <si>
    <t>DN357973</t>
  </si>
  <si>
    <t>Harker Beck - Concrete invert/tree removal/parapet rebuild</t>
  </si>
  <si>
    <t>DN340136</t>
  </si>
  <si>
    <t>Kirby Misperton - Vehicle Wash</t>
  </si>
  <si>
    <t>Pensions Admin Support Services (GMP)</t>
  </si>
  <si>
    <r>
      <t>12</t>
    </r>
    <r>
      <rPr>
        <sz val="11"/>
        <color rgb="FFFF0000"/>
        <rFont val="Calibri"/>
        <family val="2"/>
        <scheme val="minor"/>
      </rPr>
      <t>+6</t>
    </r>
  </si>
  <si>
    <t xml:space="preserve"> Cannot be completed until Central Govt have issued some key info.  Therefore need to check contract term and this may be an extension required. After which will not be required moving forward. </t>
  </si>
  <si>
    <t>Pensions</t>
  </si>
  <si>
    <r>
      <t>Kofax - Document Manangement Centre scanning/</t>
    </r>
    <r>
      <rPr>
        <b/>
        <sz val="11"/>
        <rFont val="Calibri"/>
        <family val="2"/>
        <scheme val="minor"/>
      </rPr>
      <t>ePost</t>
    </r>
    <r>
      <rPr>
        <sz val="11"/>
        <rFont val="Calibri"/>
        <family val="2"/>
        <scheme val="minor"/>
      </rPr>
      <t xml:space="preserve"> - Mail Scanning</t>
    </r>
  </si>
  <si>
    <t>John Metcalfe (moving to Corp)</t>
  </si>
  <si>
    <r>
      <t xml:space="preserve">18/7 Confirmation of agreement to 12 month rolling not 3 yr contract , copy of t&amp;cs from original agreement received saved in folder - will be a need to review in 2019 to look for an ongoing provision past Sept 19 as there are other provider available - details sent to JM regarding notice periods etc . - </t>
    </r>
    <r>
      <rPr>
        <b/>
        <sz val="11"/>
        <rFont val="Calibri"/>
        <family val="2"/>
        <scheme val="minor"/>
      </rPr>
      <t>Complete</t>
    </r>
  </si>
  <si>
    <t>17600 &amp; £12800</t>
  </si>
  <si>
    <r>
      <t>48+</t>
    </r>
    <r>
      <rPr>
        <sz val="11"/>
        <color rgb="FFFF0000"/>
        <rFont val="Calibri"/>
        <family val="2"/>
        <scheme val="minor"/>
      </rPr>
      <t>12</t>
    </r>
  </si>
  <si>
    <t>John Metcalfe/CST/Nick Leggott</t>
  </si>
  <si>
    <t xml:space="preserve">Treasury Management Consultancy Services  </t>
  </si>
  <si>
    <r>
      <t>36+</t>
    </r>
    <r>
      <rPr>
        <sz val="11"/>
        <color rgb="FFFF0000"/>
        <rFont val="Calibri"/>
        <family val="2"/>
      </rPr>
      <t>24</t>
    </r>
  </si>
  <si>
    <t>Contracts register updated. Line to be moved to completed</t>
  </si>
  <si>
    <t>Payments software (currently provided by Bottomline)</t>
  </si>
  <si>
    <r>
      <t xml:space="preserve">Procurement support ended contract award  complete - possibe requirement for contract management advised project manager to ruquest support - </t>
    </r>
    <r>
      <rPr>
        <b/>
        <sz val="11"/>
        <rFont val="Calibri"/>
        <family val="2"/>
      </rPr>
      <t>Complete</t>
    </r>
  </si>
  <si>
    <r>
      <t xml:space="preserve"> best value </t>
    </r>
    <r>
      <rPr>
        <b/>
        <sz val="11"/>
        <rFont val="Calibri"/>
        <family val="2"/>
        <scheme val="minor"/>
      </rPr>
      <t>completed</t>
    </r>
  </si>
  <si>
    <t>BVF forwarded 11/11/17. Previous years via BVF £8394. Contract end 30/09/18.</t>
  </si>
  <si>
    <t>Nick Leggott / Silas Holland</t>
  </si>
  <si>
    <t>Agreed that a Best value form will be used for another years service while the service area undergo a review of the requirements. Service area to submit BVR form</t>
  </si>
  <si>
    <t>Data Hosting Solution - Currently Moodle</t>
  </si>
  <si>
    <t>Bev Thompson / Lorena Phillips</t>
  </si>
  <si>
    <t>Matt Clothier</t>
  </si>
  <si>
    <t>Alistair Gourlay has confirmed that they have entered into an rolling contract for a maximum of five years at £1,500 per year.  A best value form has been submitted.</t>
  </si>
  <si>
    <t>Chartered Manager Degree Apprenticeship</t>
  </si>
  <si>
    <t>DN357334</t>
  </si>
  <si>
    <t>Winterburn Bridge Arch Repairs</t>
  </si>
  <si>
    <t>DN357208</t>
  </si>
  <si>
    <t>Inghey River Aire</t>
  </si>
  <si>
    <t>Ben Savage / Phillip Richardson</t>
  </si>
  <si>
    <t>Area 1 - Framework 6 A6136 Richmond and Catterick Garrison</t>
  </si>
  <si>
    <t>Tony Elliott</t>
  </si>
  <si>
    <t xml:space="preserve">BALB Archaeological </t>
  </si>
  <si>
    <t>Colin Quinn
/ Mark Hugill</t>
  </si>
  <si>
    <t>DN498433</t>
  </si>
  <si>
    <t>Insurance (All Lots)</t>
  </si>
  <si>
    <t>Protector, RMP, Travelers</t>
  </si>
  <si>
    <t>Tender Via CCS/Broker</t>
  </si>
  <si>
    <t>1st year extension taken.1 further extensions available to tie in with insurance brokerage procurement and LGR</t>
  </si>
  <si>
    <t>Keiran confirmed the insurance renewal for 6 months to tie in with LGR, NK still waiting for renewal docs.</t>
  </si>
  <si>
    <r>
      <t>60+12+12+12+</t>
    </r>
    <r>
      <rPr>
        <b/>
        <sz val="11"/>
        <color rgb="FFFF0000"/>
        <rFont val="Calibri"/>
        <family val="2"/>
        <scheme val="minor"/>
      </rPr>
      <t>12</t>
    </r>
    <r>
      <rPr>
        <sz val="11"/>
        <rFont val="Calibri"/>
        <family val="2"/>
        <scheme val="minor"/>
      </rPr>
      <t xml:space="preserve"> +12 </t>
    </r>
  </si>
  <si>
    <t>Caitlin Bell (PM)/Dani Reeves</t>
  </si>
  <si>
    <t>Extension signed by all parties 27/07. Please move to completed.</t>
  </si>
  <si>
    <r>
      <t xml:space="preserve">SS Agreed BV approach , BV received a logged combined unix &amp; support for one year £14,279 in total. </t>
    </r>
    <r>
      <rPr>
        <b/>
        <sz val="11"/>
        <rFont val="Calibri"/>
        <family val="2"/>
      </rPr>
      <t>Completed</t>
    </r>
  </si>
  <si>
    <t>DN356802</t>
  </si>
  <si>
    <t>Kirkby Malham Bridge Widening Works</t>
  </si>
  <si>
    <t>Health and Safety Management System</t>
  </si>
  <si>
    <t>Stuart Langston (H&amp;S) / Chris Mandiville (PM)</t>
  </si>
  <si>
    <t>PROJECT COMPLETED
2020 Project ID 1053.  Contract commencement date: 01/11/18, Go-live date: 01/04/19.</t>
  </si>
  <si>
    <t xml:space="preserve">Angel Solution - Pendulum &amp; Broadcast &amp; Watchsted Inspector Additional Modules to be purchased. </t>
  </si>
  <si>
    <t>Extension Agreed -financial commitment given to supplier as per budget constraints.</t>
  </si>
  <si>
    <t>ICT/Fleet</t>
  </si>
  <si>
    <t>Vehicle Telematics</t>
  </si>
  <si>
    <t>Andrew Sharpin / Nick Leggott</t>
  </si>
  <si>
    <t>£169,200 (years 1-3)
£31,200 (year 4)
£31,200 (year 5)</t>
  </si>
  <si>
    <t>Approved by PAB, GW1/3 approved 20/06/18.  Access agreement send and received 15.10.18.</t>
  </si>
  <si>
    <t>Check with Alison on progress and dates update.</t>
  </si>
  <si>
    <t>Business Capital Grant Programme (Let's Grow)</t>
  </si>
  <si>
    <t>na</t>
  </si>
  <si>
    <t>Extension/variation agreement agreed and signed to 31/3/21.</t>
  </si>
  <si>
    <t xml:space="preserve">Selby town swing bridge-deck panels urgent/ emergency repair </t>
  </si>
  <si>
    <t>Andrew Wood</t>
  </si>
  <si>
    <t>Recruitment Admin System</t>
  </si>
  <si>
    <t>PROJECT COMPLETED
Contract commencement date: 05/11/18, Go-live date: 17/12/18.</t>
  </si>
  <si>
    <t>Schools; online payment system for school trips and meals</t>
  </si>
  <si>
    <t xml:space="preserve">Please move to completed. </t>
  </si>
  <si>
    <t xml:space="preserve">Regional Spend analysis tool </t>
  </si>
  <si>
    <r>
      <rPr>
        <b/>
        <sz val="11"/>
        <rFont val="Calibri"/>
        <family val="2"/>
      </rPr>
      <t xml:space="preserve">Joint support with Patricia. </t>
    </r>
    <r>
      <rPr>
        <sz val="11"/>
        <rFont val="Calibri"/>
        <family val="2"/>
      </rPr>
      <t>Porge awarded at 10% discount from last years cost. Discussion with NYES regarding payment.
Query on Illuminator module? Otherwise complete.</t>
    </r>
  </si>
  <si>
    <t>DN209541</t>
  </si>
  <si>
    <t>Traded Service Online Communications Platform (SLA Online, including Governor Module and Training Portal)</t>
  </si>
  <si>
    <t>16</t>
  </si>
  <si>
    <t>PROJECT COMPLETED
(£15,995.00 Main System, £3,995.00 Governor Module, £950.00 Training Portal)
All modules now end 31/03/2020.</t>
  </si>
  <si>
    <t>See notes for breakdown</t>
  </si>
  <si>
    <t>Metalogix SharePoint Content Matrix 6 &amp; control Point</t>
  </si>
  <si>
    <t>Awarded 28/08/19 for 3 years</t>
  </si>
  <si>
    <t>Infrastructure Systems</t>
  </si>
  <si>
    <t>MERGED</t>
  </si>
  <si>
    <t>Works 
(Originally part of ProcureOne)</t>
  </si>
  <si>
    <t>Corporate Travel and Accommodation</t>
  </si>
  <si>
    <t>12+15</t>
  </si>
  <si>
    <t>Helen Jespersen/Graham Millichap</t>
  </si>
  <si>
    <t>CTM stating earliest go live date is mid-February, KL challenging. Implementation training sessions booked. Capita extended to 01/03</t>
  </si>
  <si>
    <t>DN336239</t>
  </si>
  <si>
    <t>Extra Care Housing - Bentham</t>
  </si>
  <si>
    <t>Already awarded scheme</t>
  </si>
  <si>
    <t>DN361041</t>
  </si>
  <si>
    <t>Extra Care Housing - Helmsley</t>
  </si>
  <si>
    <t>DN361809</t>
  </si>
  <si>
    <t>Extra Care Housing - Skipton</t>
  </si>
  <si>
    <t xml:space="preserve">Clothing </t>
  </si>
  <si>
    <t>Workwear</t>
  </si>
  <si>
    <t>Becky Naisbitt / Graham Millichap</t>
  </si>
  <si>
    <t xml:space="preserve">Closed on 2nd January.  1 bid - consensus sessions held. GW3 requires drafting up following confirmation on self cert points of the SQ. </t>
  </si>
  <si>
    <t>AP Forensics - Accounts Payable Financial Solution (Call off AP Framework)</t>
  </si>
  <si>
    <t>Natalie Coulson / Katherine Edge</t>
  </si>
  <si>
    <t xml:space="preserve">Vmware licences for Vsphere, Virtual Centre &amp; SRM  </t>
  </si>
  <si>
    <t>Awarded to Software Box Ltd via CCS Tech 2 Framework.
Contract fully signed. COMPLETED</t>
  </si>
  <si>
    <t>3 year cost</t>
  </si>
  <si>
    <t>Password Self Provisioning - Courion</t>
  </si>
  <si>
    <t>Check if this has been completed.</t>
  </si>
  <si>
    <t xml:space="preserve">Community resource software for volunteers </t>
  </si>
  <si>
    <t>Sunrise (Sostenuto System)</t>
  </si>
  <si>
    <t>Silas Holland/Wendy Rowley</t>
  </si>
  <si>
    <t>New contract for 12 months to be awarded to Sunrise after the completion of a best value form.</t>
  </si>
  <si>
    <t>LANDesk (Ivanti (Softcat)</t>
  </si>
  <si>
    <t>New contract for 12 months to be awarded to Ivanti through a direct award to Softcat.</t>
  </si>
  <si>
    <t>Spectrum Spatail Analyst: License: £40,000Data Subscription: £8000 per annum maint &amp; support</t>
  </si>
  <si>
    <t>Direct awarded to CDS (Pitney Bowes re-seller)</t>
  </si>
  <si>
    <t>John Metcalfe/Nick Leggott</t>
  </si>
  <si>
    <t>15/3 - refused to sign extension document SS aware - license to continue with no extension doc - enforced notice period dates on nick leggot &amp; john metcalfe</t>
  </si>
  <si>
    <t>The Provision of Printed Cheques</t>
  </si>
  <si>
    <r>
      <t>36+</t>
    </r>
    <r>
      <rPr>
        <sz val="11"/>
        <color rgb="FFFF0000"/>
        <rFont val="Calibri"/>
        <family val="2"/>
        <scheme val="minor"/>
      </rPr>
      <t>24</t>
    </r>
  </si>
  <si>
    <t>Paul Lambert</t>
  </si>
  <si>
    <r>
      <t>Variation &amp; Extension agreement all signed off.</t>
    </r>
    <r>
      <rPr>
        <sz val="11"/>
        <color rgb="FF00B050"/>
        <rFont val="Calibri"/>
        <family val="2"/>
        <scheme val="minor"/>
      </rPr>
      <t xml:space="preserve"> </t>
    </r>
    <r>
      <rPr>
        <b/>
        <sz val="11"/>
        <color rgb="FF00B050"/>
        <rFont val="Calibri"/>
        <family val="2"/>
        <scheme val="minor"/>
      </rPr>
      <t>Completed</t>
    </r>
    <r>
      <rPr>
        <b/>
        <sz val="11"/>
        <color rgb="FFFF0000"/>
        <rFont val="Calibri"/>
        <family val="2"/>
        <scheme val="minor"/>
      </rPr>
      <t xml:space="preserve"> </t>
    </r>
  </si>
  <si>
    <t>BVF completed</t>
  </si>
  <si>
    <t>Flood risk consultant - Feasibility study</t>
  </si>
  <si>
    <t xml:space="preserve">Emily Mellalieu </t>
  </si>
  <si>
    <t>Appointed WSP. Complete.</t>
  </si>
  <si>
    <r>
      <t xml:space="preserve">SS Agreed BV approach , BV received a logged combined unix &amp; support for one year £14,279 in total. </t>
    </r>
    <r>
      <rPr>
        <b/>
        <sz val="11"/>
        <rFont val="Calibri"/>
        <family val="2"/>
        <scheme val="minor"/>
      </rPr>
      <t>Completed</t>
    </r>
  </si>
  <si>
    <r>
      <t>34+</t>
    </r>
    <r>
      <rPr>
        <sz val="11"/>
        <color rgb="FFFF0000"/>
        <rFont val="Calibri"/>
        <family val="2"/>
        <scheme val="minor"/>
      </rPr>
      <t>24</t>
    </r>
  </si>
  <si>
    <t>Fiona Sowerby/Louise Gigante</t>
  </si>
  <si>
    <t>Contract extension / variation from 01/01/19 - 30/12/20.</t>
  </si>
  <si>
    <t>Payments software (KORVID option)</t>
  </si>
  <si>
    <r>
      <t>Sourced new system via g-cloud Corvid , g-cloud document signed off by both sides , PO issued by MB , Customer benefit record sent to CCS-</t>
    </r>
    <r>
      <rPr>
        <b/>
        <sz val="11"/>
        <rFont val="Calibri"/>
        <family val="2"/>
      </rPr>
      <t>Completed -DN418721</t>
    </r>
  </si>
  <si>
    <t>Care Leadership and Management Apprenticeship</t>
  </si>
  <si>
    <t>DPS - Call off</t>
  </si>
  <si>
    <t>Can be moved to completed.</t>
  </si>
  <si>
    <t>HR Consultant/Partner Apprenticeship</t>
  </si>
  <si>
    <t>Recruitment Consultant &amp; Recruitment Resourcer Apprenticeship</t>
  </si>
  <si>
    <t>DN366249</t>
  </si>
  <si>
    <t>Ainsty Road - Demolition of offices</t>
  </si>
  <si>
    <t>Paula McLean / HH</t>
  </si>
  <si>
    <t>DN196365</t>
  </si>
  <si>
    <t xml:space="preserve">Area 3 Cat 3,4,5 Eastfield Footway R&amp;R </t>
  </si>
  <si>
    <t>Hannah Benson</t>
  </si>
  <si>
    <t>DN366322</t>
  </si>
  <si>
    <t xml:space="preserve">Supply and Installation of 4G/LTE mobile communications infrastructure </t>
  </si>
  <si>
    <t>13+24+24</t>
  </si>
  <si>
    <t>Bridges and Structures Asset Management Software (AMX)</t>
  </si>
  <si>
    <t>Silas Holland / Karen Wilson / John D Smith</t>
  </si>
  <si>
    <t>Call-off Contract signed off and G-Cloud record form completed and returned.</t>
  </si>
  <si>
    <t xml:space="preserve">Please move to completed </t>
  </si>
  <si>
    <t xml:space="preserve">DN372568 </t>
  </si>
  <si>
    <r>
      <t>Middle Deepdale new primary school -</t>
    </r>
    <r>
      <rPr>
        <b/>
        <sz val="10"/>
        <color rgb="FFFF0000"/>
        <rFont val="Arial"/>
        <family val="2"/>
      </rPr>
      <t xml:space="preserve"> Abandoned</t>
    </r>
  </si>
  <si>
    <t>Property Service</t>
  </si>
  <si>
    <t>DN375266</t>
  </si>
  <si>
    <t>Single view of Child Solution</t>
  </si>
  <si>
    <t>Claire Cooper</t>
  </si>
  <si>
    <r>
      <t xml:space="preserve">Awarded. </t>
    </r>
    <r>
      <rPr>
        <sz val="11"/>
        <rFont val="Calibri"/>
        <family val="2"/>
      </rPr>
      <t xml:space="preserve">YORtender record needs to be updated before closing.
Contracts signed. Contract due to be handed to supplier when on site visit. </t>
    </r>
  </si>
  <si>
    <r>
      <t>12+</t>
    </r>
    <r>
      <rPr>
        <sz val="11"/>
        <color rgb="FFFF0000"/>
        <rFont val="Calibri"/>
        <family val="2"/>
        <scheme val="minor"/>
      </rPr>
      <t>14</t>
    </r>
  </si>
  <si>
    <t xml:space="preserve">Contract fully signed </t>
  </si>
  <si>
    <t>DN440299</t>
  </si>
  <si>
    <r>
      <t xml:space="preserve">Area 6 19/20 Package
</t>
    </r>
    <r>
      <rPr>
        <i/>
        <sz val="10"/>
        <rFont val="Arial"/>
        <family val="2"/>
      </rPr>
      <t>Includes Skelton Lane, Ellstring &amp; Fearby, Bishop Thornton, Thornthwaite</t>
    </r>
  </si>
  <si>
    <t>Highways &amp; Transportation</t>
  </si>
  <si>
    <t>DN498159</t>
  </si>
  <si>
    <t>Landline Telephony</t>
  </si>
  <si>
    <t>Daisy</t>
  </si>
  <si>
    <t>1 year</t>
  </si>
  <si>
    <t>12 month Available extension taken and recorded</t>
  </si>
  <si>
    <t>DN388022</t>
  </si>
  <si>
    <t>Pickering Bridge (397) Arch Repair</t>
  </si>
  <si>
    <t>Philip Richardson</t>
  </si>
  <si>
    <t>DN389665</t>
  </si>
  <si>
    <t>Spital (Old) Bridge - Stone repairs, repointing, concrete invert repairs</t>
  </si>
  <si>
    <t>DN374927</t>
  </si>
  <si>
    <t>Malton Community Primary School - Extension for the provision of a new hygiene room</t>
  </si>
  <si>
    <t>Paula McLean / MA</t>
  </si>
  <si>
    <t>DN364313</t>
  </si>
  <si>
    <t>Provision of new Data Centre at County Hall</t>
  </si>
  <si>
    <t>Paula McLean / CG</t>
  </si>
  <si>
    <r>
      <t>12+12+12+12+</t>
    </r>
    <r>
      <rPr>
        <sz val="11"/>
        <color rgb="FFFF0000"/>
        <rFont val="Calibri"/>
        <family val="2"/>
        <scheme val="minor"/>
      </rPr>
      <t>12</t>
    </r>
  </si>
  <si>
    <t>Supplied by Axial.
PO raised by Gavin for 12-month renewal of the annual maintenance and licencing for the period 26/02/18 - 25/02/19 at £4,650.00.  Unsure of the original contract period or whole life costs; however it appears to have been in place since at least 26/02/15.  Unable to obtain further financial breakdown for this service, due to lack of information.  Gavin has confirmed via email that this will be needed as from 26/02/19.  (10/05/18 GP) 
£14470</t>
  </si>
  <si>
    <t>Education case management system - Servelec (previously Tribal/Synergy)</t>
  </si>
  <si>
    <t>Chris Dale/Katie Longstaff</t>
  </si>
  <si>
    <t>Extension Agreed - paperwork to be completed by CD-Completed</t>
  </si>
  <si>
    <t>Electoral Registration and Election Management System Maintenance</t>
  </si>
  <si>
    <t>Exemption in place until December 2022. To be reviewed. Contract renewed on annual basis Feb. One final  renewal to take from Feb 2023. Jo to see requirements for LGR</t>
  </si>
  <si>
    <t>Gantries for HWRCS</t>
  </si>
  <si>
    <t>Area 6 Southfield Lane, Tockwith R&amp;R</t>
  </si>
  <si>
    <t>DN386580</t>
  </si>
  <si>
    <t>Area 6 Harrogate Tender</t>
  </si>
  <si>
    <t>Melisa Burnham</t>
  </si>
  <si>
    <t>DN387700</t>
  </si>
  <si>
    <t>Harrogate EPH - refurb of dementia unit and respite care</t>
  </si>
  <si>
    <t>Paula McLean / RS</t>
  </si>
  <si>
    <t xml:space="preserve">Construction Works &amp; Planned Maintenance </t>
  </si>
  <si>
    <t>DN377530</t>
  </si>
  <si>
    <t>Area 7 A645 Hensall R&amp;R</t>
  </si>
  <si>
    <t>DN380560</t>
  </si>
  <si>
    <t>Classroom Extension at Burton Salmon Community Primary School</t>
  </si>
  <si>
    <t>Malton Emergency Pumping</t>
  </si>
  <si>
    <t>Not required</t>
  </si>
  <si>
    <t>Voice Data Network Maintenance</t>
  </si>
  <si>
    <t>North Yorkshire County Council</t>
  </si>
  <si>
    <t>SLA</t>
  </si>
  <si>
    <t>SLA renewed to 31/03/2023</t>
  </si>
  <si>
    <t>Directors reccomendation completed on the basis that software they offer is unique. Signed off for 12+12+12</t>
  </si>
  <si>
    <t/>
  </si>
  <si>
    <t>Area 6 A61 Station Parade</t>
  </si>
  <si>
    <t>Area 6 A661 Wetherby Road</t>
  </si>
  <si>
    <t>Area 6 B6162 Otley Road</t>
  </si>
  <si>
    <t>DN389184</t>
  </si>
  <si>
    <t>Thirsk Road Subway - Repainting &amp; Drainage Repair</t>
  </si>
  <si>
    <t>DN391122</t>
  </si>
  <si>
    <t xml:space="preserve">Area 6 Palace Road Ripon R&amp;R </t>
  </si>
  <si>
    <t>Melisa Burnham / Stephanie Deuchars (wsp)</t>
  </si>
  <si>
    <t>DN376153</t>
  </si>
  <si>
    <t>ICT/Insurance</t>
  </si>
  <si>
    <t>Insurance Claims and Risk Management System (Currently DWF 3sixty)</t>
  </si>
  <si>
    <r>
      <t>24+</t>
    </r>
    <r>
      <rPr>
        <sz val="11"/>
        <color rgb="FFFF0000"/>
        <rFont val="Calibri"/>
        <family val="2"/>
        <scheme val="minor"/>
      </rPr>
      <t>24</t>
    </r>
    <r>
      <rPr>
        <sz val="11"/>
        <rFont val="Calibri"/>
        <family val="2"/>
        <scheme val="minor"/>
      </rPr>
      <t>+24+24</t>
    </r>
  </si>
  <si>
    <t>Karen Wilson</t>
  </si>
  <si>
    <t xml:space="preserve">Extension issued for 24 months and signed off by supplier. End date 5th March 2021. Amended on YorTender record. </t>
  </si>
  <si>
    <t>DN378833</t>
  </si>
  <si>
    <t>A63 River Ouse Swing Bridge Maintenance Contract</t>
  </si>
  <si>
    <t>DN391012</t>
  </si>
  <si>
    <t>Bishopton - River Bed Scour and Invert Repair</t>
  </si>
  <si>
    <t>DN392035</t>
  </si>
  <si>
    <t>Masham Great - Resurfacing</t>
  </si>
  <si>
    <t>DN374925</t>
  </si>
  <si>
    <t>Skipton Water Street - Internal refurbishment for the provision of new toilets and external alteration works</t>
  </si>
  <si>
    <t>Wide Area Network (WAN) - Corporate</t>
  </si>
  <si>
    <t>Currently provided by NYnet.  Potentially no procurement required if continue to use NYnet.  This project links in with the WAN - Schools project above. 
Jon Learoyd has been liaising with YHPSN in relation to benchmarking costings.  Report will then be produced for Management Board as to next steps.</t>
  </si>
  <si>
    <t>DN421262</t>
  </si>
  <si>
    <t>Corporate CRM (Customer Relationship Management) System (2020 PMO Ref: 2293)
(currently Lagan, provided by Verint - contract with Boxxe as a re-seller)</t>
  </si>
  <si>
    <t>Already awarded</t>
  </si>
  <si>
    <t>Already awarded via KCS Framework.  Sign-off was delayed due to inclusion of wording for onboarding for other councils which is now resolved.</t>
  </si>
  <si>
    <t>Lorena Phillips / Jackie Ridley</t>
  </si>
  <si>
    <t>Completed - 1 year contract through the KCS framework - extension is dependant on Project Kairos decision - potential to end and move functionality to Servelec. MC forwarded latest update 0300718</t>
  </si>
  <si>
    <t>DN383274</t>
  </si>
  <si>
    <t>Wide Area Network (WAN) - Schools</t>
  </si>
  <si>
    <t xml:space="preserve">Decision has been made, NYNET, Legal and SCHICT to work out SLA. </t>
  </si>
  <si>
    <t>Translation and Intepretation Services</t>
  </si>
  <si>
    <t>Janice Nicholson, Deborah Hugill, Shanna Carrell</t>
  </si>
  <si>
    <t>Contracts to be drafted 1st April. Hold up due to obtaining GDPR schedules and obtaining assuranses over provider HPPS:// portals.   Once contracts are drafted Veritau require sight before they go on signing hub as they are deemed high risk.  Jen Holbird is aware of this and raising as a wider discussion point with auditors</t>
  </si>
  <si>
    <t>DN233377</t>
  </si>
  <si>
    <t xml:space="preserve">Guidance document re-sent to service area and has been approved for circulation. </t>
  </si>
  <si>
    <t>Adult Learning System</t>
  </si>
  <si>
    <t>The final agreement has been signed and the project is now complete.</t>
  </si>
  <si>
    <t>DN398545</t>
  </si>
  <si>
    <t>Internet Filtering for Schools (Currently Smoothwall Product via Softcat)</t>
  </si>
  <si>
    <t>Smoothwall Product via Softcat.  Price accepted and PO raised by Joel Sanders.
Whole life cost is based on number of boxes pruchased via PO in 2018.  Keren advised that the contract is for 3 years.  If we wish to extend, we would have to negotiate extended warranty and support on the boxes that are now in place.</t>
  </si>
  <si>
    <t xml:space="preserve">DN325928 </t>
  </si>
  <si>
    <t>ICT/Transport</t>
  </si>
  <si>
    <t>Concessionary Fares Host Operator Processing System (HOPS) Back Office Function</t>
  </si>
  <si>
    <t>Cathy Summers</t>
  </si>
  <si>
    <t>PROJECT COMPLETED
Contract variation completed to tie in with other ENCTS services to co-terminate together.
Variation on Signing Hub - with supplier for signature.</t>
  </si>
  <si>
    <t>Arboriculture services (currently multi supplier framework)</t>
  </si>
  <si>
    <r>
      <t>36+</t>
    </r>
    <r>
      <rPr>
        <sz val="11"/>
        <color rgb="FFFF0000"/>
        <rFont val="Calibri"/>
        <family val="2"/>
        <scheme val="minor"/>
      </rPr>
      <t>12</t>
    </r>
  </si>
  <si>
    <t>Helen Arnold</t>
  </si>
  <si>
    <t>G4 Signed off. Extensions awaiting to be signed off (Split into lots) -VM emailed Jayne to find out if any work is still to be completed on this or if its signed and completed. 08.01.2020 Final 6 month extension signed off until 31st March 2020. Find out more in Prof FPP meeting 10.01 This is being re-procured and no longer an extension piece of work</t>
  </si>
  <si>
    <t>Washroom services</t>
  </si>
  <si>
    <t>Contract in draft. Awaiting full scope of services from PHS.</t>
  </si>
  <si>
    <t>10+3+2</t>
  </si>
  <si>
    <t>GW4 has been approved.  Ally helped to arrange the contract extension. Completed.</t>
  </si>
  <si>
    <t>DN195921</t>
  </si>
  <si>
    <r>
      <t xml:space="preserve">Local Bus Service </t>
    </r>
    <r>
      <rPr>
        <sz val="11"/>
        <color theme="1"/>
        <rFont val="Calibri"/>
        <family val="2"/>
      </rPr>
      <t xml:space="preserve">- </t>
    </r>
    <r>
      <rPr>
        <u/>
        <sz val="11"/>
        <color theme="1"/>
        <rFont val="Calibri"/>
        <family val="2"/>
      </rPr>
      <t>Harrogate, Hambleton &amp; Richmondshire Area</t>
    </r>
    <r>
      <rPr>
        <sz val="11"/>
        <color theme="1"/>
        <rFont val="Calibri"/>
        <family val="2"/>
      </rPr>
      <t xml:space="preserve"> - Home to School Transport Review - </t>
    </r>
    <r>
      <rPr>
        <u/>
        <sz val="11"/>
        <color theme="1"/>
        <rFont val="Calibri"/>
        <family val="2"/>
      </rPr>
      <t>Harrogate &amp; Richmondshire Area</t>
    </r>
  </si>
  <si>
    <t>PROJECT COMPLETED
Likely to be procured under DPS in the future.</t>
  </si>
  <si>
    <t>Nick Horn/ Jen Cave</t>
  </si>
  <si>
    <r>
      <rPr>
        <sz val="11"/>
        <color rgb="FF000000"/>
        <rFont val="Calibri"/>
        <family val="2"/>
      </rPr>
      <t xml:space="preserve">G-cloud Doc signed off - </t>
    </r>
    <r>
      <rPr>
        <b/>
        <sz val="11"/>
        <color rgb="FF000000"/>
        <rFont val="Calibri"/>
        <family val="2"/>
      </rPr>
      <t>Completed -Published on Register DN418717</t>
    </r>
  </si>
  <si>
    <t>Library desktop booking system</t>
  </si>
  <si>
    <t>Nick Leggott/Chrys Mellor</t>
  </si>
  <si>
    <t>DR Approved.</t>
  </si>
  <si>
    <t>Library Kiosks - 2088 Public Use of IT Provision</t>
  </si>
  <si>
    <t>84+24+12</t>
  </si>
  <si>
    <t>Nicola Young</t>
  </si>
  <si>
    <t xml:space="preserve">Contract signed, contract on contract register, no further action required. </t>
  </si>
  <si>
    <t>Technical and Planning Advisor for Waste (Currently Jacobs)</t>
  </si>
  <si>
    <t>Suzanne Williamson / Lisa Cooper</t>
  </si>
  <si>
    <t>Additional 4 month contract issued. Project to be merged in to highways consultancy.</t>
  </si>
  <si>
    <t>DN201276</t>
  </si>
  <si>
    <t>Public Network Computers  - 2088 Public Use of IT Provision</t>
  </si>
  <si>
    <t>Procured through Insight (NYCCs hardware partner) . Purchased hard drive + touch screen monitors. 335 PNs puchased consisting of;. 
Single Unit for PC: £375, Lenovo Monitor: £165 
Will need replacing in 5 years - to look at procurement 4 years from now.</t>
  </si>
  <si>
    <t>Awarded 01/04/20.</t>
  </si>
  <si>
    <r>
      <t>03.01.2020 -</t>
    </r>
    <r>
      <rPr>
        <sz val="11"/>
        <color rgb="FFFF0000"/>
        <rFont val="Calibri"/>
        <family val="2"/>
        <scheme val="minor"/>
      </rPr>
      <t xml:space="preserve"> Emma ca</t>
    </r>
    <r>
      <rPr>
        <sz val="11"/>
        <rFont val="Calibri"/>
        <family val="2"/>
        <scheme val="minor"/>
      </rPr>
      <t xml:space="preserve">n you chase up with the commissioner to see if this is complete? Spoken to Paul today (27/9), he anticipates doing this next week. </t>
    </r>
  </si>
  <si>
    <t>Nick Leggott / Silas Holland / Karen Wilson / Ritch Bain</t>
  </si>
  <si>
    <r>
      <rPr>
        <sz val="11"/>
        <color rgb="FF000000"/>
        <rFont val="Calibri"/>
        <family val="2"/>
      </rPr>
      <t xml:space="preserve">(15/3) BVF form completed. Last opportunity to extend, new procurement must be undertaken for system next financial year. Can be sourced through LASA RM1059 Framework.
(1/2) Advised Ritch to complete BVF. Last opportunity for extension and new procurement must be undertaken for system next financial year. Can be sourced through LASA RM1059 Framework.
(10/01) Spoken to Ritch Bain who has provided further information about the system. The contract has been in place for at least 15 years and has been renewed on an annual basis. Expires 31st March 2019. Annual cost for 19/20 is £20,500 (18/19 cost ~£20k - RPI increase each year). The Council purchase approximately 20 licences. The system is being upgraded and Ritch believes it is likely that the service area will be migrated from 'old flare' to 'new flare' in Q3 19/20. This may result in a pricing change in subsequent years as the system becomes modular. Service area note that this is a niche system with limited systems and providers in the market. Feedback and soft market intelligence suggests that the other available systems on the market are more style than substance. Nick Leggott confirmed that this system is being onboarded by T&amp;C.  
(20/12) Responsible officers unaware of this project. Talis and Netloan system renewals were suggested but the values and timescales did not fit. Hans suggested this was the Civica APP system used by Trading Standards. Hans had worked with Ritch Bain in 2015 resulting in a decision to keep the existing system at a cost of £19,175 p.a. 
</t>
    </r>
    <r>
      <rPr>
        <b/>
        <sz val="11"/>
        <color rgb="FF000000"/>
        <rFont val="Calibri"/>
        <family val="2"/>
      </rPr>
      <t xml:space="preserve">Queried with Ritch and Hans 19/07/2017. Contract has been in place since 2000? Paper completed by Hans 2015 on the options - this needs revisiting. </t>
    </r>
    <r>
      <rPr>
        <sz val="11"/>
        <color rgb="FF000000"/>
        <rFont val="Calibri"/>
        <family val="2"/>
      </rPr>
      <t>Need to confirm the start date, believe this is purchased through G-cloud on a 1+1 basis. Some work carried out by Hans in 2015. Possible negotiation point on a longer term agreement. Assigned 15/02/18</t>
    </r>
  </si>
  <si>
    <t>Case Management System - Aspire</t>
  </si>
  <si>
    <t>Lorena Phillips/Jackie Ridley</t>
  </si>
  <si>
    <t>Cloud Backup for Schools</t>
  </si>
  <si>
    <t>Nic Watters</t>
  </si>
  <si>
    <t>DN395459</t>
  </si>
  <si>
    <t xml:space="preserve">Case Management System - Currently Careworks </t>
  </si>
  <si>
    <t xml:space="preserve">Altia Workstation &amp; Toolbar (Altia FIT) </t>
  </si>
  <si>
    <t>Ritch Bain</t>
  </si>
  <si>
    <t>(7/2) Best value form completed. Extended for a further year. Further extensions available within BV threshold. 
(10/01) Advised Ritch to complete a Best Value Form, as, despite the long term nature of the existing service delivery, the value still falls well below the best value threshold. Ritch will then use PO as the basis for the contract. Advised that Ritch seeks a longer term, potentially with breaks. Ritch will liaise with Altia about freezing the price offered in 19/20 (£640) for future years. 
(20/12) Contract been in place in excess of 10 years (prior to Ritch working for NYCC so exact start date unknown). Annual renewal. Ritch put it through P2P in 18/19 (REQ 4239) which became purchase order 13703. Service area satisfied with product and supplier and believe the market to be limited as the software is niche. Longer term issues include switching to thin client (requiring a new licence) and expanding team (requiring additional licences), however, current arrangements are fine for straight renewal. 
(14/12) Initial contact. Awaiting response from Service Area. 
No information provided.</t>
  </si>
  <si>
    <t>DN395452</t>
  </si>
  <si>
    <t>DR signed off by GF. PO has been sent off to OUP for £14,011. PO has been saved in folder</t>
  </si>
  <si>
    <t>DN391145</t>
  </si>
  <si>
    <t xml:space="preserve">Research </t>
  </si>
  <si>
    <t>Open Skipton - Active Travel</t>
  </si>
  <si>
    <t>Caroline Wilkinson</t>
  </si>
  <si>
    <t xml:space="preserve">Service area have taken the decision to award to WSP through the BES framework. No further action required at this time. </t>
  </si>
  <si>
    <t>DN375035</t>
  </si>
  <si>
    <t>Smoking Cessation System</t>
  </si>
  <si>
    <t>Christina Rushworth (PM) / Mark Dixon</t>
  </si>
  <si>
    <t>Project ID 2262. Project completed, please move to completed</t>
  </si>
  <si>
    <t>Year 1: £14,175
Year 2: £8,962.50</t>
  </si>
  <si>
    <t xml:space="preserve"> DN356328</t>
  </si>
  <si>
    <t xml:space="preserve">Grounds </t>
  </si>
  <si>
    <t>Grounds Maintenance Contract - Area 3&amp;4 Harrogate/Craven and Selby</t>
  </si>
  <si>
    <r>
      <t>36+</t>
    </r>
    <r>
      <rPr>
        <sz val="11"/>
        <color rgb="FFFF0000"/>
        <rFont val="Calibri"/>
        <family val="2"/>
      </rPr>
      <t>6+6</t>
    </r>
  </si>
  <si>
    <t xml:space="preserve">Completed - Extension Signed </t>
  </si>
  <si>
    <t>Virtual school OOA attendance (Currently Welfare Call)</t>
  </si>
  <si>
    <t>Julie Bunn</t>
  </si>
  <si>
    <t>This has been put on to the Contracts Register - DN417538</t>
  </si>
  <si>
    <t>yes</t>
  </si>
  <si>
    <t>N/A - YPO Portal
NYCC - Contract Ref DN408191</t>
  </si>
  <si>
    <t>Water Retail Services (De-regulation of water)</t>
  </si>
  <si>
    <t>Kristina Peat</t>
  </si>
  <si>
    <t>DN377501</t>
  </si>
  <si>
    <t>Internal alterations, entrance extension and new access ramp at Fylingdales</t>
  </si>
  <si>
    <t>DN374928</t>
  </si>
  <si>
    <t>Kirby Malzeard new car park and improvements to existing car park - Extension for the provision of a new hygiene room</t>
  </si>
  <si>
    <t>DN377499</t>
  </si>
  <si>
    <t>Internal alterations, car park improvements and external works at Nidd House</t>
  </si>
  <si>
    <t>HMC2012 - Gate 4</t>
  </si>
  <si>
    <t>72-12-12-12-12</t>
  </si>
  <si>
    <t xml:space="preserve">supply of Tyres for Heavy and Light Commercial Fleet vehicles </t>
  </si>
  <si>
    <t>T Elsey Tyres LTD</t>
  </si>
  <si>
    <t>Chris Granger</t>
  </si>
  <si>
    <t>Service area seeking exception to extend current agreement. NK chased up legal support on this 22.02.2022</t>
  </si>
  <si>
    <t>DN396512</t>
  </si>
  <si>
    <r>
      <t>2+</t>
    </r>
    <r>
      <rPr>
        <sz val="11"/>
        <color rgb="FFFF0000"/>
        <rFont val="Calibri"/>
        <family val="2"/>
        <scheme val="minor"/>
      </rPr>
      <t>1</t>
    </r>
    <r>
      <rPr>
        <sz val="11"/>
        <rFont val="Calibri"/>
        <family val="2"/>
        <scheme val="minor"/>
      </rPr>
      <t>+1</t>
    </r>
  </si>
  <si>
    <t>Completed by the service area.</t>
  </si>
  <si>
    <t xml:space="preserve">Property service work scheduling system (Concerto) </t>
  </si>
  <si>
    <t>Silas Holland/Nick Leggott</t>
  </si>
  <si>
    <t>Call-off contract signed and YORtender recorded updated.</t>
  </si>
  <si>
    <t>DN398363</t>
  </si>
  <si>
    <r>
      <t>Area 6 A61 Ripon Road, Killinghall R&amp;R</t>
    </r>
    <r>
      <rPr>
        <i/>
        <sz val="10"/>
        <color rgb="FFFF0000"/>
        <rFont val="Arial"/>
        <family val="2"/>
      </rPr>
      <t/>
    </r>
  </si>
  <si>
    <r>
      <t>12+12+12+12+12+12+</t>
    </r>
    <r>
      <rPr>
        <sz val="11"/>
        <color rgb="FFFF0000"/>
        <rFont val="Calibri"/>
        <family val="2"/>
        <scheme val="minor"/>
      </rPr>
      <t>12</t>
    </r>
  </si>
  <si>
    <t xml:space="preserve">(17/1) Best value form submitted by Gavin. Extension for a further year. Scope for further extensions within best value threshold. 
(11/1) Maintenance contract in place since April 2013. Annual cost of £2,500.    </t>
  </si>
  <si>
    <t>DN395338</t>
  </si>
  <si>
    <t xml:space="preserve">Gavin has completed a BV form for this. </t>
  </si>
  <si>
    <t>Marketing</t>
  </si>
  <si>
    <t>Advertising Campaign Harrogate Congestion</t>
  </si>
  <si>
    <t>12 weeks</t>
  </si>
  <si>
    <t>DN374924</t>
  </si>
  <si>
    <t>Nawton Community Primary School -  Double classroom building</t>
  </si>
  <si>
    <t>DN384581</t>
  </si>
  <si>
    <t>Cliffe VC Primary School – Classroom Extension</t>
  </si>
  <si>
    <t>DN374915</t>
  </si>
  <si>
    <t>Wavell Infant School - Double PCU replacement and associated external works</t>
  </si>
  <si>
    <t>DN385468</t>
  </si>
  <si>
    <t>Sherburn Hungate - Enabling works</t>
  </si>
  <si>
    <t>DN402326</t>
  </si>
  <si>
    <t xml:space="preserve">(17/4) 1 year extension placed with Softbox. Service area reviewing the solution. Potential to procure something new from next year.  
(8/2) Steve seeking three quotes on the basis of 1 or 3 year contract length. 
(1/2) Contract started in 2011. Advised Steve to complete a BVF. </t>
  </si>
  <si>
    <t>DN350101</t>
  </si>
  <si>
    <t>Corporate Grants Solution (currently Flexigrants)</t>
  </si>
  <si>
    <r>
      <t>Published on contracts register -</t>
    </r>
    <r>
      <rPr>
        <b/>
        <sz val="11"/>
        <rFont val="Calibri"/>
        <family val="2"/>
      </rPr>
      <t xml:space="preserve">Complete </t>
    </r>
  </si>
  <si>
    <t>Investment Viability Report</t>
  </si>
  <si>
    <t>2</t>
  </si>
  <si>
    <t>BVF completed.</t>
  </si>
  <si>
    <t xml:space="preserve">Fenestration (windows &amp; cladding) </t>
  </si>
  <si>
    <t>Roofing (flat &amp; pitched)</t>
  </si>
  <si>
    <t>Small Works</t>
  </si>
  <si>
    <t>see Works too</t>
  </si>
  <si>
    <t>DN418480</t>
  </si>
  <si>
    <t>Fairburn Community Primary School – Extension to form new classroom, toilets and lobby</t>
  </si>
  <si>
    <t>DPS - External</t>
  </si>
  <si>
    <t>AnyComms Plus - web-based secure file transfer system for Early Year Providers data</t>
  </si>
  <si>
    <t>PROJECT COMPLETED
Best Value Form completed by Louise Woodward for 12 month period to enable T&amp;C to review potential future in-house option.  Links to Groupcall project.</t>
  </si>
  <si>
    <t>Lone Worker Solutions</t>
  </si>
  <si>
    <t>Stuart Langston</t>
  </si>
  <si>
    <t xml:space="preserve">Signed Off on SigningHub. Record on Contracts Register. </t>
  </si>
  <si>
    <t>Income management system (Currently Civica)</t>
  </si>
  <si>
    <t>Venues</t>
  </si>
  <si>
    <t>External Venues</t>
  </si>
  <si>
    <t>12+9+12</t>
  </si>
  <si>
    <t>Contract fully signed.</t>
  </si>
  <si>
    <t>DN405687</t>
  </si>
  <si>
    <t>Multifunctional devices including print management services and software, desktop printers, print room equipment and duplicators</t>
  </si>
  <si>
    <t>Nick Leggott/John Metcalfe</t>
  </si>
  <si>
    <t>YORtender record complete.</t>
  </si>
  <si>
    <t>DN368842</t>
  </si>
  <si>
    <t>Book and Media Library Supplies</t>
  </si>
  <si>
    <t>PROJECT COMPLETED
Call off from ESPO framework agreement (Library Stock 376f) and procured externally via STaR Shared Procurement Service.  NYCC is named as a potential user / beneficiary of the contract and so does not need to enter into a separate contract with the 3 suppliers.</t>
  </si>
  <si>
    <t>DN411577</t>
  </si>
  <si>
    <t>SQL course for T&amp;C</t>
  </si>
  <si>
    <t>Louise Bell</t>
  </si>
  <si>
    <t>Project awarded by Best Value process following no bids on Yortender.</t>
  </si>
  <si>
    <t>DN411446</t>
  </si>
  <si>
    <t>LEP</t>
  </si>
  <si>
    <t xml:space="preserve">Skills and labour market analysis </t>
  </si>
  <si>
    <t xml:space="preserve">Shaun Withers </t>
  </si>
  <si>
    <t xml:space="preserve">Finally signed off. Added to Contracts Register. </t>
  </si>
  <si>
    <t>DN352611</t>
  </si>
  <si>
    <t>Hard FM</t>
  </si>
  <si>
    <t>Hard Facilities Management Servicing and Repairs 2019-2023</t>
  </si>
  <si>
    <t>West Harrogate Scheme - Area 6 NPIF</t>
  </si>
  <si>
    <t>Melisa Burnham / Rachel Massey (WSP)</t>
  </si>
  <si>
    <t>DN406188</t>
  </si>
  <si>
    <t>DN404539</t>
  </si>
  <si>
    <t>DN406370</t>
  </si>
  <si>
    <t>Anti Virus - schools</t>
  </si>
  <si>
    <t>Financial Servcies</t>
  </si>
  <si>
    <t>Approved template - requested to be put on YORtender/contracts register.</t>
  </si>
  <si>
    <t>DN389170</t>
  </si>
  <si>
    <t>Newsham Bridge, Invert Works, Parapet repair and Surfacing</t>
  </si>
  <si>
    <t>DN411623</t>
  </si>
  <si>
    <t>Legal Services case management system - (Currently IKEN)</t>
  </si>
  <si>
    <t>Nick Leggott/Pauline Smurthwaite/Karen Wilson/Silas</t>
  </si>
  <si>
    <t xml:space="preserve">KD/BK Discussing further - ongoing KD picking up with SM meeting 5/7- No new updates </t>
  </si>
  <si>
    <t xml:space="preserve">Contract sent on Signing hub today </t>
  </si>
  <si>
    <t>DN409703</t>
  </si>
  <si>
    <t>Valley Bridge Maintenance Paint Works Phase 1</t>
  </si>
  <si>
    <t>John Smith 
Jon-Pierre Winlow</t>
  </si>
  <si>
    <t xml:space="preserve">DN387270 </t>
  </si>
  <si>
    <r>
      <t>24+</t>
    </r>
    <r>
      <rPr>
        <sz val="11"/>
        <color rgb="FFFF0000"/>
        <rFont val="Calibri"/>
        <family val="2"/>
        <scheme val="minor"/>
      </rPr>
      <t>12+12+12+12</t>
    </r>
  </si>
  <si>
    <t>Fiona Sowerby / Chris Clark</t>
  </si>
  <si>
    <t xml:space="preserve">(11/4) Extension signed and complete. Service Area would like to look at the options with a view to potentially procuring a new system in advance of extension expiry date (June 2020). 
</t>
  </si>
  <si>
    <t>Design</t>
  </si>
  <si>
    <t>Esk Valley Rail Infrastructure - Consultancy</t>
  </si>
  <si>
    <t>9</t>
  </si>
  <si>
    <t>Andrew Bainbridge</t>
  </si>
  <si>
    <t>PROJECT COMPLETED</t>
  </si>
  <si>
    <t>Helmsley CPS - Concrete repairs to chimney stack to boiler house</t>
  </si>
  <si>
    <t>DN340101</t>
  </si>
  <si>
    <t>Dishforth Airfield CP School - Essential concrete repairs to Airey Building following structural report</t>
  </si>
  <si>
    <t>DN340125</t>
  </si>
  <si>
    <t>Pickhill CE Primary School - Stabilisation works to canteen gable wall (HORSA)</t>
  </si>
  <si>
    <t>Holy Trinity Junior School - Toilet refurbishment</t>
  </si>
  <si>
    <t>Dishforth Airfield CP School - staffroom and ancillary works, car parking and concrete repairs</t>
  </si>
  <si>
    <t>DN340112</t>
  </si>
  <si>
    <t>Linton on Ouse CPS - Essential concrete repairs to Airey Building following structural report</t>
  </si>
  <si>
    <t>Paula McLean / AP</t>
  </si>
  <si>
    <t>Malton and Hunmaby Primary School - Windows</t>
  </si>
  <si>
    <t>Paula Mclean</t>
  </si>
  <si>
    <t>Pickering Junior - HORSA demolition</t>
  </si>
  <si>
    <t>DN405827 (ProcurementHub)
DN425665 (Contracts Finder)</t>
  </si>
  <si>
    <t>Barlby Bridge CPS - Safeguarding and class extension works</t>
  </si>
  <si>
    <t>DN425745</t>
  </si>
  <si>
    <t>Ripon Moorside Junior &amp; Infant schools amalgamation – Extension, Refurbishment, external works and car park extension</t>
  </si>
  <si>
    <t>DN409957</t>
  </si>
  <si>
    <t>Hackness Primary - Sewage Treatment plant and pumping station</t>
  </si>
  <si>
    <t xml:space="preserve">DN455913 </t>
  </si>
  <si>
    <t>Glusburn Primary School - remodel and additional accommodation /double pcu</t>
  </si>
  <si>
    <t>DN411049</t>
  </si>
  <si>
    <t>Area 2 19/20 Tender Package
Hornby R&amp;R, Appleton Wiske R&amp;R, Knayton R&amp;R, Hustwaite R&amp;R, Dalton and Topcliffe R&amp;R, Northallerton R&amp;R, Yafforth R&amp;R, Main Street Helperby; C86 Raskelf Lane Braferton</t>
  </si>
  <si>
    <t>Planned maintenance programme - value c.£4m with work ranging from roofing, boiler replacement, fenestration, lath and plaster ceilings, drainage works, electrical, external works - resurfacing etc</t>
  </si>
  <si>
    <t>DN405336</t>
  </si>
  <si>
    <t>Green Waste Framework Agreement</t>
  </si>
  <si>
    <t xml:space="preserve"> C.Clarkson and Son, G William Recycling, Elletec, YORwaste Ltd</t>
  </si>
  <si>
    <t>Taken one year extension and suppliers confirmed. YORwaste tbc as may not fit in this contract now?</t>
  </si>
  <si>
    <t>DN301921</t>
  </si>
  <si>
    <t>48+12+12</t>
  </si>
  <si>
    <t>DN419795</t>
  </si>
  <si>
    <t>Area 6 Rural Patching
UCI event</t>
  </si>
  <si>
    <t>DN419621</t>
  </si>
  <si>
    <t>Area 6 North Road / North Street Ripon R&amp;R
UCI event</t>
  </si>
  <si>
    <t>Pensions Equity Investment</t>
  </si>
  <si>
    <t xml:space="preserve">Published on Contracts Register. Did not follow usual governance process however drafted retrospective GW3 for continuity and context moving forward. </t>
  </si>
  <si>
    <t>DN438944</t>
  </si>
  <si>
    <t>Maintenance of Solar VAS signs</t>
  </si>
  <si>
    <t>DN400774</t>
  </si>
  <si>
    <t>Area 3 Scarborough Critical Junctions
Scarborough Junction O
Scalby Road / Manor Road
Alterations to roundabout (widening of entrances and exits)</t>
  </si>
  <si>
    <t>James Kennedy</t>
  </si>
  <si>
    <t>DN418387</t>
  </si>
  <si>
    <t xml:space="preserve">Brocka Beck Bridge (A169)
Water issues, install large filter drain eitherside of bridge across the road around 3m deep.  </t>
  </si>
  <si>
    <t xml:space="preserve">DN410814 </t>
  </si>
  <si>
    <t>Repairs to Airey Buildings concrete columns and associated works - Dishforth Airfield CPS, Leeming RAF CPS &amp; Linton-on-Ouse PS</t>
  </si>
  <si>
    <t>Paula McLean / CG, AP</t>
  </si>
  <si>
    <t>DN419773</t>
  </si>
  <si>
    <r>
      <t xml:space="preserve">Area 4 Helmsley R&amp;R - 
Carriageway overlay and repair along the U28 between Carlton Village and Cockayne (south of Beck House to Hazel Green access)
Bransdale
</t>
    </r>
    <r>
      <rPr>
        <i/>
        <sz val="10"/>
        <rFont val="Arial"/>
        <family val="2"/>
      </rPr>
      <t>Bransdale R&amp;R</t>
    </r>
  </si>
  <si>
    <t>DN411939</t>
  </si>
  <si>
    <t>Fountains CE Primary School - KS1 toilet provision</t>
  </si>
  <si>
    <t>DN419614</t>
  </si>
  <si>
    <t>Area 6 Burton Leonard R&amp;R
UCI event</t>
  </si>
  <si>
    <t>DN416088</t>
  </si>
  <si>
    <t>Kildwick CE - office / safeguarding</t>
  </si>
  <si>
    <t>DN417914</t>
  </si>
  <si>
    <t>Area 6 A61 Harrogate R&amp;R Phase 3</t>
  </si>
  <si>
    <t>DN411604</t>
  </si>
  <si>
    <t>Karen Adamson Kevin Green Donna Stevenson</t>
  </si>
  <si>
    <t>Contract sent via signing hub awaiting signature, Geoff Archer out of office until 21/08/2019</t>
  </si>
  <si>
    <t>DN416023</t>
  </si>
  <si>
    <t>14/08/2019 Silias has now sent over the PO to softcat to process.
12/08/2019 Contract finalised and signed.
05/08/2019 A few amendments made to the contract. Contract uploaded on SigningHub for signature.
31/07/2019 Order form and agrement received from KCS. Reviewing documents and service area to sign and send PO if no issues.
05/07/2019 Gate 1 &amp; 3 signed off by PAB and sent onto Directors for signature.</t>
  </si>
  <si>
    <t>DN435798</t>
  </si>
  <si>
    <t>John Lewis/Jon Learoyd</t>
  </si>
  <si>
    <t>DN415109</t>
  </si>
  <si>
    <t>Emily Asquith-Fox / Julie Bunn
Rebecca Barber/Andrea Evans</t>
  </si>
  <si>
    <t>02/08/2019</t>
  </si>
  <si>
    <t xml:space="preserve">Contract signed by both parties. Completed </t>
  </si>
  <si>
    <t>Purchasing Cards</t>
  </si>
  <si>
    <t xml:space="preserve">Paul Nicholson </t>
  </si>
  <si>
    <r>
      <t>Document signed - copy sent to barclaycard and PN , hard copy returned to PN for filing -</t>
    </r>
    <r>
      <rPr>
        <b/>
        <sz val="11"/>
        <rFont val="Calibri"/>
        <family val="2"/>
        <scheme val="minor"/>
      </rPr>
      <t xml:space="preserve">COMPLETE </t>
    </r>
  </si>
  <si>
    <t>Pensioners reconcillation project</t>
  </si>
  <si>
    <t>Phillippa Cockerill/Mike Barber</t>
  </si>
  <si>
    <t>Credit Checks for Suppliers (Currently Experian)</t>
  </si>
  <si>
    <t>Sally Boakes</t>
  </si>
  <si>
    <t xml:space="preserve">10.01.2020 - Chased, awaiting response
03.01.2020 - Emma can you chase up with the commissioner to see if this is complete? 
27/09/19 BVF with Service Area. 
No option for merger with Veritau's account, Libraries confirmed they do not have an account. Service area already have access to all aspects of CitizenView Plus, no additional access needed. Awaiting confirmation of number of users. </t>
  </si>
  <si>
    <t>DN413112</t>
  </si>
  <si>
    <t>Building Control Services</t>
  </si>
  <si>
    <t>Existing 36 + 12</t>
  </si>
  <si>
    <t>£80,000 - £120,000</t>
  </si>
  <si>
    <t xml:space="preserve">DN411135 </t>
  </si>
  <si>
    <t>Area 2 Masham Road Carriageway Patching and Resurfacing</t>
  </si>
  <si>
    <t xml:space="preserve">Principal Contractor - Homes for England </t>
  </si>
  <si>
    <t>DN416916</t>
  </si>
  <si>
    <t>E Governance Software to enable the management of the generation and publication of agendas to be handled entirely electronically.</t>
  </si>
  <si>
    <t>Karen Wilson / Daniel Harry</t>
  </si>
  <si>
    <t>DN408125</t>
  </si>
  <si>
    <t>Sleights Footbridge 
Maintenance Works Repainting of structure and new timber handrails. Repairs/ new surface to the concrete deck boards</t>
  </si>
  <si>
    <t>Trading Standards</t>
  </si>
  <si>
    <t>Case and Quality Management System (Avatu Ltd - Blackrainbow)</t>
  </si>
  <si>
    <t xml:space="preserve">Nicola Pearson </t>
  </si>
  <si>
    <t>PROJECT COMPLETED
Contract awarded to Avatu Ltd via G-Cloud.  Blackrainbow will be providing the system.
12 weeks written notice is required to extend the contract.</t>
  </si>
  <si>
    <t>Area 4 Burythorpe and Leavening R&amp;R - 
Carriageway patching and overlay works on the C61 Howsham between Cordike Lnae and Moor Hill,  U479 Burythorpe from Malton Road to Brook Farm, and C355 Burythorpe from Low Lane to end track at Nearside Farm.</t>
  </si>
  <si>
    <t>Area 4 - TBC</t>
  </si>
  <si>
    <t>Area 4 Whitwell on the Hill R&amp;R -
Carriagway patching, inlay and overlay on C61 from the Monument to A64 junction, and C91 from Bulmer Hill Road westwards to Mill House Farm access.</t>
  </si>
  <si>
    <t>DN420965</t>
  </si>
  <si>
    <t>Bradley Canal - Resurfacing</t>
  </si>
  <si>
    <t>Josh Calvert / Jon-Pierre Winlow</t>
  </si>
  <si>
    <t>DN420660</t>
  </si>
  <si>
    <t>Area 1 Middleham R&amp;R
UCI event</t>
  </si>
  <si>
    <t>DN419303</t>
  </si>
  <si>
    <t>Cliff Cottage Culvert (A170)
Veg clearance, grout parapet base plates.  Headwall RC repair</t>
  </si>
  <si>
    <t>Area 4 A169/A64 Roundabout Old Malton - 
Inlay and deeper carriageway patching of the circulatory carriageway of the A169/A64 roundabout.</t>
  </si>
  <si>
    <t>DN373475</t>
  </si>
  <si>
    <t>County Hall - Phase 3 refurbishment / Brierley Building &amp; restaurant refurbishment (Package 1)</t>
  </si>
  <si>
    <t>DN408715</t>
  </si>
  <si>
    <t>Caedmon College Food Tech room</t>
  </si>
  <si>
    <t>DN418548</t>
  </si>
  <si>
    <t>Brownie Bridge (B6275)
Take down and rebuild upstream and downstream parapets/spandrels, concrete invert repairs, de-veg verges</t>
  </si>
  <si>
    <t>A684 West Witton Village</t>
  </si>
  <si>
    <t>DN418352</t>
  </si>
  <si>
    <t>Helmsley CP - toilets</t>
  </si>
  <si>
    <t>DN413132</t>
  </si>
  <si>
    <t>s</t>
  </si>
  <si>
    <t>Regulatory Complaince Officer Apprenticeship</t>
  </si>
  <si>
    <r>
      <t>24+</t>
    </r>
    <r>
      <rPr>
        <sz val="11"/>
        <color rgb="FFFF0000"/>
        <rFont val="Calibri"/>
        <family val="2"/>
      </rPr>
      <t>12</t>
    </r>
  </si>
  <si>
    <t xml:space="preserve">Ruth Egglestone/Tracy Harrison </t>
  </si>
  <si>
    <t xml:space="preserve">Contract awarded fro 24+12months, initial contract awarded under best value process. </t>
  </si>
  <si>
    <t>DN307878</t>
  </si>
  <si>
    <t xml:space="preserve">Extra Care Housing -  Filey </t>
  </si>
  <si>
    <t>Dale Owens</t>
  </si>
  <si>
    <t xml:space="preserve">Contract has been extended from 1st September 2019 till 31st August 2020 £4999.00. Contract has been fully signed off. </t>
  </si>
  <si>
    <t>DN427141</t>
  </si>
  <si>
    <t>Improving school attendance across Scarborough</t>
  </si>
  <si>
    <t>Richard Benstead</t>
  </si>
  <si>
    <t>Consensus undertaken but Dept of Education are not wanting to make the award. I am liaising with them regarding drafting letter to provider.</t>
  </si>
  <si>
    <t xml:space="preserve"> </t>
  </si>
  <si>
    <t>DN374977</t>
  </si>
  <si>
    <r>
      <t xml:space="preserve">contract management being picked up by KDi - no agreement in place agreed with YPO AND KD- </t>
    </r>
    <r>
      <rPr>
        <b/>
        <sz val="11"/>
        <rFont val="Calibri"/>
        <family val="2"/>
      </rPr>
      <t xml:space="preserve">Complete  - </t>
    </r>
  </si>
  <si>
    <t>Data Scientist Aprenticeship</t>
  </si>
  <si>
    <t>Contract completed and signed off by supplier - Published on contracts register.</t>
  </si>
  <si>
    <t>9UKD-9D89YQ</t>
  </si>
  <si>
    <t>Children, Young People &amp; Families Manager</t>
  </si>
  <si>
    <t>Signed, YORtender updated and Contracts Register updated.</t>
  </si>
  <si>
    <t>DN418381</t>
  </si>
  <si>
    <t>Contract fully signed off and Contract register updated</t>
  </si>
  <si>
    <t>DN211379</t>
  </si>
  <si>
    <t>IT Apprenticeship Pathway</t>
  </si>
  <si>
    <t>Contract fully signed off - YORtender updated</t>
  </si>
  <si>
    <t>Civil Engineering (degree), Level 6 Apprenticeship - Leeds Beckett</t>
  </si>
  <si>
    <t>42+12+12</t>
  </si>
  <si>
    <t xml:space="preserve">Ruth Chester/Tracy Harrison </t>
  </si>
  <si>
    <t>Paralegal Apprenticeship</t>
  </si>
  <si>
    <t>Will Jones</t>
  </si>
  <si>
    <t>Contract awaiting sign off. Will need actioning when signed.</t>
  </si>
  <si>
    <t>Opportunity area - external evaluator</t>
  </si>
  <si>
    <t>Cerys Townsend / Richard Bensted</t>
  </si>
  <si>
    <t>They have identified a preferred supplier and are considering awarding on the basis of a best value form.  Richard Benstead has confirmed that the best value form will be submitted shortly. - Emailed Richard to chase 13/1/2020
Chased for BVF 01/09/2020
RB advised that BVF would be sent in the near future (09/09/2020)</t>
  </si>
  <si>
    <t>DN471876</t>
  </si>
  <si>
    <t>Digital &amp; Technology Solutions Specialist - IT Strategy Specialist</t>
  </si>
  <si>
    <t>DN418721</t>
  </si>
  <si>
    <t>DN408935</t>
  </si>
  <si>
    <t>Civil Engineering Technician - Leeds College</t>
  </si>
  <si>
    <t>Contract signed &amp; YORtender/Contracts register updated</t>
  </si>
  <si>
    <t>DN423079</t>
  </si>
  <si>
    <t>Civil Engineering (degree), Level 6 Apprenticeship - Teesside Uni</t>
  </si>
  <si>
    <t>90</t>
  </si>
  <si>
    <t xml:space="preserve">Construction Site Engineering Technician - Level 4 </t>
  </si>
  <si>
    <t>Fully signed off, YORtender &amp; Contracts Register updated</t>
  </si>
  <si>
    <t>DN307686</t>
  </si>
  <si>
    <t>Customer Service Specialist Level 3 Apprenticeship</t>
  </si>
  <si>
    <t>15+12+12</t>
  </si>
  <si>
    <t>Teaching Assistant Apprenticeship Level 3</t>
  </si>
  <si>
    <t xml:space="preserve">Annabel MacGregor/Tracy Harrison </t>
  </si>
  <si>
    <t>DN419294</t>
  </si>
  <si>
    <t>Upper Wensleydale Home to School Transport route 553R</t>
  </si>
  <si>
    <t>11</t>
  </si>
  <si>
    <t>Director's recommendation completed.</t>
  </si>
  <si>
    <t>DN408001</t>
  </si>
  <si>
    <t>Area 5 Carriageway Patching &amp; Surfacing Package 19/20</t>
  </si>
  <si>
    <t xml:space="preserve">Martin Garner </t>
  </si>
  <si>
    <t>Harlow Moor Road Juntion
Stats Orders</t>
  </si>
  <si>
    <t>Tim Simpson</t>
  </si>
  <si>
    <t>DN4296761</t>
  </si>
  <si>
    <t>Transport Access Fund. YTA.</t>
  </si>
  <si>
    <t>DN428117</t>
  </si>
  <si>
    <t>Semerwater Bridge (C43)
Various Pointing</t>
  </si>
  <si>
    <t>DN445746</t>
  </si>
  <si>
    <t>Area 2 Plews Way Leeming Bar R&amp;R</t>
  </si>
  <si>
    <t>DN428929</t>
  </si>
  <si>
    <t>Richmond Bridge – Pilaster Repair</t>
  </si>
  <si>
    <t>Oliver Grundmann / Josh Calvert</t>
  </si>
  <si>
    <t>Public rights of way system - (Currently Exegesis) Countryside Access Service review</t>
  </si>
  <si>
    <t>Claire Cooper/Nick Leggott/Karen Lane</t>
  </si>
  <si>
    <t xml:space="preserve">To be assigned to ACO. procurement support Ally http://sharepoint/sites/2020ny/bes/1665/_layouts/15/start.aspx#/Document%20Library/Forms/AllItems.aspx?RootFolder=%2Fsites%2F2020ny%2Fbes%2F1665%2FDocument%20Library%2F2%2E%20Plans%2FResource%20Plan&amp;FolderCTID=0x012000DB99E36A31B0464DB8C3FEF751CDB5DA&amp;View=%7BF0FCA131%2D2114%2D46EF%2DA5DE%2D3985FFA38C6E%7D. Wait for Clair Cooper to give go ahead on this. They are trialing the new system currently. Meeting with Wendy Rowley confirmed the 2nd Phase module is going ahead. Gateway 4 to be drafted and sent to PAB by end of Nov. Waiting for confirmations. SIGNED OFF and approved on 06.01.2020. CLOSED </t>
  </si>
  <si>
    <t>DN446754</t>
  </si>
  <si>
    <t>Professional Accounting Taxation Technician Apprenticeship Level 4</t>
  </si>
  <si>
    <t>DN424588</t>
  </si>
  <si>
    <t>Green Bridge 
Vegetation clearance, minor pointing</t>
  </si>
  <si>
    <t>4 days</t>
  </si>
  <si>
    <t>Ben Savage / 
Jon-Pierre Winlow</t>
  </si>
  <si>
    <t>DN424661</t>
  </si>
  <si>
    <t>Burgess Bridge - Scour Repair</t>
  </si>
  <si>
    <t>DN433478</t>
  </si>
  <si>
    <t>Isles Bridge Repointing
repairs as required following vegetation clearance</t>
  </si>
  <si>
    <t>DN426623
DN449074</t>
  </si>
  <si>
    <t>A study on Natural Capital (Local Industrial Strategy)</t>
  </si>
  <si>
    <t xml:space="preserve">Signed Off. Contracts Register record created. </t>
  </si>
  <si>
    <t>DN431662</t>
  </si>
  <si>
    <t>Duchess of Kent Bridge (A61)
Regulate/ resurface approaches and renew joints</t>
  </si>
  <si>
    <t>TbC</t>
  </si>
  <si>
    <t>CPSCF Queen street, Newborough &amp; Eastborough R&amp;R</t>
  </si>
  <si>
    <t>Area 3 - TBC</t>
  </si>
  <si>
    <t>Grainbeck Lane
Area 5</t>
  </si>
  <si>
    <t>Homeless Prevention - generic "floating support"</t>
  </si>
  <si>
    <t>Mike Rudd</t>
  </si>
  <si>
    <t>DN409711</t>
  </si>
  <si>
    <t>Domestic abuse - therapeutic services (children)</t>
  </si>
  <si>
    <t>Emma Lonsdale</t>
  </si>
  <si>
    <t xml:space="preserve">Contract fully signed - 3 year saving of £16800.75.
</t>
  </si>
  <si>
    <t>DN200673</t>
  </si>
  <si>
    <t xml:space="preserve">Procurement of Insurance -  Casualty, Motor, Property, Travel/PA and Engineering </t>
  </si>
  <si>
    <t xml:space="preserve">Advised by L Gigante that contract  renewed with all existing insurers on 1st October 2019 thereby extending the contract for a further 2 years. Done under standard supplier T&amp;Cs so no extension document issued. Email saved in file. Contracts Register updated. 
</t>
  </si>
  <si>
    <t>DN425147</t>
  </si>
  <si>
    <r>
      <t>Kofax - Document Manangement Centre scanning/</t>
    </r>
    <r>
      <rPr>
        <b/>
        <sz val="11"/>
        <rFont val="Calibri"/>
        <family val="2"/>
      </rPr>
      <t>ePost</t>
    </r>
    <r>
      <rPr>
        <sz val="11"/>
        <rFont val="Calibri"/>
        <family val="2"/>
      </rPr>
      <t xml:space="preserve"> - Mail Scanning</t>
    </r>
  </si>
  <si>
    <t>Meeting with JM 14/12 - Service Area have signed up with the Supplier for another year and paid the invoice. Update provided to SS</t>
  </si>
  <si>
    <t xml:space="preserve">DN358705 </t>
  </si>
  <si>
    <t>21/01/19 - BVF completed by JM and logged</t>
  </si>
  <si>
    <t>DN425364</t>
  </si>
  <si>
    <r>
      <t>12+</t>
    </r>
    <r>
      <rPr>
        <sz val="11"/>
        <color rgb="FFFF0000"/>
        <rFont val="Calibri"/>
        <family val="2"/>
        <scheme val="minor"/>
      </rPr>
      <t>12</t>
    </r>
    <r>
      <rPr>
        <sz val="11"/>
        <color theme="1"/>
        <rFont val="Calibri"/>
        <family val="2"/>
        <scheme val="minor"/>
      </rPr>
      <t>+12+12+12</t>
    </r>
  </si>
  <si>
    <r>
      <t xml:space="preserve">Spend £1,500 so far - 1 year extension being utilised. Best value form covers until 30/09/2023 </t>
    </r>
    <r>
      <rPr>
        <sz val="11"/>
        <rFont val="Calibri"/>
        <family val="2"/>
      </rPr>
      <t>Published on contracts register.</t>
    </r>
  </si>
  <si>
    <t>Trimble licences, support and maintenance</t>
  </si>
  <si>
    <t>DN429741</t>
  </si>
  <si>
    <t>Allerton Waste Recovery Park (AWRP) Landscape Cultural Heritage Fund (LCHF) Grant Administration</t>
  </si>
  <si>
    <r>
      <t>48+</t>
    </r>
    <r>
      <rPr>
        <sz val="11"/>
        <color rgb="FFFF0000"/>
        <rFont val="Calibri"/>
        <family val="2"/>
      </rPr>
      <t>12</t>
    </r>
  </si>
  <si>
    <t xml:space="preserve">Contract uncovered by MG via GDPR process. 6 month extension approved by Two Ridings. Extension agreement written up and forwarded to Lisa Cooper to check over. Singed on Signing Hub and all relevant participants have copies of extension. Completed 30/09/2019 Another 6 month extension has been requested from October to 1st April 2021. Extension agreement pulled together by VM </t>
  </si>
  <si>
    <t>DN413765</t>
  </si>
  <si>
    <t>HR Consultant/Partner Apprenticeship Level 5</t>
  </si>
  <si>
    <t>Contract fully signed off &amp; YORtende/Contract register updated</t>
  </si>
  <si>
    <t>Transport Planning Technician Apprenticeship Level 3</t>
  </si>
  <si>
    <r>
      <t xml:space="preserve">NY Highways
13. </t>
    </r>
    <r>
      <rPr>
        <b/>
        <sz val="10"/>
        <rFont val="Arial"/>
        <family val="2"/>
      </rPr>
      <t>Vehicle Management - fleet</t>
    </r>
    <r>
      <rPr>
        <sz val="10"/>
        <rFont val="Arial"/>
        <family val="2"/>
      </rPr>
      <t xml:space="preserve">
Sub-workstream D</t>
    </r>
  </si>
  <si>
    <t>Andrew Sharpin
Nigel Smith</t>
  </si>
  <si>
    <r>
      <t xml:space="preserve">NY Highways
7. </t>
    </r>
    <r>
      <rPr>
        <b/>
        <sz val="10"/>
        <rFont val="Arial"/>
        <family val="2"/>
      </rPr>
      <t>Consultancy</t>
    </r>
    <r>
      <rPr>
        <sz val="10"/>
        <rFont val="Arial"/>
        <family val="2"/>
      </rPr>
      <t xml:space="preserve">
Sub-workstream D</t>
    </r>
  </si>
  <si>
    <t>Andrew Binner
Kath Rumford
Jayne Charlton
Nigel Smith</t>
  </si>
  <si>
    <t>Elections Payroll</t>
  </si>
  <si>
    <t>East Riding of Yorkshire Council</t>
  </si>
  <si>
    <t xml:space="preserve"> Dependent upon election schedule </t>
  </si>
  <si>
    <t xml:space="preserve">New SLA renewed for one year. Need to provide 6 months notification for termination </t>
  </si>
  <si>
    <t>DN429018</t>
  </si>
  <si>
    <r>
      <t>Crimple Beck Footbridge Replacement
(</t>
    </r>
    <r>
      <rPr>
        <i/>
        <sz val="10"/>
        <rFont val="Arial"/>
        <family val="2"/>
      </rPr>
      <t>Also known as River Crimple (Spofforth)</t>
    </r>
    <r>
      <rPr>
        <sz val="10"/>
        <rFont val="Arial"/>
        <family val="2"/>
      </rPr>
      <t>)</t>
    </r>
  </si>
  <si>
    <t>DN428151</t>
  </si>
  <si>
    <r>
      <t xml:space="preserve">Area 4 Additional Capital Schemes
</t>
    </r>
    <r>
      <rPr>
        <i/>
        <sz val="10"/>
        <rFont val="Arial"/>
        <family val="2"/>
      </rPr>
      <t>Includes
B1257 Main Street, Stonegrove 
B1258 Malton Road, West Knapton
B1363 Burnt Gill, Gilling East
C89 Coulton Road, Coulton</t>
    </r>
  </si>
  <si>
    <t>DN418006</t>
  </si>
  <si>
    <t>SS Agreed BV approach , BV received a logged combined unix &amp; support for one year £14,279 in total. Completed</t>
  </si>
  <si>
    <r>
      <t>60+12+12+12+12 +</t>
    </r>
    <r>
      <rPr>
        <b/>
        <sz val="11"/>
        <color rgb="FFFF0000"/>
        <rFont val="Calibri"/>
        <family val="2"/>
        <scheme val="minor"/>
      </rPr>
      <t>12</t>
    </r>
    <r>
      <rPr>
        <sz val="11"/>
        <rFont val="Calibri"/>
        <family val="2"/>
        <scheme val="minor"/>
      </rPr>
      <t xml:space="preserve"> </t>
    </r>
  </si>
  <si>
    <t>Dani Reeves/Silas Holland</t>
  </si>
  <si>
    <t>legal resource allocated - JP leaving needs reallocating - requested reallocation. Change on suplier name currently underway with Legal. On signing hub 06/09 Hans has been asked for a Civica contact. VM emailed chased David at Civica for signature 07/10. David Signed. Needs to go to RL. Sent RL overview of contract. RL signed waiting for last signature 11.11.19 This has been verbally agreed by RL and signed off 17.12.2019</t>
  </si>
  <si>
    <t>DN208274</t>
  </si>
  <si>
    <t xml:space="preserve">UTC and UTMC System (SCOOT) Siemens Mobility  </t>
  </si>
  <si>
    <t>Nick Leggott/James Smith/Anna Goldie</t>
  </si>
  <si>
    <t>Extension available for 27/10/19 - 26/10/21 2yrs - Docs sent to NL , NL reviewing as future requirement might differ - possible extension &amp; variation. Forwarded to Stacey for advice 22.10.19. On Signing Hub 8th November 2019. The company had a change of name so a deed of novation was drafted up and sent to Siemens for them to check over by their legal team. It was sent back on 6th Jan 20 with recommendations on so VM sent it to NYCC legal services to look over.Deed Of Novation signed off 06.02.2020. Extension loaded onto Signing Hub 06.02.2020 Chased William Wilson 02/03/2020. Chased Julie on sign off and to check that we have the correct email for William as no responce from him. Just awaiting sign off from Julie. Signed off 31/03/2020</t>
  </si>
  <si>
    <t>DN435527</t>
  </si>
  <si>
    <t>Implementation Partner to Support the Authority’s Oracle Planning and Budgeting Cloud Solution (PBCS)</t>
  </si>
  <si>
    <t>Natalie Coulson (T&amp;C) / Carol Watts (PM)</t>
  </si>
  <si>
    <t>PROJECT COMPLETED
2020 Project ID is 2321.  Direct award via G-Cloud 11 to Evolutionary Systems Co Ltd (Evosys).
One-off piece of work.  End date is 31/08/20 or upon completion of work, whichver is sooner.</t>
  </si>
  <si>
    <t>DN427567</t>
  </si>
  <si>
    <t>Thormanby Bridge (A19)
In-Fill the bridge, remove parapet, complete with sloped verge &amp; fencing</t>
  </si>
  <si>
    <t>DN434729</t>
  </si>
  <si>
    <t>Thormanby Bridge – Concrete Infill</t>
  </si>
  <si>
    <t>DN413622</t>
  </si>
  <si>
    <t>Area 2 Thirsk PSDP</t>
  </si>
  <si>
    <t>Arboriculture Asset Management System
(curently Arbortrack, provided by TriNova Systems)</t>
  </si>
  <si>
    <t>Stuart Truman (T&amp;C)</t>
  </si>
  <si>
    <t>01/11/19 - 31/10/22 previously signed off via BVF.
New BVF completed to cover until 31/10/23 as still under £25k.
End date is pre-2024 as there is a PPM Project (Ref: 2271) to upgrade the existing system as the current system is no longer supportable on NYCC devices.</t>
  </si>
  <si>
    <t xml:space="preserve">DN426814 </t>
  </si>
  <si>
    <t>Alcohol Social Campaign</t>
  </si>
  <si>
    <t>Claire Lawrence</t>
  </si>
  <si>
    <t>Awarded to Hitch Marketing 5/12/18.  Contract fully signed.</t>
  </si>
  <si>
    <t>DN205819</t>
  </si>
  <si>
    <t>Anti Virus and Host DPL inc EPO</t>
  </si>
  <si>
    <t>Wendy Rowley</t>
  </si>
  <si>
    <t xml:space="preserve">I have chased this contract several times via signing hub and emailed softcat many times. </t>
  </si>
  <si>
    <t>DN426825</t>
  </si>
  <si>
    <t xml:space="preserve">Catering Traded Service MI System </t>
  </si>
  <si>
    <t>Shaun Mancrief/Lorena Phillips</t>
  </si>
  <si>
    <t>Contract fully signed</t>
  </si>
  <si>
    <t>DN426824</t>
  </si>
  <si>
    <t>Fully signed</t>
  </si>
  <si>
    <t>Supply and Delivery of Corporate Printing Services (Bulk Paper)</t>
  </si>
  <si>
    <t>Direct award</t>
  </si>
  <si>
    <t xml:space="preserve">Direct award, contract has been uploaded onto signing hub this will commence 01  November 2019. </t>
  </si>
  <si>
    <t>Current System Arbortrack - Asset Management</t>
  </si>
  <si>
    <t>Emma Pemberton</t>
  </si>
  <si>
    <t>Completed - Published on register DN418381</t>
  </si>
  <si>
    <t>DN361605</t>
  </si>
  <si>
    <t>Hevacomp Electrical Designer Licenses</t>
  </si>
  <si>
    <t>Nic Watters/Keren Wild</t>
  </si>
  <si>
    <t>DN420694</t>
  </si>
  <si>
    <t>NBS Package licences</t>
  </si>
  <si>
    <t>Adobe Licences (Schools ICT for Align Property Services)</t>
  </si>
  <si>
    <t>PROJECT COMPLETED
Direct award to Software Box via KCS Framework.
Project alligns to Adobe Licences (Corporate); however, requirements still to be defined.</t>
  </si>
  <si>
    <t>CADS - Masonry Wall Panel Designer license</t>
  </si>
  <si>
    <t>DN445143</t>
  </si>
  <si>
    <t>School Business Professional Level 4</t>
  </si>
  <si>
    <t>DN469936</t>
  </si>
  <si>
    <t>Early Years Educator Apprenticeship</t>
  </si>
  <si>
    <t>Electric vehicle charging infrastructure</t>
  </si>
  <si>
    <t>Victoria Hutchinson</t>
  </si>
  <si>
    <t>Regional Spend analysis tool (Currently Porge)</t>
  </si>
  <si>
    <t xml:space="preserve">Complete </t>
  </si>
  <si>
    <t>DN440335</t>
  </si>
  <si>
    <t>Whaw and Eskeleth Flood Repairs Works</t>
  </si>
  <si>
    <t>DN429710</t>
  </si>
  <si>
    <t>Accessible Minibuses (Purchase)</t>
  </si>
  <si>
    <t>Andrew Sharpin / Gary White</t>
  </si>
  <si>
    <t>DN542433</t>
  </si>
  <si>
    <t>Liquid Fuels</t>
  </si>
  <si>
    <t>Certas Energy Ltd</t>
  </si>
  <si>
    <t>Glen McCusker never exectued the first 2 years of the framework call off. Call off for 2021-23 executed accordingly.</t>
  </si>
  <si>
    <t>08.11.22 - Sent extension letter to Certas for 1 year to 20/11/23. Sent copy to Andrew Sharpin and Beckie Bennett and Chris Granger</t>
  </si>
  <si>
    <t>Reporting system - Aqua (ProAchieve)</t>
  </si>
  <si>
    <t>Louise Woodward</t>
  </si>
  <si>
    <t xml:space="preserve">This has been added to the contracts register. </t>
  </si>
  <si>
    <r>
      <rPr>
        <b/>
        <sz val="11"/>
        <rFont val="Calibri"/>
        <family val="2"/>
        <scheme val="minor"/>
      </rPr>
      <t>Completed -</t>
    </r>
    <r>
      <rPr>
        <sz val="11"/>
        <rFont val="Calibri"/>
        <family val="2"/>
        <scheme val="minor"/>
      </rPr>
      <t xml:space="preserve"> Joint contract with NYFIRE</t>
    </r>
  </si>
  <si>
    <t>AP Forensics - Accounts Payable - new product</t>
  </si>
  <si>
    <t xml:space="preserve">Natalie Coulson </t>
  </si>
  <si>
    <t>LGC EMAPs Subscription (19/20 - 20/21)</t>
  </si>
  <si>
    <t>Invoice sent for payment - completed</t>
  </si>
  <si>
    <r>
      <t>24+</t>
    </r>
    <r>
      <rPr>
        <sz val="11"/>
        <color rgb="FFFF0000"/>
        <rFont val="Calibri"/>
        <family val="2"/>
      </rPr>
      <t>12</t>
    </r>
    <r>
      <rPr>
        <sz val="11"/>
        <rFont val="Calibri"/>
        <family val="2"/>
      </rPr>
      <t>+12</t>
    </r>
  </si>
  <si>
    <t xml:space="preserve">Original contract linked to HMC2012, requirement still required? VM spoke to David Hunt on 29/08 who confirmed to Symology that we will be going ahead with the extension. David to put some wording together for GW4 29/08. Gateway 4 drafted up and sent to DH to check over. Just need to get lifetime cost. 30/09/19 Submitted to PAB 04/10/2019. Recommendation to extend contract by 24 months rather than 12 to coincide with Ringways in house replacement. Approved by PAB 01.11.2019 for 24 months until Nov 2021. On Signing Hub awaiting signatures. SIGNED OFF 05.12.2019 </t>
  </si>
  <si>
    <t>DN461321</t>
  </si>
  <si>
    <t>Cleaning &amp; Catering Apprenticeships</t>
  </si>
  <si>
    <t>Annabel MacGregor / Tracy Harrison</t>
  </si>
  <si>
    <t>DN451213</t>
  </si>
  <si>
    <t>Safety, Health and Environment Technician, Level 3 Apprenticeship</t>
  </si>
  <si>
    <t xml:space="preserve">Citrix - Netscaler </t>
  </si>
  <si>
    <t>Now Citrix ADC Pooled Capacity. Order placed with SBL via KCS.</t>
  </si>
  <si>
    <t>DN430060 
(DN370029 for Market Engagement)</t>
  </si>
  <si>
    <t>A59 Kex Gill Improvement</t>
  </si>
  <si>
    <t>Ken Moody
/ Mark Hugill
&amp; WSP</t>
  </si>
  <si>
    <t xml:space="preserve">DN446721 </t>
  </si>
  <si>
    <t>R&amp;R - Littlebeck Bank</t>
  </si>
  <si>
    <t>Rapid7 Nexpose Vulnerability Manager software / License</t>
  </si>
  <si>
    <t>BVF received. Completed.</t>
  </si>
  <si>
    <t>Citrix - XenDesktop Enterprise (software assurance and support)</t>
  </si>
  <si>
    <t>Quote from SBL. Gateway to recommend direct award to Softcat via KCS Framework.</t>
  </si>
  <si>
    <t xml:space="preserve">Pension Fund Custodian </t>
  </si>
  <si>
    <t>Amanda Alderson and Jonathan Buxton</t>
  </si>
  <si>
    <t>FY2021Q2</t>
  </si>
  <si>
    <t xml:space="preserve">Final ly signed off after working through amendment to clauses with legal. Added to contracts register. </t>
  </si>
  <si>
    <t>Appsense - Desktop Now (support only)</t>
  </si>
  <si>
    <t>Service Management System (Currently LANDesk - Epic/Ivanti, Sunrise and Sunrise support)</t>
  </si>
  <si>
    <t>Silas Holland (T&amp;C) / Wendy Rowley (PM)</t>
  </si>
  <si>
    <t>PROJECT COMPLETED
Contract awarded to Ultima (Ivanti is main sub-contractor) via open procedure
Notification to extend shall be not less than 3 months before expiry of contract</t>
  </si>
  <si>
    <t>£123,147.82 (Year 1)
£52,526.23 (Year 2+)</t>
  </si>
  <si>
    <t>DN430313</t>
  </si>
  <si>
    <t>Coroners Software - (Currently Iris)</t>
  </si>
  <si>
    <t>Robin Mair/Nick Leggott</t>
  </si>
  <si>
    <t>G Cloud 11 used to award to WPC.  Max 4 years. Contract fully signed.  Contract register updated.</t>
  </si>
  <si>
    <t>DN368758</t>
  </si>
  <si>
    <t>48+48+24</t>
  </si>
  <si>
    <t>Pension Administration System - (Currently ALTAIR) (NYPF Pension Service Review)</t>
  </si>
  <si>
    <t>Phillipa Cockeril/Jo Wade /Nick Leggott</t>
  </si>
  <si>
    <t>DN421761</t>
  </si>
  <si>
    <t>Microsoft  - Enterprise subscription 6 (split into 4/5 areas)
1.End User Office and Windows Licencing (£1.1m) Gordon Atkin
2.ECI agreement  (£173k) Steve Caisley
3.Skype for Business (£53k) Andrew Lambert
4.EES - Academic (non schools) (£75k) Gordon Atkin
5. EES - Academic (non schools agreement) (£75k) Gordon Atkin</t>
  </si>
  <si>
    <t xml:space="preserve">Gordon Atkin Steve Caisley Andrew Whitaker </t>
  </si>
  <si>
    <t>DN456829</t>
  </si>
  <si>
    <t>Ritch Baine / Jonathan (David) Miller/Nick Leggott</t>
  </si>
  <si>
    <t>Zetland Street</t>
  </si>
  <si>
    <t xml:space="preserve">DN448914 </t>
  </si>
  <si>
    <t xml:space="preserve">Whitby Swing Bridge Maintenance Contract </t>
  </si>
  <si>
    <t>Crayke House  - revamp</t>
  </si>
  <si>
    <t>Paula McLean / CD</t>
  </si>
  <si>
    <t>Boroughbridge Highways - offices</t>
  </si>
  <si>
    <t xml:space="preserve"> DN453141</t>
  </si>
  <si>
    <t>Butterwick Bridge (C230)
Brick replacement on arch, repair crack in slab</t>
  </si>
  <si>
    <t>tbc
Project already in train</t>
  </si>
  <si>
    <t>DN526913</t>
  </si>
  <si>
    <t>Social Worker Degree Apprenticeship</t>
  </si>
  <si>
    <t>Yortender and contracts register updated.</t>
  </si>
  <si>
    <t xml:space="preserve">DN448208 </t>
  </si>
  <si>
    <t>Kirby Hall Little Ouseburn Bridge
New footbridge</t>
  </si>
  <si>
    <t>Restricted Bid</t>
  </si>
  <si>
    <t>DN457694</t>
  </si>
  <si>
    <t>Mailroom Equipment and Associated Software Services and Consumables</t>
  </si>
  <si>
    <t>PROJECT COMPLETED
Direct Award to Neopost (soon to change name to Quadrient) via CCS RM6017 framework.
This contract merges the procurement of additional software required with the original contract for the lease and support and maintenance for contract 'Envelope Inserter and Folding Machine and support and maintenance' which was due to expire in 2021.  This line below on the FPP can also be removed.</t>
  </si>
  <si>
    <t>BV form received from Andrew Lambert.</t>
  </si>
  <si>
    <t>DN511925</t>
  </si>
  <si>
    <t>Career Development Professional, Level 6 Apprenticeship</t>
  </si>
  <si>
    <t>Contract signed, YORtender &amp; contracts register records updated.</t>
  </si>
  <si>
    <t>DN440045</t>
  </si>
  <si>
    <t>Tanton Bridge</t>
  </si>
  <si>
    <t>Skelton North Bridge
Repointing, veg removal, parapet bulge repair, stone repairs on d/s voussiors</t>
  </si>
  <si>
    <t>Further Comp NYCC</t>
  </si>
  <si>
    <t>Project already in train</t>
  </si>
  <si>
    <t>Steve Hill</t>
  </si>
  <si>
    <t>Community Based Speech and Language Therapist (champions)</t>
  </si>
  <si>
    <t>Completed - extension and variation signed on signinghub</t>
  </si>
  <si>
    <t>DN462168</t>
  </si>
  <si>
    <r>
      <t>6+</t>
    </r>
    <r>
      <rPr>
        <sz val="11"/>
        <color rgb="FFFF0000"/>
        <rFont val="Calibri"/>
        <family val="2"/>
        <scheme val="minor"/>
      </rPr>
      <t>6</t>
    </r>
  </si>
  <si>
    <t>Katie thinks this has been done? This final extension was put in place until October 2020</t>
  </si>
  <si>
    <t>DN418867</t>
  </si>
  <si>
    <t>Hard Facilities Management 2020-2024</t>
  </si>
  <si>
    <t>2+1+1</t>
  </si>
  <si>
    <t>DN413836</t>
  </si>
  <si>
    <t xml:space="preserve">Snaygill Ings Bridge (A629)
Remove under deck drainage pipe across rail line, install cast iron deck units </t>
  </si>
  <si>
    <t xml:space="preserve">DN455666 </t>
  </si>
  <si>
    <t>Area 6 Winter Resurfacing &amp; Patching Tender</t>
  </si>
  <si>
    <t>Record 2 only</t>
  </si>
  <si>
    <t>Steph Deuchars (WSP)</t>
  </si>
  <si>
    <t>DN220073</t>
  </si>
  <si>
    <t>Public Health Medicines Optimisation Advisory Service</t>
  </si>
  <si>
    <t xml:space="preserve">Lincoln Sargeant / Victoria Ononeze </t>
  </si>
  <si>
    <t>HAS say did extension in Dec 2019 - awaiting further details of length of extesion and copy of the document</t>
  </si>
  <si>
    <t xml:space="preserve">DN445390 </t>
  </si>
  <si>
    <t>The Wensleydale School - Refurbishment of Changing Rooms
18013</t>
  </si>
  <si>
    <t xml:space="preserve">DN455656 </t>
  </si>
  <si>
    <t>Area 1 2019/20 R&amp;R Tender Package</t>
  </si>
  <si>
    <t>Scott Parker (WSP)</t>
  </si>
  <si>
    <t>m</t>
  </si>
  <si>
    <t>Unified Communications</t>
  </si>
  <si>
    <t xml:space="preserve">DN445307 </t>
  </si>
  <si>
    <t>Wood Footbridge 
Structural timber repairs, parapet and deck timber replacement - Requires full inspection</t>
  </si>
  <si>
    <t>2 weeks</t>
  </si>
  <si>
    <t>DN469492</t>
  </si>
  <si>
    <t xml:space="preserve">Contract Hire of Accessible MVP's </t>
  </si>
  <si>
    <t xml:space="preserve">Contract not awarded. </t>
  </si>
  <si>
    <t>DN454467</t>
  </si>
  <si>
    <t xml:space="preserve">Purchase of Accessible MVP's </t>
  </si>
  <si>
    <t>Contract not awarded, spec being reviewed with a view to conducting another further comp asap.</t>
  </si>
  <si>
    <t>DN454456</t>
  </si>
  <si>
    <t xml:space="preserve">No bids through this Lot. Completed. </t>
  </si>
  <si>
    <t xml:space="preserve">DN448988 </t>
  </si>
  <si>
    <t>Hambleton CE Primary School - Classroom Extension &amp; Refurbishment Works
(16033)</t>
  </si>
  <si>
    <t>email thread MSa to HEm 05/02/2020
Pending</t>
  </si>
  <si>
    <t>DN516354</t>
  </si>
  <si>
    <t>A167 Retaining Wall
Repairs, veg. clearance, fence</t>
  </si>
  <si>
    <r>
      <t>12+</t>
    </r>
    <r>
      <rPr>
        <sz val="11"/>
        <color rgb="FFFF0000"/>
        <rFont val="Calibri"/>
        <family val="2"/>
      </rPr>
      <t>12</t>
    </r>
    <r>
      <rPr>
        <sz val="11"/>
        <rFont val="Calibri"/>
        <family val="2"/>
      </rPr>
      <t>+12</t>
    </r>
  </si>
  <si>
    <t>Louise W sent to Emily Asquith-Fox to find out more information from the service re the 12 month extension. 03/10 To be confirmed by December. Louise Woodward confirmed 05.11.19 Invoice for 20/21 paid Dec 2019. VM emailed Holly to find out if we can just confirm extension via letter 07.01.2020 No extension document required for this. 3 year rolling contract paid for annaully. Holly from Angel confirmed payment for 20/21 in October 2019. No documentation needed. 08.01.2020</t>
  </si>
  <si>
    <t>DN458758</t>
  </si>
  <si>
    <t>Website Redesign and Hosting</t>
  </si>
  <si>
    <t>Mixd</t>
  </si>
  <si>
    <t>42 months</t>
  </si>
  <si>
    <t>ITQ</t>
  </si>
  <si>
    <t>Louise Wood</t>
  </si>
  <si>
    <t>Signed supplier T&amp;C's. Louise informed that Dale had advised this</t>
  </si>
  <si>
    <t xml:space="preserve">BVF received. </t>
  </si>
  <si>
    <t xml:space="preserve">DN469586 </t>
  </si>
  <si>
    <t>A165 Gristhorpe Bypass resurfacing scheme</t>
  </si>
  <si>
    <r>
      <t xml:space="preserve">Support and Maintenance case management system for ALL (2020-2023)
- EHM (formally Ecaf)
- LLA/LAS (contrOCC) Adults
- ContrOCC Children's
</t>
    </r>
    <r>
      <rPr>
        <i/>
        <sz val="11"/>
        <rFont val="Calibri"/>
        <family val="2"/>
        <scheme val="minor"/>
      </rPr>
      <t>- Servelec (previously Tribal/Synergy)
- MeLearning (sits as a separate contract but needs to be included) has a row on the FPP.
- Careworks and Aspire (separate rows on FPP)
(2020 Porject reference 2078 – Signs of Safety inc as part of the Liquid Logic Quote) 
(additional project to add Transfers of Care digital project - different project manager Kayleigh Thompson £35k + £7k maint - approach will be a variation)</t>
    </r>
  </si>
  <si>
    <t>Jackie Ridley/Lorena Phillips/Michelle Bellwood</t>
  </si>
  <si>
    <r>
      <t xml:space="preserve">PO Sent to Softcat , approved and processed </t>
    </r>
    <r>
      <rPr>
        <b/>
        <sz val="11"/>
        <rFont val="Calibri"/>
        <family val="2"/>
        <scheme val="minor"/>
      </rPr>
      <t>COMPLETED - on contracts register</t>
    </r>
  </si>
  <si>
    <t>Education &amp; Social Care Systems</t>
  </si>
  <si>
    <t>Harrogate Smart Parking (PMO 3019)</t>
  </si>
  <si>
    <r>
      <t>18</t>
    </r>
    <r>
      <rPr>
        <sz val="11"/>
        <color rgb="FFFF0000"/>
        <rFont val="Calibri"/>
        <family val="2"/>
        <scheme val="minor"/>
      </rPr>
      <t>+18</t>
    </r>
  </si>
  <si>
    <t>David Kirkpatrick</t>
  </si>
  <si>
    <t>Waiver approved</t>
  </si>
  <si>
    <t>T and C 
(Miscellaneous)</t>
  </si>
  <si>
    <t>DN244059</t>
  </si>
  <si>
    <t>Salary Finance Ltd (Formally Neyber)  Financial Wellbeing Service</t>
  </si>
  <si>
    <t>Initial period 01/07/2017 to 30/06/2020, with 24 month extension from 01/07/2020 to 30/06/2022. Contract suggests extension to start 1st April 2020 - 31st March 2022. Emailed Kim Trenholme. Kim happy to proceed with the extension. Chased Kim 06.03.2020 Extension agreement pulled together and sent to Kim. Dates changed on FPP too to match contract. Queried cost of contract to Kim. Justine Brooksbank to sign off. Change of name due to company being bought out. Deed of Novation with Legal- Extension complete and ready to load from CM when deed of novation comes back from Legal. Chased Kim T. Kim has a meeting in with Neyber 8th April Chase her after this. Kim to chase this after phone call with John. Still waiting to hear back from Legal re this. Kim has chased them. Chased Kim again for updates on DON. Chased Alice for deed of novation confirmation and who would sign it off.  antony.broadbent@salaryfinance.com to sign off. Chased Alice for update on DON. Alice confirmed she had recieved it today and sent it for signature. She will let me know once it has been signed so I can send the extension. Alice confirmed she is happy with the extension so getting mark to sign it at their end and then emailing it through to go on signing hub. Signed and completed</t>
  </si>
  <si>
    <t>N</t>
  </si>
  <si>
    <t>DN393170</t>
  </si>
  <si>
    <t>A1 Junction 47 Improvement</t>
  </si>
  <si>
    <t>[Appendix 3 23/08/2019?]</t>
  </si>
  <si>
    <t>Ken Moody
/ Mark Hugill</t>
  </si>
  <si>
    <t>DN491489</t>
  </si>
  <si>
    <t xml:space="preserve">Banking Services </t>
  </si>
  <si>
    <t xml:space="preserve">Paul Nicholson/Dawn Molyneux </t>
  </si>
  <si>
    <t xml:space="preserve">The record is added to Contracts register.  DR Process complete. </t>
  </si>
  <si>
    <t xml:space="preserve">DR Approved.  </t>
  </si>
  <si>
    <t>DN473657</t>
  </si>
  <si>
    <t>Cloud Backup Service for Schools</t>
  </si>
  <si>
    <t>T and C 
(School's ICT)</t>
  </si>
  <si>
    <t xml:space="preserve">DN484449 </t>
  </si>
  <si>
    <t>DN432896</t>
  </si>
  <si>
    <t>Voluntary, Community and Social Enterprise (VCSE) Infrastructure Sector Support Service Grant</t>
  </si>
  <si>
    <t>Neil Irving / Claire Lowery</t>
  </si>
  <si>
    <t>Library &amp; Community Services</t>
  </si>
  <si>
    <t xml:space="preserve">DN454162 </t>
  </si>
  <si>
    <t>Urban Grass Cutting</t>
  </si>
  <si>
    <t xml:space="preserve">Patricia Murphy </t>
  </si>
  <si>
    <t>FY2021Q1</t>
  </si>
  <si>
    <t>COMPLETE
Contract full signed (31/07/2020), Contract uploaded onto YORtender
YORtender - contracts register updated, OJEU CAN complete</t>
  </si>
  <si>
    <t>Grounds Maintenance Contract  (Corporate Only) - Area 3&amp;4 Harrogate/Craven and Selby</t>
  </si>
  <si>
    <t xml:space="preserve">Signed off and on Contracts Finder. </t>
  </si>
  <si>
    <t>Contracts to be uploaded via Signinghub</t>
  </si>
  <si>
    <t>DN531654</t>
  </si>
  <si>
    <t>Service Information System
(currently South Yorkshire Information System, provided by South Yorkshire Passenger Transport Executive)</t>
  </si>
  <si>
    <t>Best Value Form completed, initially for 01/01/20 - 31/03/21.  It was agreed with legal to amend the term to 01/04/20 - 31/03/21.  
New project has been setup for replacement with new line on FPP - Bus Service Registration, Publicity and NaPTAN Data System (2020 PMO Ref: 3023).</t>
  </si>
  <si>
    <t>Wheelchair tie-downs and Occupant Restraints</t>
  </si>
  <si>
    <t>Best Value Form received on 27 September 2017</t>
  </si>
  <si>
    <t>Signed off - collaboration agreement with HDFT.</t>
  </si>
  <si>
    <t>DN351973</t>
  </si>
  <si>
    <t>Integrated HR &amp; Payroll Managed Service (Currently Zellis)</t>
  </si>
  <si>
    <r>
      <t>96+</t>
    </r>
    <r>
      <rPr>
        <sz val="11"/>
        <color rgb="FFFF0000"/>
        <rFont val="Calibri"/>
        <family val="2"/>
        <scheme val="minor"/>
      </rPr>
      <t>24</t>
    </r>
  </si>
  <si>
    <t>Finance &amp; HR Systems</t>
  </si>
  <si>
    <t>DN437410</t>
  </si>
  <si>
    <t>Framework Agreement for the Provision of School's Online Payment Systems</t>
  </si>
  <si>
    <t xml:space="preserve">Provision of Support Services to the North Yorkshire Parents and Carers together (NYPACT) </t>
  </si>
  <si>
    <t>Complete procurement exercise - was unsuccessful.  Completed direct award to Community First Yorkshire on behalf of Parent Carer Voice.</t>
  </si>
  <si>
    <t xml:space="preserve">DN432378 </t>
  </si>
  <si>
    <t xml:space="preserve">LCS/ EHM MeLearning 
LLA MeLearning </t>
  </si>
  <si>
    <t>Jackie Ridley/Lorena Phillips</t>
  </si>
  <si>
    <t>Clinical psychologist (No Wrong Door, CAMHS, PiP).</t>
  </si>
  <si>
    <t>Mel Hutchinson</t>
  </si>
  <si>
    <t>on signinghub awaiting signature.
Direct award to TEWV.  Initial term 3 year - April 2020- March 2023 with option to extend for 2 further periods of 12 months - i.e. April 2023 - March 2024 and April 2024 - March 2025.</t>
  </si>
  <si>
    <t>DN471869</t>
  </si>
  <si>
    <t>Education case management - Servelec (previously Tribal/Synergy) Project Kairos 2020-2023</t>
  </si>
  <si>
    <t>Contract Signed, YORtender updated. Project Complete!</t>
  </si>
  <si>
    <t>Total spend to date £10,865.45 since 14/15. Total for 18/19 £1115.00. Best Value form covers until 31/03/2021.</t>
  </si>
  <si>
    <t xml:space="preserve">DN419044 </t>
  </si>
  <si>
    <t>Completed - Variation signed off via signing hub today, KL sent AR email to advise. AR intends to exten thre contract in another year once this is due (01/04/2020)</t>
  </si>
  <si>
    <t xml:space="preserve">
DN326185</t>
  </si>
  <si>
    <t>Project Management Tool (currently Project Vision)</t>
  </si>
  <si>
    <r>
      <t>AD- Signed off &amp; complete saved in folder - updated CR -</t>
    </r>
    <r>
      <rPr>
        <b/>
        <sz val="11"/>
        <rFont val="Calibri"/>
        <family val="2"/>
        <scheme val="minor"/>
      </rPr>
      <t xml:space="preserve"> completed</t>
    </r>
  </si>
  <si>
    <t>DN473981</t>
  </si>
  <si>
    <t>Shaun Mancrief / Kirsten Dixon</t>
  </si>
  <si>
    <t>DN419304</t>
  </si>
  <si>
    <t>Highways Engineering &amp; Design Consultancy (HEDC) contract (currently WSP)</t>
  </si>
  <si>
    <t>£3-4M PA</t>
  </si>
  <si>
    <t>Dave Handson</t>
  </si>
  <si>
    <t>Project Completed
Contract Award Notice published and YORtender updated. Requested copy of contract from service area once signed/sealed for our records.</t>
  </si>
  <si>
    <t>Ritch Bain / Jonathon Miller</t>
  </si>
  <si>
    <r>
      <t>Agreed with SS additional 12 months to be raised direct with civica additional £60K for 12 months if it was raised via the DAS framework . Agreement with Nick L that a full procurement process must be done for 2021 onwards- Ritch to raise PO/NL putting project in place  -</t>
    </r>
    <r>
      <rPr>
        <b/>
        <sz val="11"/>
        <rFont val="Calibri"/>
        <family val="2"/>
      </rPr>
      <t xml:space="preserve"> Complete</t>
    </r>
  </si>
  <si>
    <t>Traded Service Online Communications Platform
(currently SLA Online - provided by Frontline Data)</t>
  </si>
  <si>
    <t>PROJECT COMPLETED
Contract in place since 2013.  Waiver approved on 28/01 for an additional 12 month extension.  Decision Record sent on 03/03.  Project will be sent through shortly via Emily for re-procurement.</t>
  </si>
  <si>
    <t>DN470316</t>
  </si>
  <si>
    <t>Case Management System - Aspire (Project Kairos)</t>
  </si>
  <si>
    <t xml:space="preserve">awaiting extension doc from HAS
Gateway 4 approved by PAB 21/12/2018 for one year - to 31st March 2020.  Further extension of 1 year to 31st March 2021 available. 
Looking at possibility of including within Healthy Child Programme due to be in place in March 2020 but this is very early days.
Extension for 4 months only as HDFT no longer wish to deliver service.
Epidemiology aspect was due to be included in a NHSE procurement but the procurement failed and subsequently the epidemiology was removed from the specification.  </t>
  </si>
  <si>
    <t>Mental Health Support Line</t>
  </si>
  <si>
    <t>18+12</t>
  </si>
  <si>
    <t>Stacey Annandale</t>
  </si>
  <si>
    <t>under threshold - HAS will let me know once done the variation/extension</t>
  </si>
  <si>
    <t>DN418665</t>
  </si>
  <si>
    <t>Craven, Ryedale and Miscellaneous - Home to School Transport &amp; Local Bus Services</t>
  </si>
  <si>
    <t>£5,081,529 (H2S)
£978,274 (LBS)</t>
  </si>
  <si>
    <t>Supported lodgings for UASC (unaccompanied asylum seeking children)</t>
  </si>
  <si>
    <t>12+24</t>
  </si>
  <si>
    <t>Alan Tucker</t>
  </si>
  <si>
    <t xml:space="preserve">Extension is signed and completed .
</t>
  </si>
  <si>
    <t>Supporting People Countywide Emergency &amp; Extended Supported Lodgings (SASH)</t>
  </si>
  <si>
    <t xml:space="preserve">Extension is signed and completed </t>
  </si>
  <si>
    <t>Winter Heating - Air Source Heat Pumps</t>
  </si>
  <si>
    <r>
      <t xml:space="preserve">Contract signed and sealed - sent out to supplier - </t>
    </r>
    <r>
      <rPr>
        <b/>
        <sz val="11"/>
        <rFont val="Calibri"/>
        <family val="2"/>
        <scheme val="minor"/>
      </rPr>
      <t xml:space="preserve">Completed </t>
    </r>
  </si>
  <si>
    <t>Winter Heating - Warm Homes Scheme Boiler Installation</t>
  </si>
  <si>
    <t>£268,000 + £248638</t>
  </si>
  <si>
    <r>
      <t xml:space="preserve">contract signed </t>
    </r>
    <r>
      <rPr>
        <b/>
        <sz val="11"/>
        <rFont val="Calibri"/>
        <family val="2"/>
        <scheme val="minor"/>
      </rPr>
      <t>-Completed</t>
    </r>
  </si>
  <si>
    <t>Key decision 6/12/19. PAB 29/11/19.  Contract written and complete. Move to completed</t>
  </si>
  <si>
    <t>DN434223</t>
  </si>
  <si>
    <t xml:space="preserve">Smoking Cessation System - Quit Manager </t>
  </si>
  <si>
    <t>Yr1 conducted via Best Value form. Louise Woodward confirmed they are happy to proceed with extension. Email supplier as per the best value form. VM 07/10/2019</t>
  </si>
  <si>
    <t>DN451445</t>
  </si>
  <si>
    <t>Margaret Boustead/Nick Leggott</t>
  </si>
  <si>
    <t xml:space="preserve">Awarded through BV form. Added to Contracts Register. </t>
  </si>
  <si>
    <r>
      <t>12+</t>
    </r>
    <r>
      <rPr>
        <sz val="11"/>
        <color rgb="FFFF0000"/>
        <rFont val="Calibri"/>
        <family val="2"/>
        <scheme val="minor"/>
      </rPr>
      <t>12</t>
    </r>
    <r>
      <rPr>
        <sz val="11"/>
        <color theme="1"/>
        <rFont val="Calibri"/>
        <family val="2"/>
        <scheme val="minor"/>
      </rPr>
      <t>+12+12</t>
    </r>
  </si>
  <si>
    <t>Link in with Ally - Direct award under G Cloud. Emailed Jen and Nick on 11.11.19 to confirm they are happy to proceed with this provider. G-Cloud document pulled together and put on signing hub 19th December for Judith Kirk to sign off. Waiting for Helen from Aspire to confirm costs again. Jen and Julie agreed the prices. Helen Robinson amened some of the wording and sent back. 28.02.2020 Checked and back on Signing Hub 05/03/2020 Helen unable to access the system so VM had to re-submit the document to see if she could access it via the link. Completed and signed off 20.03.2020</t>
  </si>
  <si>
    <t>DN456910</t>
  </si>
  <si>
    <t xml:space="preserve">Completed and published on Contract Register. </t>
  </si>
  <si>
    <t xml:space="preserve">Completed. Included on Contracts Register.  </t>
  </si>
  <si>
    <t>HR Training. Emailed Anna Rea on 14.01 to let her know about 12 month extension. Wait for her to come back and draft up agreement. Emailed Clare Nowell on 14.01 to find out if the annual fee will stay the same and who will sign it off at their end. 20,000 lives. On signing hub 16.01.2020 SIGNED OFF 04.02.2020</t>
  </si>
  <si>
    <t>DN</t>
  </si>
  <si>
    <t>Corporation Tax Advisers / External Auditors (FNL)</t>
  </si>
  <si>
    <t>Paul Nicholson</t>
  </si>
  <si>
    <t>Contract sent via signinghub</t>
  </si>
  <si>
    <t>Corporation Tax Advisers / External Auditors (Brierley Homes)</t>
  </si>
  <si>
    <t>Corporation Tax Advisers / External Auditors (Align Property Partners)</t>
  </si>
  <si>
    <t xml:space="preserve">Agreed with Stacey (13/8) that because spend on Oracle going back to 2015/16 is £18,304.06 that IPT can continue to purchase from BraunAbility directly until the value exceeds £25,000. Best Value Form completed. BraunAbility weren't on any public procurement frameworks, however, CCS RM3814 Vehicle Conversions DPS has a number of providers that BraunAbility supply to. </t>
  </si>
  <si>
    <t>circa £3500</t>
  </si>
  <si>
    <t>PROFESSIONAL</t>
  </si>
  <si>
    <t>Engineering Consultancy Services</t>
  </si>
  <si>
    <t>potential 48</t>
  </si>
  <si>
    <t>David Handson</t>
  </si>
  <si>
    <t>DN265052</t>
  </si>
  <si>
    <t>Minor Adaptations</t>
  </si>
  <si>
    <t>Health &amp; Adult Services</t>
  </si>
  <si>
    <t xml:space="preserve">DN440272 </t>
  </si>
  <si>
    <t>Painting Contractors Framework Contract</t>
  </si>
  <si>
    <t>DN435048</t>
  </si>
  <si>
    <t>Civil Engineering Contractors Framework 2020</t>
  </si>
  <si>
    <t>Andrew Binner / Claire Smart</t>
  </si>
  <si>
    <t xml:space="preserve">DN440218 </t>
  </si>
  <si>
    <t>Carriageway Planing and Surfacing Contractors Framework</t>
  </si>
  <si>
    <t>Composition and Purity Testing and Analysis Services Framework</t>
  </si>
  <si>
    <t>Extend</t>
  </si>
  <si>
    <t>DN468721</t>
  </si>
  <si>
    <t>Adobe Licences (Corporate)</t>
  </si>
  <si>
    <t>Completed
Links to Adobe Licences (Schools ICT for Align Property Services) which is also complete.
Run under CCS aggregation exercise.  Contract value is based on minimum level of spend with supplier but there is the option to add additional licenses throughout the term.</t>
  </si>
  <si>
    <t>Corporate Systems</t>
  </si>
  <si>
    <t>DN457079</t>
  </si>
  <si>
    <t>Killinghall - classroom extension
19002</t>
  </si>
  <si>
    <t>Previously Best value form submitted by Gavin. Scope for further extensions within best value threshold. Speak to John Leroyd.  Sent BVF to Andrew Lambert 27.01.2020. Chased Andrew on 19.02.2020. Andrew going straight through framework. He will let me know when this has been completed. Andrew chased this. Chased Andrew for renewal pricing. Chased again. Completed- Andy pulled together the renewal. Renewed at a cost of £3895.24.</t>
  </si>
  <si>
    <t>BV previous completed for this - as below, this may be incorporated into the 2 factor authentication.</t>
  </si>
  <si>
    <t>DN456328</t>
  </si>
  <si>
    <r>
      <t>Current contract 2+1+1 years, via Gcloud with Affinitext - Good to go ahead with the extension. Confirmation from Suzanne on 13.11.2019 Silas and Suzanne confirmed they would like to proceed with 24 month extension. G Cloud document pulled together and put on signing hub 08.01.2020 Account meeting with Jem on 28.01.2020 queried why extension agreement wasn't signed off on their end. Jem checking with Graham. Reminder sent to Jem 03.02.2020 - Email sent to Jem following up on Graham signing off the document. Signed by Jem Fennel 13.02.2020 waiting for Silas to sign off - Changed from a 24 month term to 2x12 month terms and resubmitted on our NYCC extension agreement rather than the G-Cloud Call-Off document. NYCC extension agreement put onto Signing Hub for Andy J to sign 06/03/2020. Sent reminders for this 30.03.2020</t>
    </r>
    <r>
      <rPr>
        <b/>
        <sz val="11"/>
        <rFont val="Calibri"/>
        <family val="2"/>
        <scheme val="minor"/>
      </rPr>
      <t xml:space="preserve"> SIGNED AND COMPLETED 30.03.2020</t>
    </r>
  </si>
  <si>
    <t>£778pa</t>
  </si>
  <si>
    <t xml:space="preserve">Received best value. </t>
  </si>
  <si>
    <t>DN482124</t>
  </si>
  <si>
    <t xml:space="preserve">Spennithorne (Shuttle) Bridge Traffic Signals Refurbishment </t>
  </si>
  <si>
    <t>David Mill</t>
  </si>
  <si>
    <t>DN495922</t>
  </si>
  <si>
    <r>
      <t>Pensioner Payroll Reconciliation - [</t>
    </r>
    <r>
      <rPr>
        <b/>
        <sz val="11"/>
        <color theme="1"/>
        <rFont val="Arial"/>
        <family val="2"/>
      </rPr>
      <t>Phase 2</t>
    </r>
    <r>
      <rPr>
        <sz val="11"/>
        <color theme="1"/>
        <rFont val="Arial"/>
        <family val="2"/>
      </rPr>
      <t xml:space="preserve">] </t>
    </r>
  </si>
  <si>
    <t>3+3</t>
  </si>
  <si>
    <t xml:space="preserve">T&amp;Cs signed and in file. On Contracts Register. </t>
  </si>
  <si>
    <t>DN431920</t>
  </si>
  <si>
    <t>Middle Deepdale new primary school</t>
  </si>
  <si>
    <t>DN483340</t>
  </si>
  <si>
    <t>Web-based Secure File Transfer System for Early Year Provider Data
(currently AnyComms Plus, provided by AVCO Systems)</t>
  </si>
  <si>
    <t>PROJECT COMPLETED
Extended contract via Covid-19 extension.  Previous award was via Best Value Form.
This is not a rolling contract and will need procuring at end of current contract although T&amp;C plan to review potential future in-house options.</t>
  </si>
  <si>
    <t>DN461360</t>
  </si>
  <si>
    <t>Scarborough Junction Q
Scalby Road / Stepney Drive – new traffic signals, road and junction widening
(Scarborough Critical Junctions - Hospital Junction)</t>
  </si>
  <si>
    <t>Lisa Flear / WSP</t>
  </si>
  <si>
    <t>DN496164</t>
  </si>
  <si>
    <t>North Northallerton New Primary School
18035</t>
  </si>
  <si>
    <t>DN430948</t>
  </si>
  <si>
    <t>Scarborough Junction P
Stepney Road / Stepney Drive – alterations to roundabout (widening of entrances and exits)</t>
  </si>
  <si>
    <t>DN480384</t>
  </si>
  <si>
    <t>DN322836</t>
  </si>
  <si>
    <t>Occupational Health Management System</t>
  </si>
  <si>
    <r>
      <t>24+</t>
    </r>
    <r>
      <rPr>
        <sz val="11"/>
        <color rgb="FFFF0000"/>
        <rFont val="Calibri"/>
        <family val="2"/>
        <scheme val="minor"/>
      </rPr>
      <t>12</t>
    </r>
  </si>
  <si>
    <t>Anna Rea/ Nick Leggott</t>
  </si>
  <si>
    <t>First/only extension. To be assigned to ACO. Procurement Link Graham. Emailed Anna Rea on this. Nick L to find out who leads this in systems. Pull together agreement and immediately start on plan for post June 2021. Anna Rea confirmed 36 month term including extension period was paid for in full at the beginning. Emailed Ann Scaife on 02.03.2020. Chased the email 13.03.2020 -Gemma from Warwick confirmed there has been a change in company name and number so a DON is now needed. Sent this to Anna Rae and Legal. Legal to draft up DON and send to VM. VM completed legal instruction form and sent back to Anna Rea 17.03.2020 Emailed Anna 30.03.2020 to find out when she sent the legal request form. Anna R has still not sent the legal form. Filled it out for her and asked her to send it asap. Natalie C sent the request form on Annas behalf. Chased Natalie and emailed Ann Sacrif to find out who would sign it off at Warwick. Natalie confirmed that legal have the deed of novation. Waiting to hear back from them. Richard Conner looking into PO and invoice. PO's sent to Warwrick from Roybn. Richard Connor confirmed with Ann. Chased Natalie to see if DON has been sent directly to Warwick. Mark Shaw presigned the novation agreement. Loaded onto Signing Hub 01/06. Extension put on signing hub for Andrew Jarvis. Catch up with Natalie re why this was only extended for one year. Andy now to sign</t>
  </si>
  <si>
    <t>First Year Cost:
£35,193.00
Year 2 &amp; 3 Total:
£21,965.00</t>
  </si>
  <si>
    <r>
      <t>12+</t>
    </r>
    <r>
      <rPr>
        <sz val="11"/>
        <color rgb="FFFF0000"/>
        <rFont val="Calibri"/>
        <family val="2"/>
        <scheme val="minor"/>
      </rPr>
      <t>9</t>
    </r>
    <r>
      <rPr>
        <sz val="11"/>
        <rFont val="Calibri"/>
        <family val="2"/>
        <scheme val="minor"/>
      </rPr>
      <t>+12</t>
    </r>
  </si>
  <si>
    <t>Kendra Nell / Kirstie Paterson</t>
  </si>
  <si>
    <t>OTE to 26 Feb 2021 approved by PAB 01/05/20.  There is a further opportunity to extend to 26 Feb 2022 (see line 139).  KN would like to review options in a few months time.
Contract extension fully signed 25/06/20</t>
  </si>
  <si>
    <t xml:space="preserve">DN481622 </t>
  </si>
  <si>
    <t>Supervision support contract A1 Junction 47 Improvement
(Provision of A1(M) J47 Construction Phase Support Services)</t>
  </si>
  <si>
    <t>Ken Moody (Starts mid-July)</t>
  </si>
  <si>
    <t>COMPLETE
Contract Signed, YORtender updated</t>
  </si>
  <si>
    <t>N/A (One off Project)</t>
  </si>
  <si>
    <t>Domestic Abuse Accommodation-based Support Services</t>
  </si>
  <si>
    <t>Qtr 1 - 2020/21</t>
  </si>
  <si>
    <t>Director's Recommendation approved 10/07/2020.
Marion Sadler completed Decision Record. 
Contract signed</t>
  </si>
  <si>
    <t>E Governance Software to enable the management of the generation and publication of agendas to be handled entirely electronically (Currently Weblabs)</t>
  </si>
  <si>
    <t>26+12+12</t>
  </si>
  <si>
    <t>Carol Watts / Daniel Harry / Silas Holland / Karen Wilson</t>
  </si>
  <si>
    <t>Contract signed. Commencement date 31/01/20, go-live date 01/06/2020.</t>
  </si>
  <si>
    <t>Becky Naisbitt / Kendra Nell</t>
  </si>
  <si>
    <r>
      <rPr>
        <sz val="11"/>
        <color rgb="FFFF0000"/>
        <rFont val="Calibri"/>
        <family val="2"/>
      </rPr>
      <t>24</t>
    </r>
    <r>
      <rPr>
        <sz val="11"/>
        <rFont val="Calibri"/>
        <family val="2"/>
      </rPr>
      <t>+24</t>
    </r>
  </si>
  <si>
    <t>NFA until Jan 22.</t>
  </si>
  <si>
    <t>DN521408</t>
  </si>
  <si>
    <t xml:space="preserve">John Law sent SLA through, presume on suppliers terms. </t>
  </si>
  <si>
    <t>Approved.</t>
  </si>
  <si>
    <t>Jonathan Spencer</t>
  </si>
  <si>
    <t>Contract variation completed</t>
  </si>
  <si>
    <t>SPS Doorguard - Out of Hours telephone and Carers Card</t>
  </si>
  <si>
    <t>Adam Gray</t>
  </si>
  <si>
    <t>Qtr 2 - 2020/21</t>
  </si>
  <si>
    <t>Holy Trinity Inf - review of west riding</t>
  </si>
  <si>
    <t>Leeming R A F - outdoor devopment</t>
  </si>
  <si>
    <t>Richmond Methodist Primary School - Review of temp unit</t>
  </si>
  <si>
    <t>Lindhead School - increase capacity to a 1.5 form school</t>
  </si>
  <si>
    <t>Water Street - Safeguarding (10912)</t>
  </si>
  <si>
    <t xml:space="preserve">Hertford Vale - Toilet refurb (19023) </t>
  </si>
  <si>
    <t>DN444823</t>
  </si>
  <si>
    <t>Sherburn Hungate Primary School - Five classroom extension, Hall &amp; Playground extension and internal remodel
16100</t>
  </si>
  <si>
    <t>bid</t>
  </si>
  <si>
    <t>Replacement Archivist Facilities</t>
  </si>
  <si>
    <t>Naomi Smith / 
Michael Bowron</t>
  </si>
  <si>
    <t>DN465680</t>
  </si>
  <si>
    <t>Malton School - Replacement of Pitched Roof Coverings and Windows 18032 0013</t>
  </si>
  <si>
    <t>Paula McLean /Andy Purdy (Property)
QS: Jack Fearn (Align)</t>
  </si>
  <si>
    <t xml:space="preserve">DN399720 </t>
  </si>
  <si>
    <t>Market Town Wi Fi</t>
  </si>
  <si>
    <t>IntentioInkspotwifi Limitedn to award issued</t>
  </si>
  <si>
    <t>TBA</t>
  </si>
  <si>
    <t>RFQ</t>
  </si>
  <si>
    <t xml:space="preserve">Craig Nattress </t>
  </si>
  <si>
    <t>Valley Bridge, Scarborough Maintenance Paint Works Phase 2
[painting presumed?]</t>
  </si>
  <si>
    <t>DN465681</t>
  </si>
  <si>
    <t>Sherburn High School - Replacement of Library Flat Roof
18032 0020</t>
  </si>
  <si>
    <t>DN469487</t>
  </si>
  <si>
    <t>Brompton on Swale - redevelopment PCU Replacement</t>
  </si>
  <si>
    <t>DN479396</t>
  </si>
  <si>
    <t>Sherburn High - fire restoration works including gym and changing rooms</t>
  </si>
  <si>
    <t>PPE</t>
  </si>
  <si>
    <t>PPE (currently NEPO)</t>
  </si>
  <si>
    <t>Graham Millichap / Amanda Manifield</t>
  </si>
  <si>
    <t>KL taking this forward under Covid-19 special variation / extension.
NEPO framework due to end 31 July 2020 - Shona MacDaid from South Tyneside has advised that the framework will probably be extended to September 2020.</t>
  </si>
  <si>
    <r>
      <t>36+24+</t>
    </r>
    <r>
      <rPr>
        <sz val="11"/>
        <color rgb="FFFF0000"/>
        <rFont val="Calibri"/>
        <family val="2"/>
        <scheme val="minor"/>
      </rPr>
      <t>24</t>
    </r>
  </si>
  <si>
    <t>Lorena Phillips / Chrys Mellor</t>
  </si>
  <si>
    <t xml:space="preserve">Extension approved by PAB 06/09/2019. Was sent to Capitas Legal department on 20th Sep. Added to Signing Hub 04.10.2019. Completed and Signed off 14.10.2019 </t>
  </si>
  <si>
    <t xml:space="preserve">DN412934 </t>
  </si>
  <si>
    <t xml:space="preserve">Nikki Joyce </t>
  </si>
  <si>
    <t>DN489732</t>
  </si>
  <si>
    <t>Hodge Beck - Retaining Wall and Scour repair</t>
  </si>
  <si>
    <t>DN491322</t>
  </si>
  <si>
    <t>Lul Beck Cinteca anchors and pointing</t>
  </si>
  <si>
    <t>DN490115</t>
  </si>
  <si>
    <t>Transcription of Council Meetings</t>
  </si>
  <si>
    <t>ITL North East Ltd</t>
  </si>
  <si>
    <t>Simon Copley</t>
  </si>
  <si>
    <t>Direct award via CCS framework as lowest rate supplier that can meet requirements</t>
  </si>
  <si>
    <t>12 month extension taken Direct award via CCS framework as lowest rate supplier that can meet requirements</t>
  </si>
  <si>
    <t>DN484907</t>
  </si>
  <si>
    <t xml:space="preserve">Repair Maintenance at River Aire - Vacuum </t>
  </si>
  <si>
    <t>Philip Richardson / Josh Calvert</t>
  </si>
  <si>
    <t>DN509179</t>
  </si>
  <si>
    <t>A19 Selby flooding repairs
Chapel Haddlesey crossroads and Wand Lane, Eggborough</t>
  </si>
  <si>
    <t>James Malcolm
Vicky Belton (wsp)</t>
  </si>
  <si>
    <t xml:space="preserve">DN436995 </t>
  </si>
  <si>
    <r>
      <t>12+</t>
    </r>
    <r>
      <rPr>
        <sz val="11"/>
        <color rgb="FFFF0000"/>
        <rFont val="Calibri"/>
        <family val="2"/>
        <scheme val="minor"/>
      </rPr>
      <t>12</t>
    </r>
    <r>
      <rPr>
        <sz val="11"/>
        <color theme="1"/>
        <rFont val="Calibri"/>
        <family val="2"/>
        <scheme val="minor"/>
      </rPr>
      <t>+12</t>
    </r>
  </si>
  <si>
    <t>Email sent to Nicola requesting meeting. No further information on this yet. Emailed Matt Hunter to find out more. Extension document pulled together referencing G-Cloud Call-Off original contract 2019. Chased Matt Hunter 13.03.2020. Contact Nimbus for potential reduced rates re licencing. Chased but this may have to just be extended. G-Cloud document on signing hub. Signed and completed 23.04.2020</t>
  </si>
  <si>
    <t>DN486075</t>
  </si>
  <si>
    <t>Skeeby Bridge (A6108)
Repointing throughout structure, check on possible anchors in arch. Repair parapets.</t>
  </si>
  <si>
    <t>Steve Hill
Jon-Pierre Winlow (Bridges)</t>
  </si>
  <si>
    <t>DN484284</t>
  </si>
  <si>
    <t>Area 2 2020/21 R&amp;R Package
Chopgate from Junction with B1257 at Seave Green to Urra, Crayke at Daffy Lane, Cheslar Pit Lane, unamed section U1656, Hutton Bonville Church Lane
Carriageway patching, overlay and sections of resurfacing</t>
  </si>
  <si>
    <t>Flood Pump Infrastructure</t>
  </si>
  <si>
    <t>DN494406</t>
  </si>
  <si>
    <t>Recruitment Admin System (DBS Functionality)
(currently provided by Oleeo)</t>
  </si>
  <si>
    <t>PROJECT COMPLETED
Links to main Recruitment Admin system and HR Payroll; however, this project is solely for the DBS functionality.  Direct awarding to existing supplier via G-Cloud 11.</t>
  </si>
  <si>
    <t>Area 4 Pickering R&amp;R
Carriageway maintenance</t>
  </si>
  <si>
    <t>Tim Coyne /
WSP
Charlie Deuchars</t>
  </si>
  <si>
    <t>Area 4 Thornton Dale R&amp;R
Carriageway maintenance</t>
  </si>
  <si>
    <t>Area 4 Wombleton R&amp;R
Carriageway maintenance</t>
  </si>
  <si>
    <t>DN489469</t>
  </si>
  <si>
    <t>Dalton Lane – Road Lifting (Dalton Highway Improvement Scheme)</t>
  </si>
  <si>
    <t>DN488278</t>
  </si>
  <si>
    <t>Area 4 R&amp;R 2020/21 Tender Package 
Malton, Pickering, Thornton le Dale, Wombleton &amp; Nunnington R&amp;R Package
Carriageway maintenance
Combined into one.</t>
  </si>
  <si>
    <t>Area 6 Leeds Road  R&amp;R</t>
  </si>
  <si>
    <t>WSP
Scott Parker</t>
  </si>
  <si>
    <t>Area 6 Norwood Lane Beckwithshaw R&amp;R</t>
  </si>
  <si>
    <t>Area 6 Timble R&amp;R</t>
  </si>
  <si>
    <t>Area 6 Galphay Studley Roger  R&amp;R</t>
  </si>
  <si>
    <t>Area 6 Harrogate R&amp;R</t>
  </si>
  <si>
    <t>DN479650 (Minicomp)
DN413451 (RFI)</t>
  </si>
  <si>
    <t>60+24+24+12</t>
  </si>
  <si>
    <t>Phillipa Cockerill/Jo Wade/ Nick Leggott</t>
  </si>
  <si>
    <t>Awarded through LGPS framework previously then extended, a key decision was previously completed.</t>
  </si>
  <si>
    <t>DN333232</t>
  </si>
  <si>
    <t>Lot 2 Leadership &amp; Management Apprenticeships</t>
  </si>
  <si>
    <t>Contract signed off. Schools contract NFA required.</t>
  </si>
  <si>
    <t>DN494907</t>
  </si>
  <si>
    <t>EDRMS (Electronic Document and Records Management System)
(currently Wisdom, provided by Daisy)</t>
  </si>
  <si>
    <t>PROJECT COMPLETED
New line has not been added yet.</t>
  </si>
  <si>
    <t>T and C 
(Business)</t>
  </si>
  <si>
    <r>
      <t>24+12+</t>
    </r>
    <r>
      <rPr>
        <sz val="11"/>
        <color theme="1"/>
        <rFont val="Calibri"/>
        <family val="2"/>
        <scheme val="minor"/>
      </rPr>
      <t>12</t>
    </r>
    <r>
      <rPr>
        <sz val="11"/>
        <rFont val="Calibri"/>
        <family val="2"/>
        <scheme val="minor"/>
      </rPr>
      <t>+</t>
    </r>
    <r>
      <rPr>
        <sz val="11"/>
        <color theme="1"/>
        <rFont val="Calibri"/>
        <family val="2"/>
        <scheme val="minor"/>
      </rPr>
      <t>12</t>
    </r>
    <r>
      <rPr>
        <sz val="11"/>
        <rFont val="Calibri"/>
        <family val="2"/>
        <scheme val="minor"/>
      </rPr>
      <t>+</t>
    </r>
    <r>
      <rPr>
        <sz val="11"/>
        <color rgb="FFFF0000"/>
        <rFont val="Calibri"/>
        <family val="2"/>
        <scheme val="minor"/>
      </rPr>
      <t>12</t>
    </r>
    <r>
      <rPr>
        <sz val="11"/>
        <rFont val="Calibri"/>
        <family val="2"/>
        <scheme val="minor"/>
      </rPr>
      <t>+12</t>
    </r>
  </si>
  <si>
    <t>£4,999 pa</t>
  </si>
  <si>
    <t xml:space="preserve">Clsoed </t>
  </si>
  <si>
    <t>Contract has been extended from 1st September 2019 till 31st August 2020 £4999.00. Contract has been fully signed off.  Contact made with Lorena 06.02.2020 Chased Louise 05/03/2020 - Yortender "Web based educational visits" states different end dates. LW emailed Adrian Clarke re extension. AC happy to continue with extension. VM to load extension onto Signing Hub July/August 2020. All drafted up. Waiting to hear who would sign it off for NYCC. GDPR wording to be added in variation and checked off with legal before sign off. Sent to legal 14.07.2020  GDPR wording sat with Gemma at Legal. New GDPR  wording send to Lauren at eduFocus to review before signing off and getting the extension signed off. Variation and Extension sent over to Lauren to review. Need names of signatories. Chased Lauren again. These need to go onto Signing Hub as soon as possible. Delay at supplier end. Variation still under review with the supplier. VM emailed the extension document to be reviewed to get this signed off asap whilst we discuss GDPR wording. Extension document on signing hub 02.11.20 SIGNED OFF 04.11.20</t>
  </si>
  <si>
    <t>Education</t>
  </si>
  <si>
    <t>Link in with Graham - Shaun confirmed he would like to go ahead with the 12 month extension. GW4 Drafted up. Meet with Shaun/ Graham F. Meeting in place 27/02/2020. Sent draft gateway 4 to Graham F to look over and add to.  GF currently working on two tenders and will look at the gateway when he can. Chased this with Graham Foxton. Meeting in place 18th June. Works on Fretwell suspended. Want to extend for 24 months. GW drafted and sent to Graham and Shaun. Need more wording on parent pay and waiting for figures to come back for potentail reductions. Inflation? Chased Graham and Shaun. Shaun haggling with Cypad over price. Stacey Added comments. Chased Karl 25.09.2020 Chased Karl 15.10 Chased Karl again 27th Oct. Karl mentioned he has some questions around the contract and that he has been in touch with Shaun. Emailed Shaun. Put on signing hub 02.11. SIGNED OFF ON SIGNING HUB</t>
  </si>
  <si>
    <t>DN496776</t>
  </si>
  <si>
    <t>Procurement Apprenticeships Level 3 &amp; 4</t>
  </si>
  <si>
    <t>Director recommendation signed off however the apprenticeships are no longer required with this provider and/or they are unable to fulfill the requirement. YORtender record archived</t>
  </si>
  <si>
    <t>PMO 2020 - 2298 - Purchasing of AV1’s</t>
  </si>
  <si>
    <t>Sarah Fawcett</t>
  </si>
  <si>
    <t xml:space="preserve">Directors Recommendation utilised as a specialist supplier. 
Completed. </t>
  </si>
  <si>
    <t>DN515137</t>
  </si>
  <si>
    <t>PMO 2020 - 2298 - SEND Medical Tuition Model</t>
  </si>
  <si>
    <t>Best Value Form used for Academy 21 whilst likely demand is determined. Procurement to be undertaken once we have a clearer picture of demand. 
Contract signed off. YORtender account created and updated</t>
  </si>
  <si>
    <t>DN495597</t>
  </si>
  <si>
    <t>Associated Project Manager Level 4 Apprenticeship</t>
  </si>
  <si>
    <t>Direct</t>
  </si>
  <si>
    <t>Contract signed off, YORtender updated and  project added to contract register</t>
  </si>
  <si>
    <t>Already going through</t>
  </si>
  <si>
    <t xml:space="preserve"> DN441780</t>
  </si>
  <si>
    <r>
      <t xml:space="preserve">36 + </t>
    </r>
    <r>
      <rPr>
        <sz val="11"/>
        <color rgb="FFFF0000"/>
        <rFont val="Calibri"/>
        <family val="2"/>
        <scheme val="minor"/>
      </rPr>
      <t>24</t>
    </r>
  </si>
  <si>
    <t xml:space="preserve">Extension period available for 01/09/2020 to 31/08/2022. Draft pulled together on 14.10.2019 and sent to Jo Foster-Wade. Put on Signing Hub 14.10.2019. Added onto Yortender under new extension DN441780. Completed and SIGNED </t>
  </si>
  <si>
    <t>Louise Lunn/Annabel Jelly</t>
  </si>
  <si>
    <t xml:space="preserve">Best value form completed. </t>
  </si>
  <si>
    <t xml:space="preserve">Solid Fuel - Coal </t>
  </si>
  <si>
    <t>Folkton - Settlement investigation and remidials</t>
  </si>
  <si>
    <t>Further comp - NYCC</t>
  </si>
  <si>
    <t>Allerton Wath - Waterproofing and painting</t>
  </si>
  <si>
    <t>Open Bid</t>
  </si>
  <si>
    <t>DN483122</t>
  </si>
  <si>
    <t>Harper Wath - Repaint and resurface</t>
  </si>
  <si>
    <t>herburn</t>
  </si>
  <si>
    <t xml:space="preserve">DN488073 </t>
  </si>
  <si>
    <t>Low Easby Bridge - Waterproofing, Painting &amp; Invert Repair</t>
  </si>
  <si>
    <t>DN486097</t>
  </si>
  <si>
    <t>NYCC Area 5 Carriageway Patching and Surfacing Package 2020/21
Carriageway patching and resurfacing at 12 locations within the Skipton area of North Yorkshire.
Calton, Airton, Coniston Cold, Draughton, East Marton, Eshton, Hetton, Keighly Rd Skipton, Scosthorpe, Skipton Bypass, Sutton &amp; Winterburn</t>
  </si>
  <si>
    <t xml:space="preserve">DN488288 </t>
  </si>
  <si>
    <t>Cogden South (C107) &amp; Beck Reconstruct  – New Structure Works</t>
  </si>
  <si>
    <t>Lot 7 Hospitality &amp; Catering Apprenticeships</t>
  </si>
  <si>
    <t>Extension agreement signed off, YORtender updated</t>
  </si>
  <si>
    <t>Payments software (Currently CORVID)</t>
  </si>
  <si>
    <t xml:space="preserve">OTE 1 Link in with Ally. Meeting in place to discuss Corvid and Bottomline 24th March 2020. Meeting moved to 30/03/2020. This needs a variation and extension. Natalie to send over details. Loaded onto signing hub 07.05.2020.Sent reminders for signature </t>
  </si>
  <si>
    <t>Area 1 Wensley R&amp;R (now included in Package 2)</t>
  </si>
  <si>
    <t>WSP
Charlie Deuchars / Scott Parker</t>
  </si>
  <si>
    <t>Area 1 Feetham R&amp;R</t>
  </si>
  <si>
    <t>WSP
Charlie Deuchars</t>
  </si>
  <si>
    <t>DN476035</t>
  </si>
  <si>
    <t>Fleet Management System (2020 PMO Ref: 1944)
(new provision)</t>
  </si>
  <si>
    <t>Ian Fielding is Sponsor / Silas Holland is Contract Manager</t>
  </si>
  <si>
    <t>£25,000 (year 2 onwards)</t>
  </si>
  <si>
    <t>DN460655</t>
  </si>
  <si>
    <t>Special Educational Needs Home to School Transport (x5 schools)
- Brompton Hall School, Scarborough
- Forest Moor School, Harrogate
- The Forest School, Knaresborough
- Springwater School, Harrogate
- Woodlands Academy, Scarborough</t>
  </si>
  <si>
    <t>PROJECT COMPLETED
Initially planned to go out to tender.  Due to Covid-19, a GW4a was completed and approved to extend existing contracts for 12 months to July 2021.  Following a review, these contracts will then be either re-procured via a DPS if live at this point, or via an OJEU open tender.</t>
  </si>
  <si>
    <t>DN498882</t>
  </si>
  <si>
    <t>Provision of Property Flood Resilience Surveys for Properties in Malton, Norton and Old Malton
(new provision)</t>
  </si>
  <si>
    <t>Hannah Cook</t>
  </si>
  <si>
    <t>PROJECT COMPLETED
Total cost is based on 36 properties @ £700 each with provision for this to increase if more surveys are required.</t>
  </si>
  <si>
    <t>See notes</t>
  </si>
  <si>
    <t>Winter Health - warm &amp; well</t>
  </si>
  <si>
    <r>
      <t>PH informed Ally want to extend.</t>
    </r>
    <r>
      <rPr>
        <sz val="12"/>
        <rFont val="Calibri"/>
        <family val="2"/>
        <scheme val="minor"/>
      </rPr>
      <t xml:space="preserve"> </t>
    </r>
    <r>
      <rPr>
        <sz val="12"/>
        <color rgb="FFFF33CC"/>
        <rFont val="Calibri"/>
        <family val="2"/>
      </rPr>
      <t>Reasoning 72.c.1.- the need for modification has been brought about by circumstances which a diligent contracting authority could have not foreseen</t>
    </r>
    <r>
      <rPr>
        <sz val="12"/>
        <color rgb="FFFF0000"/>
        <rFont val="Calibri"/>
        <family val="2"/>
      </rPr>
      <t xml:space="preserve">- </t>
    </r>
    <r>
      <rPr>
        <sz val="12"/>
        <rFont val="Calibri"/>
        <family val="2"/>
      </rPr>
      <t xml:space="preserve">the procurement would be aimed at the community and voluntary sector who will be in no position to put in a bid over the next few months. E.g. the current provider are supporting the response to Covid 19 and providing support to vulnerable people. </t>
    </r>
  </si>
  <si>
    <r>
      <t>12+</t>
    </r>
    <r>
      <rPr>
        <sz val="11"/>
        <color rgb="FFFF0000"/>
        <rFont val="Calibri"/>
        <family val="2"/>
        <scheme val="minor"/>
      </rPr>
      <t>12+</t>
    </r>
    <r>
      <rPr>
        <sz val="11"/>
        <rFont val="Calibri"/>
        <family val="2"/>
        <scheme val="minor"/>
      </rPr>
      <t>12</t>
    </r>
  </si>
  <si>
    <t>OTE2  Chloe at YPO so this can be loaded onto Signing Hub. Joel on leave until 10th August. Signed 11.08.2020</t>
  </si>
  <si>
    <t>DN495607</t>
  </si>
  <si>
    <t>Recruitment Resourcer Level 2 Apprenticeship</t>
  </si>
  <si>
    <t xml:space="preserve">DN490676 </t>
  </si>
  <si>
    <t>Area 4 Malton Footway R&amp;R
Footway maintenance (near school)</t>
  </si>
  <si>
    <t>Self service - Best Value - Emma to add to contacts database once BV received.</t>
  </si>
  <si>
    <r>
      <t>12+12+</t>
    </r>
    <r>
      <rPr>
        <sz val="11"/>
        <color rgb="FFFF0000"/>
        <rFont val="Calibri"/>
        <family val="2"/>
      </rPr>
      <t>12</t>
    </r>
    <r>
      <rPr>
        <sz val="11"/>
        <color theme="1"/>
        <rFont val="Calibri"/>
        <family val="2"/>
      </rPr>
      <t>+12+12</t>
    </r>
  </si>
  <si>
    <t>Alistair Gourlay has confirmed that they have entered into an rolling contract for a maximum of five years at £1,500 per year.  A best value form to be submitted.</t>
  </si>
  <si>
    <t>Email sent 02/04/2020. On Signing Hub 14.08.2020. Signed off 17.08.2020</t>
  </si>
  <si>
    <t>DN486644</t>
  </si>
  <si>
    <t xml:space="preserve">Social Worker(Degree) Apprenticeship </t>
  </si>
  <si>
    <t>DN486641</t>
  </si>
  <si>
    <t>Leadership and Management Apprenticeship Pathway</t>
  </si>
  <si>
    <t xml:space="preserve">Treasury Management Investment Consultancy Services  </t>
  </si>
  <si>
    <t>Framework Call off</t>
  </si>
  <si>
    <t>NYCC/CSD - Corporate Accountancy</t>
  </si>
  <si>
    <t>Paul Lloyd</t>
  </si>
  <si>
    <r>
      <t>Contracts are going onto SH for the final supplier sign off stage.
Contracts are going through Selby &amp; Ryedale for sign off before NYCC complete
Everything is now complete client has been asked to confirm they are happy with the details before loading onto signing hub. Direct awarding to</t>
    </r>
    <r>
      <rPr>
        <sz val="9"/>
        <color rgb="FFFF0000"/>
        <rFont val="Arial"/>
        <family val="2"/>
      </rPr>
      <t xml:space="preserve"> Link Group </t>
    </r>
    <r>
      <rPr>
        <sz val="9"/>
        <color theme="1"/>
        <rFont val="Arial"/>
        <family val="2"/>
      </rPr>
      <t xml:space="preserve">through ESPO framework.
Framework access agreement sent, quote recived from Link Group. legal have done a review of the call off terms, all needs pulling togehter and order form completing.
17.12.2020 CW recieved info this should have been sorted for October 2020, information is insufficent to resolve, needs further work on the direct award option from the ESPO framework. Clare to discuss with Kate. Also requested the quotes from Link and we need to complete an access agreement.
Clare W to be sent contract from Link . Need to Complete access agreement etc 
Definite use of ESPO framework. Awaiting copy of terms from supplier (they offered to send copy) Engaged Gemma in legal and she is willing to review. After which make the direct award to Link (incumbent). </t>
    </r>
  </si>
  <si>
    <t>The Beacon (specifically for ex-forces)</t>
  </si>
  <si>
    <t>9.6.2020</t>
  </si>
  <si>
    <t xml:space="preserve">Project not to be re-commissioned in current form. Options for supporting service veterens being scoped. Will need to liaise with A.Barron re:progress on decision.
£65K pa budget.  Includes funding from NYCC PH.  Need confirmation from service as to whether continued need and contract length.  Existing grant ends 30/09/2020.  Needs to re-procured if continued need.  Unlikely to be grant funded moving forward.   </t>
  </si>
  <si>
    <t>Harrogate Homeless project - accommodation based housing support (Harrogate area only)</t>
  </si>
  <si>
    <t>Extension point available. To be assigned to ACO. Procurement Support Ally. Email sent to Natalie requesting update after some of these modules were teminated end of 2019. Meeting in place to discuss Corvid and Bottomline 24th March. Nat confirmed on 10.03.2020 she would like to continue with this and that we won't have further savings as we have already made a dramatic saving through the Paygate implentation which is the transform element of Bottomline. Meeting in place 24/03/2020 Meeting moved to 30/03/2020 via Skype. Natalie to send over details. Extension to be signed off. Chased Nat. Need to find contract for this or information on Yortender. Need orginal start date for extension. Document pulled together and ready. Waiting for contact detials from Bottomline . Doesn't need an extension as it's a micro contract which is purchased as new each year.</t>
  </si>
  <si>
    <t>DN488954</t>
  </si>
  <si>
    <t>Kofax - Document Management Centre scanning/ePost - Mail Scanning</t>
  </si>
  <si>
    <t>John Metcalfe/ Nick Leggott</t>
  </si>
  <si>
    <t>Completed. To expire 30/09/2023</t>
  </si>
  <si>
    <t>Provision of ISAM component for electronic ticket machines</t>
  </si>
  <si>
    <t xml:space="preserve">Agreed that this is best value. Latest invoice shows £112 charge per ISAM. Year before was £109 charge. 8 were charged in the last financial year, 7 the year before. Dates back to 2012. Best Value Form completed. </t>
  </si>
  <si>
    <t>Battery Storage</t>
  </si>
  <si>
    <t>DN490195</t>
  </si>
  <si>
    <t>Traffic Signals Maintenance</t>
  </si>
  <si>
    <t>60+28</t>
  </si>
  <si>
    <t>DN482275</t>
  </si>
  <si>
    <t>Winter Service Equipment</t>
  </si>
  <si>
    <t xml:space="preserve">Wellbeing for Education Return </t>
  </si>
  <si>
    <t>1 year initial term contract awarded to Marsh via YPO framework direct award. 2 further extensions avaiable to tie in with insurance cover procurement</t>
  </si>
  <si>
    <t>Silas Holland / Stuart Preece</t>
  </si>
  <si>
    <t>Non-Active</t>
  </si>
  <si>
    <t xml:space="preserve">Closed. Silas proceeding with in-house. Notification given to Civica. </t>
  </si>
  <si>
    <t>Clinical Supervisions</t>
  </si>
  <si>
    <t>Samantha Clayton</t>
  </si>
  <si>
    <t>Best value form completed</t>
  </si>
  <si>
    <t xml:space="preserve">Property Consultancy framework </t>
  </si>
  <si>
    <t>Supply of portable toilets for Covid-19 mobile testing facilities</t>
  </si>
  <si>
    <t>Matthew Robinson</t>
  </si>
  <si>
    <t>DN506598</t>
  </si>
  <si>
    <t>Income Management and Card Payments System
(currently CivicaPay, provided by Civica)</t>
  </si>
  <si>
    <t>Previous contract (due to end May 2021) ceased early following GW4b with agreement of both parties.  New contact with same supplier.</t>
  </si>
  <si>
    <r>
      <t>60+60 (</t>
    </r>
    <r>
      <rPr>
        <sz val="11"/>
        <color rgb="FFFF0000"/>
        <rFont val="Calibri"/>
        <family val="2"/>
      </rPr>
      <t>but only taking 12)</t>
    </r>
  </si>
  <si>
    <t>SS trying to check if this got approvals</t>
  </si>
  <si>
    <t xml:space="preserve">
DN362445</t>
  </si>
  <si>
    <t>OTE 1 - Meeting in place 09/04/2020 with Sarah FG to go over information on this. Can we do a 24 month instead of 12?! Meeting posponed and to be had over skype. Meeting postponed again until 7th May. Sarah drafting GW4. Chased Sarah for wording. Sent to Stacey. Include evidence based numbers to support.  Chased Sarah for MI report. Meeting in place with Sarah to go over evidence for data. Cleared things with Sarah. Ready for PAB. Sarah pulling together extension agreement.  Asked for the completed extension agreement from Sarah so it can go onto signing hub. On signing hub. Chased signature. Signed off 10.09.2020</t>
  </si>
  <si>
    <t>NBS Package licences for APP
• NBS Building (Network 4 user)
• NBS Chorus 2 – CAWS Content x 4
• NBS Scheduler (Network 4 user)
• NBS Contract Administrator (Network 1 user)</t>
  </si>
  <si>
    <t xml:space="preserve">Agreed BVF but further work to start on the reprocurement of this licences. </t>
  </si>
  <si>
    <t>Family Finding Training</t>
  </si>
  <si>
    <t>Tracey Palmer</t>
  </si>
  <si>
    <t xml:space="preserve">DR signed off. </t>
  </si>
  <si>
    <t>DN538009</t>
  </si>
  <si>
    <t xml:space="preserve">Mobile Access North Yorkshire (MANY) – Community Support </t>
  </si>
  <si>
    <t>Retrospective DR signed off.</t>
  </si>
  <si>
    <t xml:space="preserve">Vicky to check with Lisa what the plans are with the project. SS confirmed this is no longer an extension. This will be an initial term and re-resourced 22.01.2020 </t>
  </si>
  <si>
    <t>DN508923</t>
  </si>
  <si>
    <t>Asset Management Data Collection and Data Delivery - Condition Surveys (SCANNER, SCRIM, CVI &amp; DVI)</t>
  </si>
  <si>
    <t>Direct Award - External Framework</t>
  </si>
  <si>
    <t>Recruitment Admin System
(currently Engage ATS, provided by Havas People)</t>
  </si>
  <si>
    <t>T and C 
(HR)</t>
  </si>
  <si>
    <t>DN514018</t>
  </si>
  <si>
    <t>Area 1 R&amp;R 2020-21 Tender Package 1
(Satronside &amp; Broccabank, Feetham)</t>
  </si>
  <si>
    <t>Area 1 Richmond, Scotton, Wensley, Washton  R&amp;R
Package 2</t>
  </si>
  <si>
    <t>DN497420</t>
  </si>
  <si>
    <t>DN472188</t>
  </si>
  <si>
    <t>Refresh of Digital Forensic Hardware Equipment</t>
  </si>
  <si>
    <t>Purchase of 15 bespoke build units. This is separate to NYCC /  Nick Leggott already signed off as no involvement from T&amp;C required. Legal Resource requested. Initial meeting held with client on17.7.20 - uncertainty regarding number of build units required due to NTec 2 funding elememt (12 - 15?). Also in September upgrade is available which will involve amended prices. Client to decide whether we aim to go live in August or wait until September upgrades.</t>
  </si>
  <si>
    <t>Demand Responsive Travel Project - Booking management system</t>
  </si>
  <si>
    <t>Options being looked at due to value of the pilot, T&amp;C's are being reviewed by Legal.</t>
  </si>
  <si>
    <t>Test and Trace System - MS Dynamics</t>
  </si>
  <si>
    <t>John Kelly / Wendy Rowley</t>
  </si>
  <si>
    <t>Vary softcat MS contract to include additiona modules - JK is speaking to Softcat about pricing and access level types. Action on JK. Emailed JK and spoke with Stacey. Decision to be made in 4 months. Gateway semi drafted - Wendy Rowley to get in touch. Sent draft to Wendy and asked her to add wording. Variation agreement drafted and sent to gordon to check wording before sending to Legal. Signed off by RL and ML 27.11 Sat wih legal. Business area purchased licences. GW approved and signed off. Waiting on Legal. Variation sent to Andrew Plummer for review. GW4 contract variation to be completed on the MS contract with Softcat. Variation completed and sent to Andrer Plummer to review before loading it onto Signing Hub.  Signed and completed 25/01/2021</t>
  </si>
  <si>
    <t>DN526048</t>
  </si>
  <si>
    <t>Croft Old Spar
Repointing throughout structure, and rebuild spandrels</t>
  </si>
  <si>
    <t>DN499443</t>
  </si>
  <si>
    <t xml:space="preserve">Local Authorities Supporting the Climate Change Agenda </t>
  </si>
  <si>
    <t xml:space="preserve">Jos Holmes </t>
  </si>
  <si>
    <t xml:space="preserve">Contract signed, published to Contracts Register. </t>
  </si>
  <si>
    <t>DN514894</t>
  </si>
  <si>
    <t>Financial Forecasting Software
(currently Oracle PBCS (Planning Budget Cloud Service) - contract with Insight as a re-seller)</t>
  </si>
  <si>
    <t>PROJECT COMPLETED
New line has not been added yet.
This is a separate line to the Oracle OBIA and EBS systems as the support and maintenance is provided by Insight as a re-seller, rather than Oracle directly.</t>
  </si>
  <si>
    <t>T and C 
(Finance)</t>
  </si>
  <si>
    <t>DN519611</t>
  </si>
  <si>
    <t xml:space="preserve"> Waste Collection Software (Route optimisation / trade waste) </t>
  </si>
  <si>
    <t xml:space="preserve"> Webaspx Ltd </t>
  </si>
  <si>
    <t xml:space="preserve"> 1 year </t>
  </si>
  <si>
    <t xml:space="preserve"> Quote </t>
  </si>
  <si>
    <t xml:space="preserve"> Beckie Bennett </t>
  </si>
  <si>
    <t>Contract procedure exemption approved for one year contract. Lead by Theresa Dykstra</t>
  </si>
  <si>
    <t>Waste Collection and In Cab technology</t>
  </si>
  <si>
    <t>Webaspx Ltd</t>
  </si>
  <si>
    <t>DN454279</t>
  </si>
  <si>
    <r>
      <t>12</t>
    </r>
    <r>
      <rPr>
        <sz val="11"/>
        <color rgb="FFFF0000"/>
        <rFont val="Calibri"/>
        <family val="2"/>
      </rPr>
      <t>+6</t>
    </r>
  </si>
  <si>
    <t xml:space="preserve">Emailed Amanda Alderson to find out if this is something she wishes to continue with. This looks as though it was newly put in place in April 2020 for 6 months. Is this the one we just terminated? Research. Finalised. Speak with Amanda to put some time in before sending it to PAB. Meeting in place 2nd December. GW pulled together and sent to Amanda to check over before sending to PAB. Sent to Stacey 9th Dec for PAB. BNYM will not use signing hub so this had to be signed by NYCC staff first and then emailed over the agreement. This is closed but we are waiting for BNYM to send us back a copy with their signatures. </t>
  </si>
  <si>
    <t>42k (6 month OTE)</t>
  </si>
  <si>
    <t xml:space="preserve">Works </t>
  </si>
  <si>
    <t>Works Framework</t>
  </si>
  <si>
    <t>SS Chased for further information on spend.</t>
  </si>
  <si>
    <t>T and C 
(Unified Comms)</t>
  </si>
  <si>
    <t>Test and Trace (Outbreak Management) System - MS Dynamics - Implementation Partner</t>
  </si>
  <si>
    <t>John Kelly / Rachel Woodward</t>
  </si>
  <si>
    <t>Potential requirement to appoint implementation partner for MS Dynamics IF softcat can not be the partner.</t>
  </si>
  <si>
    <t>DN498638</t>
  </si>
  <si>
    <t>Actuarial Services - To provide the Pension Fund with Actuarial Service</t>
  </si>
  <si>
    <t>60+12+12</t>
  </si>
  <si>
    <t>Order form fully signed off and Yortender and Contracts Register updated</t>
  </si>
  <si>
    <t>DN505087</t>
  </si>
  <si>
    <t>Financial Accounting Solution for External Clients (2020 PMO Ref: 2286)
(new provision)</t>
  </si>
  <si>
    <r>
      <t xml:space="preserve">Direct Award via KCS Framework
Estimated whole life costs are the </t>
    </r>
    <r>
      <rPr>
        <u/>
        <sz val="11"/>
        <rFont val="Calibri"/>
        <family val="2"/>
      </rPr>
      <t>maximum</t>
    </r>
    <r>
      <rPr>
        <sz val="11"/>
        <rFont val="Calibri"/>
        <family val="2"/>
      </rPr>
      <t xml:space="preserve"> costs of the solution.  Initially charges will cover the core finance module and hosting, with flexibility to add additional modules depending on the outcome of the scoping work to be carried out.</t>
    </r>
  </si>
  <si>
    <t>Pension Fund Tax Advisors (overseas tax claims)</t>
  </si>
  <si>
    <r>
      <rPr>
        <sz val="11"/>
        <color rgb="FFFF0000"/>
        <rFont val="Calibri"/>
        <family val="2"/>
      </rPr>
      <t>This is no longer required, updated by Quingzi 01.04.2021</t>
    </r>
    <r>
      <rPr>
        <sz val="11"/>
        <rFont val="Calibri"/>
        <family val="2"/>
      </rPr>
      <t xml:space="preserve">
Current contract has lasped Qingzi to get update. Not sure of the value and the service is needed.
Requested further update 12/03/21 and not had a response.
As tax can be reclaimed retropectiveley recommend  we are awaiting the service area to confirm on outstanding actions. (current contract has lapsed)  Would recommend regular prompts are required. Actions are: 
1.AA to engage with key providers to determine whether they would do as assessment free of charge. Tax can be reclaimed for up to 6yrs so over running this project, whilst we want to avoid, should not be a problem. A provider would usually collect data/information then advise whether there is anything claimable. It may be that the cost of paying would not exceed what could be claimed back. When the providers will advise regarding free quotes. 
2. Begin procurement accordingly 
</t>
    </r>
  </si>
  <si>
    <t>DN547507</t>
  </si>
  <si>
    <t>24+36</t>
  </si>
  <si>
    <t>Clare Winter</t>
  </si>
  <si>
    <t>Contract signed
Contract has been sent through signing hub to Marsh (NYCC Broker)
24/03/2021 Still ongoing issues with the DPIA and Veritau, meetings have taken place and we should have a resolution T&amp;C's need updating and issuing to Marsh.
27/01/2021 There are problems with the full DPIA and conversations need to happen with legal services and the service area as to who is the data processor etc. CW in coversation with SM</t>
  </si>
  <si>
    <t xml:space="preserve">The supply and delivery of office supplies, office paper, and IT consumables (Lyreco is current) </t>
  </si>
  <si>
    <t>Graham Millichap / Kirsten Dixon</t>
  </si>
  <si>
    <t>Agreement fully signed off &amp; contracts register updated</t>
  </si>
  <si>
    <t>DN537620</t>
  </si>
  <si>
    <t>Malton R&amp;R area 4</t>
  </si>
  <si>
    <t xml:space="preserve">DN497384 </t>
  </si>
  <si>
    <t>Election Printing Services</t>
  </si>
  <si>
    <t>Adare SEC</t>
  </si>
  <si>
    <t>Fully signed contract executed</t>
  </si>
  <si>
    <t>DN497384</t>
  </si>
  <si>
    <t>Agreed short 3 month extension to 31.03.22 to LGR. New contract being procured for new council by Dale Casson at SBC</t>
  </si>
  <si>
    <r>
      <t>24</t>
    </r>
    <r>
      <rPr>
        <sz val="11"/>
        <color theme="1"/>
        <rFont val="Calibri"/>
        <family val="2"/>
        <scheme val="minor"/>
      </rPr>
      <t>+12</t>
    </r>
    <r>
      <rPr>
        <sz val="11"/>
        <rFont val="Calibri"/>
        <family val="2"/>
        <scheme val="minor"/>
      </rPr>
      <t>+</t>
    </r>
    <r>
      <rPr>
        <sz val="11"/>
        <color rgb="FFFF0000"/>
        <rFont val="Calibri"/>
        <family val="2"/>
        <scheme val="minor"/>
      </rPr>
      <t>12</t>
    </r>
  </si>
  <si>
    <t>Vacant Property / Rates Mitigation</t>
  </si>
  <si>
    <t>DN522398</t>
  </si>
  <si>
    <t>Malton - Norton Regeneration Scheme Consultancy</t>
  </si>
  <si>
    <t>Bloom Procurement</t>
  </si>
  <si>
    <t>Amy Thomas / Esther Graham</t>
  </si>
  <si>
    <t>Contract awarded to Aspinall Verdi via Nepro Bloom framework</t>
  </si>
  <si>
    <t>Ryedale Enterprise &amp; Business Centre &amp; Kirkbymoorside Employment Land Feasibility Study</t>
  </si>
  <si>
    <t>Howard Wallis / Mark Bates</t>
  </si>
  <si>
    <t>Contract executed with Bloom, works order with Genecon</t>
  </si>
  <si>
    <t xml:space="preserve">OTE to 14/01/22 fully signed off.  </t>
  </si>
  <si>
    <t>Ongoing Leisure Management Contract Support and Management Options Paper</t>
  </si>
  <si>
    <t>FMG Consulting Ltd</t>
  </si>
  <si>
    <t xml:space="preserve">Amy Thomas </t>
  </si>
  <si>
    <t>Direct award via ESPO framework. Contract never returned from the supplier after chasing, contract now ended</t>
  </si>
  <si>
    <t>DN528710</t>
  </si>
  <si>
    <t>Payroll Assistant Manager</t>
  </si>
  <si>
    <t>Kayte Sexton</t>
  </si>
  <si>
    <t>Further Competition document complete - awaiting confirmation from Service area for publishing (18/12)
Potential to use YPO Framework Cash Collections and Cash and Valuables in Transit Services - 324F-20</t>
  </si>
  <si>
    <t>DN521258</t>
  </si>
  <si>
    <t>HR &amp; Payroll System
(currently ResourceLink, provided by Zellis)</t>
  </si>
  <si>
    <t>Direct Award via CCS DAS Framework (RM3821)
Links to EDRMS, Recruitment Admin and Recruitment Admin (DBS) projects.</t>
  </si>
  <si>
    <t>DN304952</t>
  </si>
  <si>
    <r>
      <t>36+</t>
    </r>
    <r>
      <rPr>
        <sz val="11"/>
        <color rgb="FFFF0000"/>
        <rFont val="Calibri"/>
        <family val="2"/>
        <scheme val="minor"/>
      </rPr>
      <t>12</t>
    </r>
    <r>
      <rPr>
        <sz val="11"/>
        <rFont val="Calibri"/>
        <family val="2"/>
        <scheme val="minor"/>
      </rPr>
      <t>+12</t>
    </r>
  </si>
  <si>
    <t>Roger Fairholm/Graham Millichap</t>
  </si>
  <si>
    <t>G4 fully approved.  Contract extension on Signing Hub awaiting sign off - Legal signature outstanding.</t>
  </si>
  <si>
    <t>People/Business search tool - subscription</t>
  </si>
  <si>
    <t>Service area to complete</t>
  </si>
  <si>
    <t xml:space="preserve">DN491164 </t>
  </si>
  <si>
    <t xml:space="preserve">Technical and Planning Advisor for Waste (PPP) (Currently Jacobs) </t>
  </si>
  <si>
    <t>3+2+2+2</t>
  </si>
  <si>
    <t xml:space="preserve">Sign-off complete. </t>
  </si>
  <si>
    <t>Skipton Mill - Remove stumps and rebuild sections of parapet</t>
  </si>
  <si>
    <t>DN519397</t>
  </si>
  <si>
    <t>Skipton Bridge - Urgent expansion joint repair</t>
  </si>
  <si>
    <t>Malton Secondary - expansion
(19024)</t>
  </si>
  <si>
    <t>Paula McLean / Chris Pearson (Property)</t>
  </si>
  <si>
    <t>DN521997</t>
  </si>
  <si>
    <t>Kirkby Wharfe New - Concrete Saddle
Investigate and consider strengthening</t>
  </si>
  <si>
    <t>A684 Safer Routes 7&amp;9 Leyburn Town Centre inc Brentwood Roundabout</t>
  </si>
  <si>
    <t>Therapeutic Support to Adopters and Adoptees (collaborative arrangement)</t>
  </si>
  <si>
    <t>CYPLT: 14/07/21</t>
  </si>
  <si>
    <t>NYCC/CYPS - Children &amp; Families</t>
  </si>
  <si>
    <t>APL Consortium- 15 LA's</t>
  </si>
  <si>
    <r>
      <rPr>
        <sz val="10"/>
        <color rgb="FF000000"/>
        <rFont val="Calibri"/>
        <family val="2"/>
      </rPr>
      <t>ongoing admin and support -</t>
    </r>
    <r>
      <rPr>
        <b/>
        <sz val="10"/>
        <color rgb="FF000000"/>
        <rFont val="Calibri"/>
        <family val="2"/>
      </rPr>
      <t xml:space="preserve"> Complete</t>
    </r>
  </si>
  <si>
    <t>Children's</t>
  </si>
  <si>
    <t>DN525124</t>
  </si>
  <si>
    <t>MOMO software for CYPS (PMO Ref: 3056)</t>
  </si>
  <si>
    <t>Simon Mason</t>
  </si>
  <si>
    <t>T and C 
(Education)</t>
  </si>
  <si>
    <t>DN526916</t>
  </si>
  <si>
    <t>Paritor Music Service System (PMO Ref: 3055)</t>
  </si>
  <si>
    <t>Lorena Phillips / Emily Asquith-Fox</t>
  </si>
  <si>
    <r>
      <t xml:space="preserve">Yortender and contracts register updated.
DR is with Gary Fielding for sign off
DR is now drafted and needs SCM review.
Laura is supporting with this. This agreement has been in place since 2014 with multiple extensions. A directors recommendation has been drafted and is awaiting further detail from the service area. Service area is concerned regarding timeline. We have received a project brief on this from the PMO team, plan to extend current arrangements for 2021 with a veiw to re-procure.
Meetings being had with service area.Support from L Baxter. Resource request. Service area requires close support. </t>
    </r>
    <r>
      <rPr>
        <sz val="11"/>
        <color rgb="FFFF0000"/>
        <rFont val="Calibri"/>
        <family val="2"/>
      </rPr>
      <t xml:space="preserve">Assign to new PO's in January. </t>
    </r>
  </si>
  <si>
    <t>DN510228</t>
  </si>
  <si>
    <t>Electric Vehicle Charging Infrastructure</t>
  </si>
  <si>
    <t>Connected Kerb Ltd</t>
  </si>
  <si>
    <t>DPS</t>
  </si>
  <si>
    <t>Contract executed with Connected Kerb</t>
  </si>
  <si>
    <t>DN520757</t>
  </si>
  <si>
    <t>Desk Booking System (2020 PMO Ref: 3022)
(new provision)</t>
  </si>
  <si>
    <t>Chris Mandiville (PM)</t>
  </si>
  <si>
    <t>Direct Award via G-Cloud 12.
The number of desks required are estimated as this will be a demand-led service, subject to the
outcome of the Covid-19 pandemic and subsequent Government guidance.  The actual costs may increase or decrease upon demand.</t>
  </si>
  <si>
    <t>Yr 1: £30,305
Yrs 2&amp;3: £30,000</t>
  </si>
  <si>
    <t>21+12</t>
  </si>
  <si>
    <t xml:space="preserve">As initial purchase for NY Highways, moved to NY Highways resource. </t>
  </si>
  <si>
    <t>DN507195</t>
  </si>
  <si>
    <t xml:space="preserve">Malton to Pickering Cycleway </t>
  </si>
  <si>
    <t>Colas Ltd</t>
  </si>
  <si>
    <t>Howard Wallis</t>
  </si>
  <si>
    <t>Contract executed 20.01.21</t>
  </si>
  <si>
    <t>A684 Safer Routes 2 Patrick Brompton</t>
  </si>
  <si>
    <t xml:space="preserve">DN515948 </t>
  </si>
  <si>
    <t>Area 1 Cravengate Footway R&amp;R 
(Cravengate, Richmond; Cat 4b R&amp;R)</t>
  </si>
  <si>
    <t xml:space="preserve">OT tribunals and hubs </t>
  </si>
  <si>
    <t>DN528047</t>
  </si>
  <si>
    <t>Purchase of Windows remote desktop software licenses</t>
  </si>
  <si>
    <t>Insight Direct (UK) Limited</t>
  </si>
  <si>
    <t>Purchasing via HealthTrust Europe Framework. Order sent 19.02.2021</t>
  </si>
  <si>
    <t>Area 6 Rural Package:
Combination of Area 6 Timble R&amp;R; 
Area 6 Norwood Lane Beckwithshaw R&amp;R;
Area 6 Galphay Studley Roger  R&amp;R</t>
  </si>
  <si>
    <t>Area 6 Urban Package:
Combination of Area 6 Leeds Road  R&amp;R:
Area 6 Harrogate R&amp;R</t>
  </si>
  <si>
    <t>DN516707</t>
  </si>
  <si>
    <t>Provision of Pre-packaged Sandwiches and Associated Products</t>
  </si>
  <si>
    <t>13+12</t>
  </si>
  <si>
    <t>Kayte Sexton / Shaun Mancrief</t>
  </si>
  <si>
    <r>
      <t>12+</t>
    </r>
    <r>
      <rPr>
        <sz val="11"/>
        <rFont val="Calibri"/>
        <family val="2"/>
        <scheme val="minor"/>
      </rPr>
      <t>9+</t>
    </r>
    <r>
      <rPr>
        <sz val="11"/>
        <color rgb="FFFF0000"/>
        <rFont val="Calibri"/>
        <family val="2"/>
        <scheme val="minor"/>
      </rPr>
      <t>12</t>
    </r>
  </si>
  <si>
    <t>Kirstie Paterson / Graham Millichap</t>
  </si>
  <si>
    <t>OTE to 26/02/22 fully signed off.  NFA until May 21.</t>
  </si>
  <si>
    <t>Swivel 2FA - support (via Axial) Software support</t>
  </si>
  <si>
    <t>Corporate Travel and Accommodation (Currently CTM)</t>
  </si>
  <si>
    <r>
      <t>12+</t>
    </r>
    <r>
      <rPr>
        <sz val="11"/>
        <color rgb="FFFF0000"/>
        <rFont val="Calibri"/>
        <family val="2"/>
        <scheme val="minor"/>
      </rPr>
      <t>15</t>
    </r>
  </si>
  <si>
    <t>KL taking this forward under Covid-19 special variation / extension.    Potential to contract with existing supplier for an additional 12 months via CCS framework if needed. Catch up with KN, GM, BN 28/04. Further catch up held on 09/07.  RFI due to close 10/07/20 to test market interest and capacity.</t>
  </si>
  <si>
    <t>24+24+12</t>
  </si>
  <si>
    <t>Emily Allen</t>
  </si>
  <si>
    <t>Contrat sign-off completed, YORtender record and contract register updated</t>
  </si>
  <si>
    <t>DN263747</t>
  </si>
  <si>
    <t>Registrar, Births, Deaths and Marriages - Online Appointments System Zipporah LTD</t>
  </si>
  <si>
    <r>
      <t>36+</t>
    </r>
    <r>
      <rPr>
        <sz val="11"/>
        <color rgb="FFFF0000"/>
        <rFont val="Calibri"/>
        <family val="2"/>
        <scheme val="minor"/>
      </rPr>
      <t>36</t>
    </r>
    <r>
      <rPr>
        <sz val="11"/>
        <rFont val="Calibri"/>
        <family val="2"/>
        <scheme val="minor"/>
      </rPr>
      <t>+24</t>
    </r>
  </si>
  <si>
    <t>1st OTE available  Stacey will help. Contact made with Robin. Robin wishes to extend. Zipporah LTD - Jobe Bruzas and Jon Stewart. Scott at Zipporah is chasing the savings query with collagues. No savings to be made. Extension agreement put on Signing Hub 22.04.2020 Chased scott for signature. Completed.</t>
  </si>
  <si>
    <t>Area 3 Carriageway resurfacing
B1364 Victoria Road, Scarborough</t>
  </si>
  <si>
    <t>Jon Dickens</t>
  </si>
  <si>
    <t>Area 3 Carriageway resurfacing
B1364 Castle Road, Scarborough</t>
  </si>
  <si>
    <t>Area 3 Carriageway resurfacing
U793 Prospect Road, Scarborough</t>
  </si>
  <si>
    <t>Area 3 Carriageway resurfacing
U800 Moor Lane, Eastfield, Scarborough</t>
  </si>
  <si>
    <t>Area 3 Carriageway resurfacing
U116 Fieldstead Cresent, Newby</t>
  </si>
  <si>
    <t>Area 3 Carriageway resurfacing
U562 Belvedere Road, Scarborough</t>
  </si>
  <si>
    <t>Area 3 Carriageway resurfacing
U266 Alexandra Park, Woodland</t>
  </si>
  <si>
    <t>Area 3 Carriageway resurfacing
U270 Pinewood Drive, Woodland</t>
  </si>
  <si>
    <t>Area 3 Carriageway resurfacing
U257 Stepney Grove, Woodland</t>
  </si>
  <si>
    <t>Area 3 Carriageway resurfacing
U523 Springhill Lane, Scarborough</t>
  </si>
  <si>
    <t>Area 3 Carriageway resurfacing
U526 Albion Crescent, Scarborough</t>
  </si>
  <si>
    <t>Area 3 Carriageway resurfacing
U535, Cromwell Road, Scarborough</t>
  </si>
  <si>
    <t>Area 3 Carriageway resurfacing
U631 Seafield Avenue, Osgodby</t>
  </si>
  <si>
    <t>Area 3 Carriageway resurfacing
U668 Carrside, Eastfield, Scarborough</t>
  </si>
  <si>
    <t>Area 3 Carriageway resurfacing
U675 Holme Hill, Eastfield, Scarborough</t>
  </si>
  <si>
    <t>Area 3 Carriageway resurfacing
U679 Loders Green, Eastfield, Scarborough</t>
  </si>
  <si>
    <t>Area 3 Carriageway resurfacing
U682 The Meads, Eastfield, Scarborough</t>
  </si>
  <si>
    <t>Area 3 Carriageway resurfacing
U832 St Martins Square, Scarborough</t>
  </si>
  <si>
    <t>Guilders - Concrete repairs, vegetation removal, apron repair.  Oxnop - Concrete Repair.  Healaugh - Concrete Repairs</t>
  </si>
  <si>
    <t>DN519986</t>
  </si>
  <si>
    <t>Posforth Bridge - Invert Repair</t>
  </si>
  <si>
    <t>DN495477</t>
  </si>
  <si>
    <t xml:space="preserve">Studfold Footbridge – Replacement </t>
  </si>
  <si>
    <t>DN513840</t>
  </si>
  <si>
    <t>Greta Bridge Painting Maintenance
Resurface/waterproof, grease bearings and concrete repairs to abutments.</t>
  </si>
  <si>
    <t>DN514581</t>
  </si>
  <si>
    <t>River Ribble
Clean out deck drainage units, touch up paint on beams. Remove veg and debris from footway. Install drain bearing 8</t>
  </si>
  <si>
    <t>Construction Works &amp; Planned Maintenance
(may be required if procurement does not start as planned, refer to standalone project line)</t>
  </si>
  <si>
    <t>DN517186</t>
  </si>
  <si>
    <t>Kidstones Gill (Raffern) - Stitching, pointing and apron repair</t>
  </si>
  <si>
    <t>DN515787</t>
  </si>
  <si>
    <t>Area 4 Hawnby, Old Byland &amp; Rosedale R&amp;R 
A40004</t>
  </si>
  <si>
    <t>Tim Coyne /
WSP</t>
  </si>
  <si>
    <t>Area 3 Carriageway resurfacing combined package
B1364 Victoria Road, Scarborough
B1364 Castle Road, Scarborough
U793 Prospect Road, Scarborough
U800 Moor Lane, Eastfield, Scarborough
U116 Fieldstead Cresent, Newby
U562 Belvedere Road, Scarborough
U266 Alexandra Park, Woodland
U270 Pinewood Drive, Woodland
U257 Stepney Grove, Woodland
U523 Springhill Lane, Scarborough
U526 Albion Crescent, Scarborough
U535, Cromwell Road, Scarborough
U631 Seafield Avenue, Osgodby
U668 Carrside, Eastfield, Scarborough
U675 Holme Hill, Eastfield, Scarborough
U679 Loders Green, Eastfield, Scarborough
U682 The Meads, Eastfield, Scarborough
U832 St Martins Square, Scarborough</t>
  </si>
  <si>
    <t>Crimple Beck - General Maintenance</t>
  </si>
  <si>
    <t>Servicing of Outside &amp; inside Play / Sports / Gym equipment in schools</t>
  </si>
  <si>
    <t>8+12+12</t>
  </si>
  <si>
    <t xml:space="preserve">DN395452 </t>
  </si>
  <si>
    <t>EXTEND - Spoke to Lorena Philips, happy to extend if possible. It was agreed at the beginning of the contract that NYCC would pay annually for 3 years so we do not need to do any extensions each year.</t>
  </si>
  <si>
    <t xml:space="preserve">Insurance and Risk Management System (PMO Ref: 1587) 
(currently EvoClaim, provided by DWF 360) </t>
  </si>
  <si>
    <r>
      <t>24+24+</t>
    </r>
    <r>
      <rPr>
        <sz val="11"/>
        <color rgb="FFFF0000"/>
        <rFont val="Calibri"/>
        <family val="2"/>
        <scheme val="minor"/>
      </rPr>
      <t>24</t>
    </r>
    <r>
      <rPr>
        <sz val="11"/>
        <rFont val="Calibri"/>
        <family val="2"/>
        <scheme val="minor"/>
      </rPr>
      <t>+24</t>
    </r>
  </si>
  <si>
    <t xml:space="preserve">Basically this will need changing the dates on the gateway and re submitting.
2nd Extension from 9th March 2021 to 8th March 2023. Email sent to Fiona S 09.03.2020. Karen Wilson confirmed they would like to continue. Pull together extension agreement. Silas thinks there is a risk financially with this. Extension document drafted. Sent to Karen Wilson. Sent to Silas and Karen again on 30/11/2020 Sent to Chris at DWF to review 10th Dec. Chased Chris who has chased it at his end. Chased Chris again. Put on signing hub for Ashley and Silas to sign. Completed and signed off 
</t>
  </si>
  <si>
    <t>HP 5900 (Citrix) - support</t>
  </si>
  <si>
    <t>DN524293</t>
  </si>
  <si>
    <t>Sustainable Construction Consultancy (LEP Project)</t>
  </si>
  <si>
    <t>Katie Privett</t>
  </si>
  <si>
    <t>Contract for 6 months commencing on 15/03/21 no extensions required as this is for a piece of work which the LEP has currently received funding for, no additional funding is expected for future work at this moment in time.</t>
  </si>
  <si>
    <t>Local Energy Asset Representation data set.</t>
  </si>
  <si>
    <t>Jos Holmes / Katie Privett</t>
  </si>
  <si>
    <t>Director's Recommendation signed 25/2/21</t>
  </si>
  <si>
    <t>Joel Saunders / Schools ICT</t>
  </si>
  <si>
    <t xml:space="preserve">No requirement going forward
Email sent to Joel to confirm the requirement - 18/12/2020
CW to ask Emma Joel, if we still need this.
Joel confirmed they do not anticipate needing this in the future. Worth confirming closer to the time. </t>
  </si>
  <si>
    <t>DN533457</t>
  </si>
  <si>
    <t>Citrix ADC Software (incl. support and maintenance)
(contract with Softcat as a re-seller)</t>
  </si>
  <si>
    <t>Direct Award via KCS Framework to Softcat as a re-seller.  Contract signed and closed down.  
Support and maintenance will not start until order is placed and goods received so new contract will be needed in approx 5 years time.</t>
  </si>
  <si>
    <t>DN522312</t>
  </si>
  <si>
    <t>Server, Storage and Backup Infrastructure Renewal</t>
  </si>
  <si>
    <t xml:space="preserve">Contracts executed. </t>
  </si>
  <si>
    <t>DN511221</t>
  </si>
  <si>
    <t>Broughton (Craven) Bridge Maintenance
Replace tie bars, anchor all of rw sections, concrete channels and pin spandrels, resurface carriageway.</t>
  </si>
  <si>
    <t>Philip Richardson / Ben Savage</t>
  </si>
  <si>
    <t>DN509912</t>
  </si>
  <si>
    <t>Spofforth Church of England Primary School
Replacement of the West Riding Unit with new permanent building including associated external works</t>
  </si>
  <si>
    <t>Paula McLean / Chris Grayshon
QS: Tom Mackay</t>
  </si>
  <si>
    <t>DN517905</t>
  </si>
  <si>
    <t>Wavel Infant &amp; Junior School - PCU replacement &amp; internal alterations / corridor</t>
  </si>
  <si>
    <t>DN533038</t>
  </si>
  <si>
    <t>Trading Standards Business System (2020 PMO Ref: 2953)
(currently APP, provided by Civica)</t>
  </si>
  <si>
    <t>citrix</t>
  </si>
  <si>
    <t>Angela Lacy</t>
  </si>
  <si>
    <t>Costs are based on £9,700 initial fees and £20,471 per annum (fixed for 3 years).  There is the option to upgrade to the Cx model within the contract - additional charges will apply.</t>
  </si>
  <si>
    <t>DN535522</t>
  </si>
  <si>
    <t>AWRP Land Planning Consultant</t>
  </si>
  <si>
    <t>Philip Cowen</t>
  </si>
  <si>
    <t xml:space="preserve">Direct award to Cushman &amp; Wakefield complete 31/3/21. </t>
  </si>
  <si>
    <t>Has</t>
  </si>
  <si>
    <t>Extra Care Housing Framework</t>
  </si>
  <si>
    <t>No Key decision needed as taken at original procurement.</t>
  </si>
  <si>
    <t>Michael Rudd</t>
  </si>
  <si>
    <t>DN514589</t>
  </si>
  <si>
    <t>Carleton Endowed Single Classroom Extension</t>
  </si>
  <si>
    <t>DN462364</t>
  </si>
  <si>
    <t>Harrogate WI-FI &amp; LPWAN
(RFI only completed - see notes section)</t>
  </si>
  <si>
    <t>In-house</t>
  </si>
  <si>
    <t>Nick Leggott / Jon Savage (PM)</t>
  </si>
  <si>
    <t>Initial intention was to carry out a CPN, procured jointly with Harrogate.  Gateway document and Key Decision was completed and initial RFI was published on YORtender.  Subsequently, decision was made for HBC to transfer funding to NYCC and NYCC deliver through its own resources including NYnet.  Gateway addendum completed and Key Decision amended to reflect this.  Call-in ended 31 Mar.  Supplier messages sent on YORtender to advise of outcome.</t>
  </si>
  <si>
    <t xml:space="preserve">VM Note: Whole new procurement was put in place in 2020 and signed off in 1st April 2020 for 2 years until 2022. Becky Shenton updated me. </t>
  </si>
  <si>
    <r>
      <t>12+12+</t>
    </r>
    <r>
      <rPr>
        <sz val="11"/>
        <color rgb="FFFF0000"/>
        <rFont val="Calibri"/>
        <family val="2"/>
        <scheme val="minor"/>
      </rPr>
      <t>12</t>
    </r>
    <r>
      <rPr>
        <sz val="11"/>
        <color theme="1"/>
        <rFont val="Calibri"/>
        <family val="2"/>
        <scheme val="minor"/>
      </rPr>
      <t>+12</t>
    </r>
  </si>
  <si>
    <t xml:space="preserve">This is usually rolled over every year via g-cloud. VM completed last extenison 20.03.2020. Pick up back end of 2020. Emailed Jen, Adrian and Julie 30/11/20. Does this need a GW?! Annual cost is just over 50k? Adrian confirmed he would like to continue with the service. Adrian to send account manager details over. G Cloud document sent to account manager 08.12.2020. Tania confirmed she will get back in touch re this in the new year. Chased email to Tania. Sent updated G-Cloud document to Adrian to check over before putting it on Signing Hub. Chased Adrian. Chase Adrian after 10th Feb. Chased Adrian. On Signing Hub. SIGNED </t>
  </si>
  <si>
    <t>£61,935.00 ex-VAT</t>
  </si>
  <si>
    <t>Hardware Security Modules (includes hardware, support and maintenance)</t>
  </si>
  <si>
    <t>Was previously £18k over 3 years for support and maintenance; however, new hardware was then required which increased total cost.  Manufacturer does not sell directly so need to go via a reseller.  Quotes obtained from 3 resellers.  Cheapest was Insight who have our IT Hardware Partner contract so it was agreed to purchase via this route so no YORtender record created.  Order was placed on 31/03/21 so new requirement will be approx 5 years from then depending on when the goods were delivered.</t>
  </si>
  <si>
    <r>
      <t>24+12+</t>
    </r>
    <r>
      <rPr>
        <sz val="11"/>
        <color theme="1"/>
        <rFont val="Calibri"/>
        <family val="2"/>
        <scheme val="minor"/>
      </rPr>
      <t>12</t>
    </r>
  </si>
  <si>
    <t>Silas Holland / Karen Wilson</t>
  </si>
  <si>
    <t>DN212852</t>
  </si>
  <si>
    <t xml:space="preserve">Provision of a Management Information System and Financial Accounting System for Schools (MIS&amp;FAS). Variation and Extension. Bromcom &amp; Capita </t>
  </si>
  <si>
    <t>OTE1 Emailed Keren to disuss potential extension. Go over framework changes with Keren. Bromcom variation good to go. Wait until Capita announce prices before completing their variation. Gateway to be picked up after xmas for 12 months rather than 24 to allow for market research. Amendments sent through to Sarah. Variation for Bromcom drafted and sent to Sarah as well as added to the log. Bromcom does not need varying and Capita amendments have been agreed to. Chased Keren for both accounts. Beth Bilby suggested we get Capita to draft the variation. Variation template sent to Keren to send to Capita. Chased Keren. NYCC to draft variation and then send onto Beth. Chased Keren again from Bromcom feedback. Meeting in with Keren for GW 4. Gateway drafted and sent to Keren to add wording around Covid 19. Bromcom variation signed off. Variation sent to Capita to review. Chased Keren for wording. To present at PAB on 5th March 21. Rejected on the timescale. Extension to go through for 24 months rather than 12. Individual extension agreements drafted and ready. Keren to send through contact details for suppliers. Access Loaded onto signing hub</t>
  </si>
  <si>
    <t xml:space="preserve">Mobile Access North Yorkshire (MANY) IOT Project </t>
  </si>
  <si>
    <t>Nick Leggott</t>
  </si>
  <si>
    <r>
      <t>The contract value will be monitored nearer the time however it is unlikely a procurement resource is required, Stacey will provide advice to service as required or Kate can step in if required.
This is an IOT project. Focus on 5G delivery in 'not spots' of North Yorkshire. Queried if this is still a procurement requirement - was instructed that at present it remains unclear but to leave it on the FPP.</t>
    </r>
    <r>
      <rPr>
        <sz val="11"/>
        <color rgb="FFFF0000"/>
        <rFont val="Calibri"/>
        <family val="2"/>
      </rPr>
      <t xml:space="preserve"> </t>
    </r>
  </si>
  <si>
    <t>DN304439</t>
  </si>
  <si>
    <t>Gilmoors - Fresh Meat and Frozen Goods  [Veg/Meat/Fruit/Fish/Bread/Desserts]</t>
  </si>
  <si>
    <t>Contract extension fully signed.  NFA on this contract.</t>
  </si>
  <si>
    <t>Direct Award under the G-Cloud 12 Framework Agreement</t>
  </si>
  <si>
    <t>DN537300</t>
  </si>
  <si>
    <t>Client Caseload Information System
(currently Aspire, provided by Capita)  (2020 Ref:2319)</t>
  </si>
  <si>
    <t>DN530738</t>
  </si>
  <si>
    <t xml:space="preserve"> Contract signed 01/02
Drafted new agreement based on the KCS FA.  Checking with Nic if he would be happy for me to include 1+1 extension options.  PO already issues for 63/70 of the schools. Awaiting remaining school data before finalising the contract doc.  Final contract drafted and uploaded onto SigningHub 20/05, reminder for Softcat signature sent 10/08/21.</t>
  </si>
  <si>
    <t>OTE1 - Emailed Lorena for overview and confirmation on extension. Lorena confirmed they would like to extend and will be sending the PO. Emailed Lorena. Extension drafted and ready to go. Can only extend for 12 months as it's on the G-Cloud framework. Signed off for 12 months - April 21-April 22</t>
  </si>
  <si>
    <r>
      <t xml:space="preserve">Local Bus Services and Mainstream Home </t>
    </r>
    <r>
      <rPr>
        <sz val="11"/>
        <rFont val="Calibri"/>
        <family val="2"/>
      </rPr>
      <t>to School Transport - Selby Area</t>
    </r>
  </si>
  <si>
    <t>£2,609,083.95 (LBS)
£9,043,515.50 (H2S)</t>
  </si>
  <si>
    <r>
      <t>24+12+</t>
    </r>
    <r>
      <rPr>
        <sz val="11"/>
        <color rgb="FFFF0000"/>
        <rFont val="Calibri"/>
        <family val="2"/>
      </rPr>
      <t>12</t>
    </r>
  </si>
  <si>
    <t>Handover to Vicky. One year Covid-19 extension required to 31/3/2022. Clare confirmed this was available and extension to be signed off for a further year. Extension sent to Clare. Loaded onto Signing Hub 28.07.2020 Signed off 29.07.2020</t>
  </si>
  <si>
    <t>Traded Service Online Communications Platform</t>
  </si>
  <si>
    <t>Jon Savage / Louise Burke</t>
  </si>
  <si>
    <r>
      <t>12</t>
    </r>
    <r>
      <rPr>
        <sz val="11"/>
        <color rgb="FFFF0000"/>
        <rFont val="Calibri"/>
        <family val="2"/>
        <scheme val="minor"/>
      </rPr>
      <t>+12</t>
    </r>
  </si>
  <si>
    <t xml:space="preserve">Added to FPP. Emailed Shaun. New contract put in place May/June 2020 for 2 years. Doesn't need picking up until late 2021. Contract 1st April 2020 - 31st March 2022. </t>
  </si>
  <si>
    <t>OTE 1 - Extension drafted and sent to David at CEL for review. Waiting for Jon. Code Enigma confirmed they are happy with the extension. Signed and completed 29th March</t>
  </si>
  <si>
    <t>DN 536311</t>
  </si>
  <si>
    <t>Contract Signed - Completed</t>
  </si>
  <si>
    <t>04.11.2021 Emma to check that the subscription is still required.
DR approved by GF.</t>
  </si>
  <si>
    <t>Gamification Marketing Tool</t>
  </si>
  <si>
    <t>SS sent DR for approval.</t>
  </si>
  <si>
    <t>DN546179</t>
  </si>
  <si>
    <t>Historic Environment Record System
(currently provided by Exegesis)</t>
  </si>
  <si>
    <r>
      <t>Added following conversation with Nick Leggott.  Previous comment on completed tab on FPP from 11/02/19 was "Extension in place via best value form &amp; short form contract".  Annual cost then was £</t>
    </r>
    <r>
      <rPr>
        <sz val="11"/>
        <rFont val="Calibri"/>
        <family val="2"/>
      </rPr>
      <t>6,468.00.  Agreed for BVF to be completed for 2021/22.  New project has been established for new requirement '3024 - Historic Environment Record Software Appraisal and Improvement'.</t>
    </r>
  </si>
  <si>
    <t>Service area to sort out.</t>
  </si>
  <si>
    <t>DN533506</t>
  </si>
  <si>
    <t>SS has background - need someone to complete gcloud direct award process. SS has all information.  Gcloud paperwork reviewed at our end and sent to Robert.  Robert happy with it so Lisa-Marie has uploaded the contract onto DocuSign for signatures. Awaiting signed copy to be sent to me 09/04. Signed copy received and saved in file.</t>
  </si>
  <si>
    <t>DN552497</t>
  </si>
  <si>
    <t>Qingzi Bu/ Tom Morrision</t>
  </si>
  <si>
    <t>This contract has now been signed (and added to contracts register - 23/06/21) the current expiry date is 31/03/23 however there is also an extension period of up to a further 24 months. Due to issues with how tax was deducted via the Reed framework previously used to procure this service had to be terminated. A directors recommendation was signed by Gary Fielding to direct award the service back to Leslie Robb for an inital period of 24 months (on 12/04/21). Legal had requested that a waiver was signed for this service therefore a waiver was also completed and sent for review.
This was the contract direct award to Leslie Robb using a framework. Since then it became apparent the tax being charged is no</t>
  </si>
  <si>
    <t xml:space="preserve">
DN503801</t>
  </si>
  <si>
    <t>Provision of Electronic Ticket Machines – portal fees</t>
  </si>
  <si>
    <t xml:space="preserve">SAM Framework order complete. Added to Contracts Register. </t>
  </si>
  <si>
    <t xml:space="preserve">Independent Health Complaints Advocacy Service </t>
  </si>
  <si>
    <t>Daniel Harry</t>
  </si>
  <si>
    <r>
      <rPr>
        <sz val="11"/>
        <rFont val="Calibri"/>
        <family val="2"/>
        <scheme val="minor"/>
      </rPr>
      <t>Links to the wider Advocacy re-procurement whereby all three elements (Adults/Children's and Health) will be procured as one contract.
No further option to extend in original contract. 
Further extension available for the CYPS contract; full extension was not taken up. 
Propose to align HAS, CYPS &amp; Health advocacy to 31/03/2022. no further extensions available for HAS &amp; Health advocacy; current end date for HAS &amp; Health is 31/03/21.
Daniel Harry happy to extend as proposed.</t>
    </r>
    <r>
      <rPr>
        <sz val="11"/>
        <color rgb="FFFF0000"/>
        <rFont val="Calibri"/>
        <family val="2"/>
        <scheme val="minor"/>
      </rPr>
      <t xml:space="preserve">
</t>
    </r>
  </si>
  <si>
    <t>Healthy Child Substance Misuse</t>
  </si>
  <si>
    <t>Conract signed - awarded to Humankind</t>
  </si>
  <si>
    <t>Newburn House and Outreach Service</t>
  </si>
  <si>
    <r>
      <t>60+</t>
    </r>
    <r>
      <rPr>
        <sz val="11"/>
        <color rgb="FFFF0000"/>
        <rFont val="Calibri"/>
        <family val="2"/>
      </rPr>
      <t>12</t>
    </r>
  </si>
  <si>
    <t>APL Consortium- 15 Las</t>
  </si>
  <si>
    <t>Interpretation Services (BSL)</t>
  </si>
  <si>
    <t>24 + 12</t>
  </si>
  <si>
    <t>Deborah Hugill, Shanna Carrell, Stephen Wright</t>
  </si>
  <si>
    <t>DN536206</t>
  </si>
  <si>
    <t>Legal reference material:
- General reference material including; Case law; articles; provision of contract templates; and Q&amp;A service.</t>
  </si>
  <si>
    <t xml:space="preserve">EM Lawshare offer taken up and order form completed with Thomson Reuters. </t>
  </si>
  <si>
    <t>Assistive Technology</t>
  </si>
  <si>
    <t>Zaheer Ishtiaq</t>
  </si>
  <si>
    <t>ON HOLD - No update at present. 
Emma supporting and will request progress update.
Need to understand commissioning arrangements and ensure appropriate route to market - no longer part of the WRF.  Currently spot purchasing but placement numbers are extre</t>
  </si>
  <si>
    <t>Original procurement was KD on 28/01/2020</t>
  </si>
  <si>
    <r>
      <t xml:space="preserve">Collaboration Agreement with HDTF. Commenced 1/4/2020 - 31/3/2021 
First OTE 01/04/2021 - 31/03/2022 + 01/04/2022 -31/03/2023 
Rosie drafting contract extension/variation and issue.                                                                                       </t>
    </r>
    <r>
      <rPr>
        <b/>
        <sz val="11"/>
        <rFont val="Calibri"/>
        <family val="2"/>
        <scheme val="minor"/>
      </rPr>
      <t xml:space="preserve">Completed </t>
    </r>
  </si>
  <si>
    <t>Microenterprises</t>
  </si>
  <si>
    <t>Advocacy HAS &amp; CYPS</t>
  </si>
  <si>
    <t>HAS decision - 15/01/2021
CYPLT decision - 19/01/2021</t>
  </si>
  <si>
    <t>Abi Barron / Emma Lonsdale</t>
  </si>
  <si>
    <t>Dale Owens / Helen Thirkell</t>
  </si>
  <si>
    <t>Saroj Barber</t>
  </si>
  <si>
    <t>36+24+6+6</t>
  </si>
  <si>
    <t>Library desktop booking system (2917 Library Service – PC booking / print management)</t>
  </si>
  <si>
    <r>
      <t>36+</t>
    </r>
    <r>
      <rPr>
        <sz val="11"/>
        <color rgb="FFFF0000"/>
        <rFont val="Calibri"/>
        <family val="2"/>
        <scheme val="minor"/>
      </rPr>
      <t>6</t>
    </r>
  </si>
  <si>
    <t>Chrys Mellor/Lizzie Sykes</t>
  </si>
  <si>
    <t xml:space="preserve">Extended until 30/09/2021. Extension signed. </t>
  </si>
  <si>
    <t>DN501379</t>
  </si>
  <si>
    <t xml:space="preserve">Deborah Hugill </t>
  </si>
  <si>
    <t xml:space="preserve">Call-offs signed. Added to Contracts Register. Complete. </t>
  </si>
  <si>
    <t>circa £50,000.00</t>
  </si>
  <si>
    <t>DN500107</t>
  </si>
  <si>
    <t>Purchase of Gas</t>
  </si>
  <si>
    <r>
      <t xml:space="preserve">NY Highways
1. </t>
    </r>
    <r>
      <rPr>
        <b/>
        <sz val="10"/>
        <rFont val="Arial"/>
        <family val="2"/>
      </rPr>
      <t>Building Construction Materials</t>
    </r>
    <r>
      <rPr>
        <sz val="10"/>
        <rFont val="Arial"/>
        <family val="2"/>
      </rPr>
      <t xml:space="preserve">
Sub-workstream D</t>
    </r>
  </si>
  <si>
    <t>John Putsey
Steve Barker
Nigel Smith</t>
  </si>
  <si>
    <r>
      <t>NY Highways</t>
    </r>
    <r>
      <rPr>
        <b/>
        <sz val="10"/>
        <rFont val="Arial"/>
        <family val="2"/>
      </rPr>
      <t xml:space="preserve">
10. Human Resources</t>
    </r>
    <r>
      <rPr>
        <sz val="10"/>
        <rFont val="Arial"/>
        <family val="2"/>
      </rPr>
      <t xml:space="preserve">
Sub-workstream D</t>
    </r>
  </si>
  <si>
    <t>Richard Marr
Paul Gilmore
John Putsey
Steve Barker
Nigel Smith</t>
  </si>
  <si>
    <r>
      <t xml:space="preserve">NY Highways
11. </t>
    </r>
    <r>
      <rPr>
        <b/>
        <sz val="10"/>
        <rFont val="Arial"/>
        <family val="2"/>
      </rPr>
      <t>Information Communication Technology</t>
    </r>
    <r>
      <rPr>
        <sz val="10"/>
        <rFont val="Arial"/>
        <family val="2"/>
      </rPr>
      <t xml:space="preserve">
Sub-workstream D</t>
    </r>
  </si>
  <si>
    <t>Joel Sanders
Nigel Smith</t>
  </si>
  <si>
    <r>
      <t xml:space="preserve">NY Highways
12. </t>
    </r>
    <r>
      <rPr>
        <b/>
        <sz val="10"/>
        <rFont val="Arial"/>
        <family val="2"/>
      </rPr>
      <t>Passenger Transport</t>
    </r>
    <r>
      <rPr>
        <sz val="10"/>
        <rFont val="Arial"/>
        <family val="2"/>
      </rPr>
      <t xml:space="preserve">
Sub-workstream D</t>
    </r>
  </si>
  <si>
    <r>
      <t xml:space="preserve">NY Highways
2. </t>
    </r>
    <r>
      <rPr>
        <b/>
        <sz val="10"/>
        <rFont val="Arial"/>
        <family val="2"/>
      </rPr>
      <t>Environmental Services</t>
    </r>
    <r>
      <rPr>
        <sz val="10"/>
        <rFont val="Arial"/>
        <family val="2"/>
      </rPr>
      <t xml:space="preserve">
Sub-workstream D</t>
    </r>
  </si>
  <si>
    <t>Richard Christon
John Hodgson
Catherine Price
Paul Gilmore
Nigel Smith</t>
  </si>
  <si>
    <r>
      <t xml:space="preserve">NY Highways
3. </t>
    </r>
    <r>
      <rPr>
        <b/>
        <sz val="10"/>
        <rFont val="Arial"/>
        <family val="2"/>
      </rPr>
      <t>Highway Equipment &amp; Materials</t>
    </r>
    <r>
      <rPr>
        <sz val="10"/>
        <rFont val="Arial"/>
        <family val="2"/>
      </rPr>
      <t xml:space="preserve">
Sub-workstream D</t>
    </r>
  </si>
  <si>
    <t>Andrew Binner
Paul Gilmore
Nigel Smith</t>
  </si>
  <si>
    <r>
      <t xml:space="preserve">NY Highways
4. </t>
    </r>
    <r>
      <rPr>
        <b/>
        <sz val="10"/>
        <rFont val="Arial"/>
        <family val="2"/>
      </rPr>
      <t>Street &amp; Traffic Management</t>
    </r>
    <r>
      <rPr>
        <sz val="10"/>
        <rFont val="Arial"/>
        <family val="2"/>
      </rPr>
      <t xml:space="preserve">
Sub-workstream D</t>
    </r>
  </si>
  <si>
    <r>
      <t xml:space="preserve">NY Highways
5. </t>
    </r>
    <r>
      <rPr>
        <b/>
        <sz val="10"/>
        <rFont val="Arial"/>
        <family val="2"/>
      </rPr>
      <t>Works - Construction Repair &amp; Maintenance</t>
    </r>
    <r>
      <rPr>
        <sz val="10"/>
        <rFont val="Arial"/>
        <family val="2"/>
      </rPr>
      <t xml:space="preserve">
Sub-workstream D</t>
    </r>
  </si>
  <si>
    <t>Andrew Binner 
Allan McVeigh  
Martin Garner
Allan Forsyth
Nigel Smith</t>
  </si>
  <si>
    <r>
      <t xml:space="preserve">NY Highways
6. </t>
    </r>
    <r>
      <rPr>
        <b/>
        <sz val="10"/>
        <rFont val="Arial"/>
        <family val="2"/>
      </rPr>
      <t>Clothing - PPE</t>
    </r>
    <r>
      <rPr>
        <sz val="10"/>
        <rFont val="Arial"/>
        <family val="2"/>
      </rPr>
      <t xml:space="preserve">
Sub-workstream D</t>
    </r>
  </si>
  <si>
    <t>Melaine Adams
Nigel Smith</t>
  </si>
  <si>
    <r>
      <t xml:space="preserve">NY Highways
8. </t>
    </r>
    <r>
      <rPr>
        <b/>
        <sz val="10"/>
        <rFont val="Arial"/>
        <family val="2"/>
      </rPr>
      <t>Health &amp; Safety</t>
    </r>
    <r>
      <rPr>
        <sz val="10"/>
        <rFont val="Arial"/>
        <family val="2"/>
      </rPr>
      <t xml:space="preserve">
Sub-workstream D</t>
    </r>
  </si>
  <si>
    <r>
      <t>NY Highways</t>
    </r>
    <r>
      <rPr>
        <b/>
        <sz val="10"/>
        <rFont val="Arial"/>
        <family val="2"/>
      </rPr>
      <t xml:space="preserve">
9. Horticultural</t>
    </r>
    <r>
      <rPr>
        <sz val="10"/>
        <rFont val="Arial"/>
        <family val="2"/>
      </rPr>
      <t xml:space="preserve">
Sub-workstream D</t>
    </r>
  </si>
  <si>
    <t>Pete Garnham
Nigel Smith</t>
  </si>
  <si>
    <t>DN513189</t>
  </si>
  <si>
    <t>A684 Safer Routes - Flood Warning
VMS</t>
  </si>
  <si>
    <t>Neil Linfoot (NYCC) &amp; Adam Lambert (wsp)</t>
  </si>
  <si>
    <t>Area 4 Package 2 - Carriage Way
Yatts Road R&amp;R
Coppice Lane R&amp;R
Haygate Lane R&amp;R (including Haygate Lane and East Ings Lane)
Bean Sheaf Lane R&amp;R
Westgate R&amp;R
Hagg Side Lane R&amp;R</t>
  </si>
  <si>
    <t>Tim Coyne / Charlie Deuchars</t>
  </si>
  <si>
    <t xml:space="preserve">Area 4 Tender Package 3 Carriageway
West Fields KLM R&amp;R
Caulkeys R&amp;R
Nunnington R&amp;R
Ampleforth R&amp;R
Balksyde R&amp;R
</t>
  </si>
  <si>
    <t>Snaygill Ings Bridge, Skipton</t>
  </si>
  <si>
    <t>DN522691</t>
  </si>
  <si>
    <t>Ladycross caravan park, Egton
Anglo American</t>
  </si>
  <si>
    <t>liquid</t>
  </si>
  <si>
    <t>NY Highways
Overall project
Delivery Options Post HMC2012 (DOPH)</t>
  </si>
  <si>
    <t>Coring framework</t>
  </si>
  <si>
    <r>
      <rPr>
        <sz val="10"/>
        <color rgb="FF000000"/>
        <rFont val="Calibri"/>
        <family val="2"/>
      </rPr>
      <t>36+24+</t>
    </r>
    <r>
      <rPr>
        <sz val="10"/>
        <color rgb="FFFF0000"/>
        <rFont val="Calibri"/>
        <family val="2"/>
      </rPr>
      <t>6+6</t>
    </r>
  </si>
  <si>
    <t>DN531848</t>
  </si>
  <si>
    <t>Utilities Broker (Mains Gas)</t>
  </si>
  <si>
    <t>Corona Energy Retail 4 Ltd</t>
  </si>
  <si>
    <t>Rosy Smith</t>
  </si>
  <si>
    <t>Call off received excuted 05.03.21. Rosy informed Rob Harper is the signatory.</t>
  </si>
  <si>
    <t>DN537241</t>
  </si>
  <si>
    <t>Homelessness Software</t>
  </si>
  <si>
    <t>Housing Partners</t>
  </si>
  <si>
    <t>G Cloud</t>
  </si>
  <si>
    <t>Sarah Witteringham</t>
  </si>
  <si>
    <t>Fuly signed contract saved in folder</t>
  </si>
  <si>
    <t>Will Baines</t>
  </si>
  <si>
    <t>Exemption in place. To be reviewed prior to next reneewal</t>
  </si>
  <si>
    <t>DN542703</t>
  </si>
  <si>
    <t>PARs License</t>
  </si>
  <si>
    <t>SuperSys IT Services Ltd</t>
  </si>
  <si>
    <t>Annual rolling to be reviewed prior to renewal</t>
  </si>
  <si>
    <t>DN548405</t>
  </si>
  <si>
    <t>Allpay Payment Services</t>
  </si>
  <si>
    <t>Allpay Limited</t>
  </si>
  <si>
    <t>Direct award call off from NHC. Margaret Wallace signed 10.06.21</t>
  </si>
  <si>
    <t>Sarah Wintringham</t>
  </si>
  <si>
    <t>09.01.2023, Sarah informed we are to take the extension. Supplier confirmed this will extend, still waiting for signed confirmation letter</t>
  </si>
  <si>
    <t>Keiran Owen / Marcus Lee</t>
  </si>
  <si>
    <t>14.12.22. Confirmation letter received  from supplier for one year extension. 16.11.22, Keiran informed we are to take the extension, confirmed with workstream. Direct award call off from NHC. Margaret Wallace signed 10.06.21</t>
  </si>
  <si>
    <t xml:space="preserve">Meter administrator role for Half Hourly Un-Metered Supply (street lights) </t>
  </si>
  <si>
    <t>2022/05/09 Remains
2021/07/23 Potential to include in Elec supply contract to be explored
2021/06/14 Deresourced, pending contact from PGi, contact made nil rsp
17/02/2021 No further information received from Paul Gilmore so assumed no longer required.
11/09/2020 Emailed Paul Gilmore. Meeting to discuss procurement requirements W/C 21st September
2020/02/02 Suspect sole market provider (95% market share) Power Data Associates, required for managing the half-hourly supply to street lights from 2020.  First year under best value, then exploration of appointment for long term contract.  Savings from accurate measure of luminaire switching. 20 lux on / off</t>
  </si>
  <si>
    <t>Special Educational Needs Home to School Transport (x4 schools)
(Applefields School; Brooklands School; The Dales School; Hob Moor Oaks School)</t>
  </si>
  <si>
    <t>Initially intended to re-procure these contracts which commenced April 2018; however, due to Covid-19, decision was taken to take up the 1-year extension period instead.  As these contracts were the last ones procured individually via YORtender by IPT, rather than collectively under an OJEU exercise, the contracts individually were under the OJEU threshold and therefore a Gateway 4a was not completed.</t>
  </si>
  <si>
    <t>DN536112</t>
  </si>
  <si>
    <t>Area 4 21/22 Package 4
Pre Surface Dressing Patching (PSDP)
A40003</t>
  </si>
  <si>
    <t>In Scope</t>
  </si>
  <si>
    <t>OTE 1 of 2 - Cath Richie confirmed the service needs to contine. Extension drafted for this. Extension sent to Karen and Silas. Contract meeting end of Nov. Karen to confirm when this is to be loaded onto Signing Hub. There is a variation for this also. Extension ready to go but wait until conversations about variaiton as we may be able to do them together. Variation on Legal log sheet. Chased Chris for variation specification wording. Variation template pulled together ready. Extension loaded onto signing hub. Reminder sent to Adam. Link will not work in the email. VM sent this to Stuart Cripps instead</t>
  </si>
  <si>
    <t>HP 5900 (DR) - support</t>
  </si>
  <si>
    <t>Initial period</t>
  </si>
  <si>
    <t>Virtual School OOA attendance (currently Welfare call)</t>
  </si>
  <si>
    <t>1+1</t>
  </si>
  <si>
    <t>Area 6 21/22 Patching
A60005</t>
  </si>
  <si>
    <t>DN522649</t>
  </si>
  <si>
    <t>13 x accessible low floor minibuses</t>
  </si>
  <si>
    <t>Contract awarded to Mellor Coachcraft, contract signed, Yortender &amp; Contracts register records updated and closed down.</t>
  </si>
  <si>
    <t>PAMMS Software - Data Market Insight</t>
  </si>
  <si>
    <t>Stacey Speakman / Rachel Woodward</t>
  </si>
  <si>
    <t>Director's Recommendation signed off 12/04/2021</t>
  </si>
  <si>
    <t>DN538605</t>
  </si>
  <si>
    <t>Cash Collection &amp; Cash in Transit Services</t>
  </si>
  <si>
    <t>Security Plus</t>
  </si>
  <si>
    <t>Keiran Owen/Amy Thomas</t>
  </si>
  <si>
    <t>Direct award via YPO/ESPO framework. Amy deals with car parks/Keiran deals with buildings. Contract expiry to coincide with car park contract.</t>
  </si>
  <si>
    <t>08.02.23 Supplier sent copy of signed extension letter. 22.11.22, Amy informed the workstream agreed to take the 1 year extension, 3 months notice required which is . Direct award via YPO/ESPO framework. Amy deals with car parks/Keiran deals with buildings. Contract expiry to coincide with car park contract.</t>
  </si>
  <si>
    <t>Suzanne Williamson / Silas Holland</t>
  </si>
  <si>
    <t>Resource Request</t>
  </si>
  <si>
    <t>Final 12 month extension in place until 21st April 2022. Speak to service area about re-procurement</t>
  </si>
  <si>
    <t>DN524840</t>
  </si>
  <si>
    <t>Upper Wharfedale - Swimming pool options (19013)</t>
  </si>
  <si>
    <t>HP 5700 (Selby DC) - support</t>
  </si>
  <si>
    <t xml:space="preserve">The back up data for this contract is being moved to Switzerland so needs the contract varying. Emailed Sarah Morton and requested GDPR wording from software be sent over before completing a variation. On legal log. BB believes this may not require a variation. Data governance may need to review this. We have asked for their privacy notice and a copy of the contract. Chased Keren. Smoothwall sent over their GDPR regs for legal to check.  Data governance confirmed this was ok to go ahead with. Katie doing a new framework for this. </t>
  </si>
  <si>
    <t>DN531271</t>
  </si>
  <si>
    <t>Coroners Court Video Conferencing System (includes installation of hardware, support and maintenance)
(provided by Visavvi; contract with Softcat as a re-seller)</t>
  </si>
  <si>
    <t>Direct award via HealthTrust Europe 'ICT Solutions' Framework Agreement.  Support and maintenance will not start until system is installed - scheduled for 27-29 April 2021 so new contract will be needed in approx 3 years.</t>
  </si>
  <si>
    <t>ENCTS Back Office Services (2020 PMO Ref: 2913)
- Card Management Services (CYC and NYCC)
- Card Production Services (CYC and NYCC)
- Host Operator Processing System (HOPS) (NYCC only)
(currently provided by ACT)</t>
  </si>
  <si>
    <t>24+11</t>
  </si>
  <si>
    <t>PROJECT COMPLETED
New line has not been added yet.
(Whole life costs are estimated, based on current volumes, as this is a demand-led service and actual cost may vary).</t>
  </si>
  <si>
    <t>Christina Rushworth (PM) / Lorena Phillips</t>
  </si>
  <si>
    <t>Contract to be extended for 6 months under currrent best value form.</t>
  </si>
  <si>
    <t>Consultancy to review Align Contract fees (Phase 1)</t>
  </si>
  <si>
    <t>Jon Holden / Paula McLean</t>
  </si>
  <si>
    <t>Quote received from Stradia - advice given to run phase 1 as Best Value Form and review for Phase 2.</t>
  </si>
  <si>
    <t>Budget planning tool for schools
(currently provided by Orovia)</t>
  </si>
  <si>
    <t>Contract signed off and Yortender/contracts register updated</t>
  </si>
  <si>
    <t>DN537681</t>
  </si>
  <si>
    <t>Contract signed off, Yortender &amp; contracts register updated</t>
  </si>
  <si>
    <t>DN548105</t>
  </si>
  <si>
    <t>GIS and Associated Software (PMO Ref: 2959)
(currently MapInfo Pro, provided by CDR Group)</t>
  </si>
  <si>
    <t>2020 Project paused - PM not yet assigned.  Currently procuring on 12 month rolling contract.  T&amp;C are carrying out analysis on different products which will require procurement support in future.  Awarding new contract for 12 months via Best Value Form whilst 2020 project is completed.</t>
  </si>
  <si>
    <t>DN536303</t>
  </si>
  <si>
    <t>Safeguarding Adults Review</t>
  </si>
  <si>
    <t>Laura Watson/Sarah Abram</t>
  </si>
  <si>
    <t>Area 2 21/22 Package 10
York Road R&amp;R
York Road Drainage</t>
  </si>
  <si>
    <t>DN203182</t>
  </si>
  <si>
    <t>Weather Forecasting Contract and Weather Station Bureau Service - Gate 4</t>
  </si>
  <si>
    <t>DN530276</t>
  </si>
  <si>
    <t>Risedale - lab refurbishment
(20012) and food tech and art</t>
  </si>
  <si>
    <t>DN549042</t>
  </si>
  <si>
    <t>Area 6 21/22 A6 Harrogate
A60002</t>
  </si>
  <si>
    <t xml:space="preserve"> DN524884</t>
  </si>
  <si>
    <t>Area 2 PSDP Package 
Tender Package 12
()1/04/2021 - Now Made Package 13)</t>
  </si>
  <si>
    <t>Area 4 21/22 Package 2 (R&amp;R)
(Includes Jamie Craggs / Castle Howard Station Road; Main Street Crambe; Foston to Whitwell; Lilling Back Lane; Oak Busk Lane; Castle View; Black Dike; Brambling Fields; Braygate Street; Middlecave Road; Oswaldkirk Special; Staxton Hill; Broughton Footway; and Little Barugh Footway)</t>
  </si>
  <si>
    <t>DN552018</t>
  </si>
  <si>
    <t>Railway Tavern HMO building refurb (Norton</t>
  </si>
  <si>
    <t>Transcore Ltd</t>
  </si>
  <si>
    <t>9 Months</t>
  </si>
  <si>
    <t>Tender (QS)</t>
  </si>
  <si>
    <t>Lesley Fargher</t>
  </si>
  <si>
    <t>Hall &amp; Partners ran the tender and drafted contract. Entered on contracts register, legal to executed/sealed the contract 13.07.2021. Full hard copy is at Ryedale House</t>
  </si>
  <si>
    <t>DN546613</t>
  </si>
  <si>
    <t>Purchase of Road Sweeper</t>
  </si>
  <si>
    <t>Scarab Sweepers</t>
  </si>
  <si>
    <t>Direct award call off from ESPO framework for unregistered ex demo model. Glen sealed sent sealed contract 26.05.21</t>
  </si>
  <si>
    <t>12 Months</t>
  </si>
  <si>
    <t>Contract award to boxxe for CSP licences. Call off executed. Service area to raise PO for ongoing requirements</t>
  </si>
  <si>
    <t>DN316953</t>
  </si>
  <si>
    <r>
      <t>36+</t>
    </r>
    <r>
      <rPr>
        <sz val="11"/>
        <color theme="1"/>
        <rFont val="Calibri"/>
        <family val="2"/>
        <scheme val="minor"/>
      </rPr>
      <t>12</t>
    </r>
    <r>
      <rPr>
        <sz val="11"/>
        <rFont val="Calibri"/>
        <family val="2"/>
        <scheme val="minor"/>
      </rPr>
      <t>+</t>
    </r>
    <r>
      <rPr>
        <sz val="11"/>
        <color rgb="FFFF0000"/>
        <rFont val="Calibri"/>
        <family val="2"/>
        <scheme val="minor"/>
      </rPr>
      <t>12</t>
    </r>
    <r>
      <rPr>
        <sz val="11"/>
        <rFont val="Calibri"/>
        <family val="2"/>
        <scheme val="minor"/>
      </rPr>
      <t>+12+12+12+12+12</t>
    </r>
  </si>
  <si>
    <t>Qingzi,Bu / Amanda Alderson</t>
  </si>
  <si>
    <t xml:space="preserve">Extension in place for 12 months from 21st May 2021 - 20th May 2022 </t>
  </si>
  <si>
    <t>DN531051</t>
  </si>
  <si>
    <t>Occupational Health Case Management System
(currently eOPAS, provided by Civica)</t>
  </si>
  <si>
    <t>Direct awarding via CCS DAS Framework
Previous contract was 01 Jun - 31 May; however,subscription period was 24 May - 23 May.</t>
  </si>
  <si>
    <t>Manse Farm - 1 form entry school, Knaresborough
18015</t>
  </si>
  <si>
    <t>DN551842</t>
  </si>
  <si>
    <t>Supply of Refuse Collection Vehicles</t>
  </si>
  <si>
    <t>Dennis Eagle Ltd</t>
  </si>
  <si>
    <t>Direct award call off from Lincolnshire CC framework as Dennis Eagle is sole supplier with fixed pricing. Sealed by Glen 18.06.21</t>
  </si>
  <si>
    <t>DN542181</t>
  </si>
  <si>
    <t>ICT Support Services Agreement</t>
  </si>
  <si>
    <t>S1 LG (G&amp;S)A 1970</t>
  </si>
  <si>
    <t>Glen has sent signed copy of SLA.</t>
  </si>
  <si>
    <t>DN547022</t>
  </si>
  <si>
    <t>Virtualization support (capitalised)</t>
  </si>
  <si>
    <t>6 Monthly Rolling</t>
  </si>
  <si>
    <t>This is now provider under CTBT05 and CTBT23.  Direct quotation renewed on a 6 monthly basis (billed quarterly). To be reviewed on a 6 monthly before this is renewed to see if compliant routes available. LGR has impacts</t>
  </si>
  <si>
    <t>DN544710</t>
  </si>
  <si>
    <t>Fuel Cards 
(currently supplied by Allstar Business Solutions Ltd)</t>
  </si>
  <si>
    <t>10+24</t>
  </si>
  <si>
    <t>DN512208
(DN463795 - Archived)</t>
  </si>
  <si>
    <t>Science Laboratory Refurbishment at Bedale High School
18019</t>
  </si>
  <si>
    <t>Paula McLean / CD
QS: Jack Fearn</t>
  </si>
  <si>
    <t>DN528298</t>
  </si>
  <si>
    <t>Thirsk School &amp; Sixth Form - Toilet &amp; Kitchen Refurbishment, Dining Room Extension and Window/Roof Maintenance</t>
  </si>
  <si>
    <t>Procurement Management Software (Currently YORtender/Proactis)</t>
  </si>
  <si>
    <t>Contract awarded and implementation begins - contract value is the full total value not the NYCC contribution</t>
  </si>
  <si>
    <t>T&amp;C (Procurement Systems)</t>
  </si>
  <si>
    <r>
      <t>36+</t>
    </r>
    <r>
      <rPr>
        <sz val="11"/>
        <color rgb="FFFF0000"/>
        <rFont val="Calibri"/>
        <family val="2"/>
        <scheme val="minor"/>
      </rPr>
      <t>12</t>
    </r>
    <r>
      <rPr>
        <sz val="11"/>
        <rFont val="Calibri"/>
        <family val="2"/>
        <scheme val="minor"/>
      </rPr>
      <t>+</t>
    </r>
    <r>
      <rPr>
        <sz val="11"/>
        <color theme="1"/>
        <rFont val="Calibri"/>
        <family val="2"/>
        <scheme val="minor"/>
      </rPr>
      <t>12</t>
    </r>
  </si>
  <si>
    <t>Emailed Sarah and Pauline to get some time in with them. Meeting in with Pauline 10th Feb 2021. Draft started and due to send it onto Pauline Smurthwaite. Chased Pauline 24th March. Chased Pauline 12.04.21 for wording. To send to SS to check over before presenting. Going to PAB 14th May. Provisionally approved. Gone back to Sarah to review notes from PAB. All extnsion agreements pulled together. Sarah checking over agreements and sending them onto the providers for review before loading onto Signing Hub. Chased Sarah for update on providers reviewing extension documentation. Sarah on leave until 14th June</t>
  </si>
  <si>
    <t>DN564239</t>
  </si>
  <si>
    <t>Fresh Fruit, Vegetables and Milk Products
(currently supplied by Paynes)</t>
  </si>
  <si>
    <t>5+2</t>
  </si>
  <si>
    <t xml:space="preserve"> DN301921</t>
  </si>
  <si>
    <t>ESS</t>
  </si>
  <si>
    <t>Health Assured Variation - Increased Rate</t>
  </si>
  <si>
    <t xml:space="preserve">Variation signed and completed </t>
  </si>
  <si>
    <t>MA</t>
  </si>
  <si>
    <t>Contract signed - completed</t>
  </si>
  <si>
    <t>DN542519</t>
  </si>
  <si>
    <t>Peer to Peer Support - LEP</t>
  </si>
  <si>
    <t>Andrew Raby</t>
  </si>
  <si>
    <t>Director's recommendation sent to KB for sign off</t>
  </si>
  <si>
    <t xml:space="preserve">MS Licences variation: Microsoft Cloud Service Provider </t>
  </si>
  <si>
    <t>Joel Sanders / Nic Watters</t>
  </si>
  <si>
    <t>Added to be resourced - emails saved here --&gt; N:\FCS-DATA\Procurement\Procurements\PROFESSIONAL\T and C\Licenses\Awarded\Microsoft Licensing Partner 2020-23 DN421761\12) Contract\2021 Contract Variation. Sent Gateway to Stacey to review. Amended and sent to Stacey to review. Licences need to be purchased before 30th April. Meeting with Legal 21st April for Variation wording. Liz drafted variation. Joel sent to Softcat to review. Joel chased supplier for review update. On Signing Hub. Variation signed and completed.</t>
  </si>
  <si>
    <t>Sales Consultancy</t>
  </si>
  <si>
    <t xml:space="preserve">Contract signed and complete. Awarded to Just Williams Consultancy. </t>
  </si>
  <si>
    <t>Area 6 21/22 A6 Footway</t>
  </si>
  <si>
    <t>Area 7 21/22 Carriageway Schemes Cat 4</t>
  </si>
  <si>
    <t>Area 7 21/22 Footway Schemes</t>
  </si>
  <si>
    <t>Road Footbridges
Rillington Ford Beck</t>
  </si>
  <si>
    <t>3 Racecourse Lane, Nothallerton, Adaptations and alterations</t>
  </si>
  <si>
    <t>Fenestration Framework</t>
  </si>
  <si>
    <t>DN532063</t>
  </si>
  <si>
    <t>Staveley Community Primary School Extension to form Library and Hygiene Room
(19007)</t>
  </si>
  <si>
    <t>DN552297</t>
  </si>
  <si>
    <t>Fairburn Crag Area 7 landslip
A70003</t>
  </si>
  <si>
    <t>Area 7 21/22 Carriageway Schemes Cat 2, 3
A70001</t>
  </si>
  <si>
    <r>
      <rPr>
        <b/>
        <sz val="11"/>
        <rFont val="Calibri"/>
        <family val="2"/>
      </rPr>
      <t>Complete</t>
    </r>
    <r>
      <rPr>
        <sz val="11"/>
        <rFont val="Calibri"/>
        <family val="2"/>
      </rPr>
      <t xml:space="preserve"> - Invoice total £2830</t>
    </r>
  </si>
  <si>
    <t>OTE to 20/06/21 fully signed off.  NFA until Jan 21.</t>
  </si>
  <si>
    <t>Area 4 21-22 Tender Package 1
Birdsall
Butterwick
Sherburn
East Knapton
Cockayne
Thorn Wath
Gillamoor
Swinehead Lane Footway</t>
  </si>
  <si>
    <t>Area 4 21-22 Tender Package 2
Castle Howard Station Road
Main Street Crambe
Foston to Whitwell
Lilling Back Lane
Oak Busk Lane
Castle View
Black Dyke
Brambling Fields
Braygate Street
Middlecave Road
Oswaldkirk Speial
Staxton Hill
Broughton Footway
Little Baraugh Footway</t>
  </si>
  <si>
    <t>County Hall - Boiler Replacement</t>
  </si>
  <si>
    <t>Area 4 21/22 Package 3
R&amp;R
Old Malton Road 
Yorkersgate
Yorkersgate Footway
Commercial Street, Norton
A40002</t>
  </si>
  <si>
    <t>Gate Bridge Culvert
Repair of culvert by relining, rebuilding of stone headwall, removal of temporary bridge and resurfacing of carriageway
A70004</t>
  </si>
  <si>
    <t xml:space="preserve">Pensions Investment Accounting &amp; Performance Monitoring </t>
  </si>
  <si>
    <t>Signed contract received from BNY Mellon - YORtender and Contracts Register updated</t>
  </si>
  <si>
    <t>DN548863</t>
  </si>
  <si>
    <t>Low Faggergill and Wood House For Supply Contract</t>
  </si>
  <si>
    <t>DN538129</t>
  </si>
  <si>
    <t>Area 5 Carriageway Surfacing Package No.1A  21/22
12 schemes involving overlay, inlay, patching, road marking and minor works
A50001</t>
  </si>
  <si>
    <t>TEN (Risk Management) Mitratech/ Hitec Ltd</t>
  </si>
  <si>
    <r>
      <t>24+24+</t>
    </r>
    <r>
      <rPr>
        <sz val="11"/>
        <color rgb="FFFF0000"/>
        <rFont val="Calibri"/>
        <family val="2"/>
        <scheme val="minor"/>
      </rPr>
      <t>24</t>
    </r>
  </si>
  <si>
    <t>Lorena Phillips / Fiona Sowerby</t>
  </si>
  <si>
    <t>Hitec refused to sign an extension agreement as this is a rolling contract and they are prepared to continue services until the end of the contract - July 2023.</t>
  </si>
  <si>
    <t>Contactless Payments for Buses</t>
  </si>
  <si>
    <t>Andrew Sharpin / Cath Ritchie</t>
  </si>
  <si>
    <t>Meeting with Cath Ritchie, Andrew Sharpin, Lesley Watkinson and Mark Dixon. New requirement. Public Health and H&amp;S have stated that no cash should be taken on buses, current ticket machines cannot be updated to take contactless payments. Procurement only just involved, some previous discussions have been held. Finance have approached Civica and Lloyds for pricing. Advised if over £25k will need to follow a process, BVF to be completed if under. Looking to trial on 2 buses initially. Christopher Jones now picking this up - liaising with Cath Ritchie to confirm status of the project.</t>
  </si>
  <si>
    <t xml:space="preserve">Adam Gray / Emma Lonsdale </t>
  </si>
  <si>
    <r>
      <t>Extension done for 2021-22 -Signed -</t>
    </r>
    <r>
      <rPr>
        <b/>
        <sz val="11"/>
        <rFont val="Calibri"/>
        <family val="2"/>
        <scheme val="minor"/>
      </rPr>
      <t>Complete</t>
    </r>
  </si>
  <si>
    <t xml:space="preserve">NYCC Care Home (Nursing &amp; Residential) Approved Provider List </t>
  </si>
  <si>
    <t>HASLT: 11/03/2021
HAS EX: 09/04/2021</t>
  </si>
  <si>
    <t>Janine Tranmer/Helen Thirkell/Dale Owens</t>
  </si>
  <si>
    <t>NYCC Domiciliary Care and Other Regulated Services Approved Provider List</t>
  </si>
  <si>
    <t>Janine Tranmer/Mike Rudd/Dale Owens</t>
  </si>
  <si>
    <t xml:space="preserve">SPS Doorguard </t>
  </si>
  <si>
    <r>
      <t xml:space="preserve">01/01/2021 - </t>
    </r>
    <r>
      <rPr>
        <b/>
        <sz val="11"/>
        <color rgb="FFFF0000"/>
        <rFont val="Calibri"/>
        <family val="2"/>
        <scheme val="minor"/>
      </rPr>
      <t>overtype by SCM</t>
    </r>
  </si>
  <si>
    <t>Thirsk Secondary - windows and flat roofing</t>
  </si>
  <si>
    <t>Paula McLean / Andy Purdy (Property)</t>
  </si>
  <si>
    <t>DN515382</t>
  </si>
  <si>
    <t>Carlton in Snaith - Remodelling of Pupil Toilet Accommodation and Asbestos Abatement Works (19009)</t>
  </si>
  <si>
    <t>DN527984</t>
  </si>
  <si>
    <t>Wensleydale School - Lift (19015)</t>
  </si>
  <si>
    <t>DN533115</t>
  </si>
  <si>
    <t>Easingwold CP - Class refurb &amp; expansion</t>
  </si>
  <si>
    <t>Wistow CE Toilet refurbishment</t>
  </si>
  <si>
    <t>DN531211</t>
  </si>
  <si>
    <t>Sicklinghall - kitchen refurb
18020</t>
  </si>
  <si>
    <t>DN525264</t>
  </si>
  <si>
    <t>Sinnington CP - Pitched roof replacement</t>
  </si>
  <si>
    <t>Delay</t>
  </si>
  <si>
    <t>DN539099</t>
  </si>
  <si>
    <t>Area 4 21/22 Package 1 (Carriageway)
(Includes Birdsall; Oswalkirk Special, Crambe R&amp;R, Staxton Hill R&amp;R )
A40001</t>
  </si>
  <si>
    <t>DN533091</t>
  </si>
  <si>
    <t>Dishforth Airfield - Extensions and car park (17040)</t>
  </si>
  <si>
    <t>DN536057</t>
  </si>
  <si>
    <t>Three Gables
Repair damaged beam and sort drainage
A80007</t>
  </si>
  <si>
    <t>DN549599</t>
  </si>
  <si>
    <t>Area 6 21/22 South
A60006</t>
  </si>
  <si>
    <t>DN554354</t>
  </si>
  <si>
    <t>Footfall Analysis Licence</t>
  </si>
  <si>
    <t>Huq</t>
  </si>
  <si>
    <t>Direct quotation under 5k spend. NK reviewed T&amp;C's CN happy. Contrat auto renews if not cancelled 30 days before end date.</t>
  </si>
  <si>
    <t>Huq Industries Limited</t>
  </si>
  <si>
    <t>Craig informed this has been renewed for another year. Direct quotation, now 10k in value so 2 further quotes should have been sought. NK reviewed T&amp;C's CN happy. Contract auto renews if not cancelled 30 days before end date.</t>
  </si>
  <si>
    <t>DN560737</t>
  </si>
  <si>
    <t>IoT Programme: Smart Place
Consultancy</t>
  </si>
  <si>
    <t>Jon Savage / John Kelly</t>
  </si>
  <si>
    <t xml:space="preserve"> DN532198</t>
  </si>
  <si>
    <t>Sutton in Craven - Hygiene Room 
(19006)</t>
  </si>
  <si>
    <t>DN548902
(V1Archived - DN540456)</t>
  </si>
  <si>
    <t>A6131 The Bailey, Skipton</t>
  </si>
  <si>
    <t>Oakbeck Bridge New structure Culvert Supply
A80008b
751b</t>
  </si>
  <si>
    <t>DN532242</t>
  </si>
  <si>
    <t>A684 Safer Routes Combined Package
3 Akebar Resurfacing and Drainage
8 Cotteriggs and Thwaite Bridge Drainage
13 Unthank Farm Drainage
16 Oak Tree Farm Drainage
A10009</t>
  </si>
  <si>
    <t>Allerton Wath Bridge Allerton Wath - Repaint ONLY DUPLICATE LINE</t>
  </si>
  <si>
    <t>DN534923</t>
  </si>
  <si>
    <t>Barlow CE (tfr from Clapham PS) - relocation of PCU
20020</t>
  </si>
  <si>
    <t>DN558029</t>
  </si>
  <si>
    <t>Sharepoint Online Intranet</t>
  </si>
  <si>
    <t>Phoenix Software Ltd</t>
  </si>
  <si>
    <t>KCS Framework</t>
  </si>
  <si>
    <t xml:space="preserve">Direct award via KCS framework. One off procurement. Support maybe required, this will be a separate call off. </t>
  </si>
  <si>
    <t xml:space="preserve">DN511175 </t>
  </si>
  <si>
    <t>EdTech Partner</t>
  </si>
  <si>
    <t>Louise Burke / Keren Wild / Claire Preston</t>
  </si>
  <si>
    <t xml:space="preserve">Pension Fund Equity Protection </t>
  </si>
  <si>
    <t>Not clear if this needs extending now or next year? CW need to check with service area.
Two protection agreements were put in place; 
One expiring July 2020 - LGIM (1 year) - This was extended. 
One expiring Jan 2021 (18months) - LGIM
Decision point in Nov - will protection be needed for longer?  The gateway provided for a  2 year period  however an extension may be needed because markets have crashed as a result of Covid-19. A change would incur huge transaction fees so an extension may be required. Clarity on this point should be gained on Fri 27th Nov. Will need a gate 4. Meeting to be had in May/June for the decision on this. VM suggested pulling paperwork together beforehand so we can get it to PAB asap after the meeting. Tight turn around. Chased Qingzi for details. Chased Amanda Alderson and Qingzi again
Meeting with Tom on 24th May to discuss gateway and committee meeting. Tom is 99% sure this will expire as the committee not longer want the insurance for the equity. Not wanting this extension. Contract expiring in July 2021</t>
  </si>
  <si>
    <r>
      <t>24+</t>
    </r>
    <r>
      <rPr>
        <sz val="11"/>
        <color rgb="FFFF0000"/>
        <rFont val="Calibri"/>
        <family val="2"/>
        <scheme val="minor"/>
      </rPr>
      <t>12</t>
    </r>
    <r>
      <rPr>
        <sz val="11"/>
        <rFont val="Calibri"/>
        <family val="2"/>
        <scheme val="minor"/>
      </rPr>
      <t>+</t>
    </r>
    <r>
      <rPr>
        <sz val="11"/>
        <color theme="1"/>
        <rFont val="Calibri"/>
        <family val="2"/>
        <scheme val="minor"/>
      </rPr>
      <t>12</t>
    </r>
  </si>
  <si>
    <t>Emailed Silas. Speak to Louise W closer to the time. Already confirmed to go ahead with this. Meeting on 2nd March 2021. We want to extend. Extension drafted and ready to go. Comminicate with Michaela. Not due until July. Chased Chris and Adrian at Ascertia. Chased Chris and Adrian for update on the review for this. Asked Michaela if we have any other contacts at Ascertia to chase. Chased Adrian at Ascertia for email address. On signing hub. Signed and completed</t>
  </si>
  <si>
    <t>DN508661</t>
  </si>
  <si>
    <t>e-Scheduling System (2020 Ref: 2261) Lot 1 only</t>
  </si>
  <si>
    <t>Workwear &amp; PPE
(currently supplied by Thomas Owen)
Uniforms 
(currently supplied by Nalestar via YPO)</t>
  </si>
  <si>
    <t>Amanda Manifield</t>
  </si>
  <si>
    <t>DN529575</t>
  </si>
  <si>
    <t>Whitley &amp; Eggborough CPS - Kitchen and Toilet Refurbishment</t>
  </si>
  <si>
    <t>North Northallerton / Knaresborough Manse Farm - Principles Gateway 1 and pricing options</t>
  </si>
  <si>
    <t>Forensic Platform (currently with Nuix)</t>
  </si>
  <si>
    <t>Service area proceeded with DR without Procurement's knowledge.</t>
  </si>
  <si>
    <t>DN555452</t>
  </si>
  <si>
    <t>Oracle PBCS (Planning &amp; Budgeting Cloud Solution) Application Support
(currently provided by Evosys)</t>
  </si>
  <si>
    <r>
      <rPr>
        <sz val="11"/>
        <color rgb="FFFF0000"/>
        <rFont val="Calibri"/>
        <family val="2"/>
      </rPr>
      <t>24</t>
    </r>
    <r>
      <rPr>
        <sz val="11"/>
        <rFont val="Calibri"/>
        <family val="2"/>
      </rPr>
      <t>+12+12</t>
    </r>
  </si>
  <si>
    <t>PROJECT COMPLETED
Direct Award under the CCS G-Cloud 12 Framework Agreement
Contract value specified is only for the initial contract term of 24 months.</t>
  </si>
  <si>
    <t>DN525510</t>
  </si>
  <si>
    <t xml:space="preserve">West Heslerton &amp; Hertford Vale - Toilet Refurb (19016 &amp; 19023) </t>
  </si>
  <si>
    <t>DN540244</t>
  </si>
  <si>
    <t>Work Pack 2 - Replacement of timber, UPVc and aluminium windows and curtain walling at a number of sites across North Yorkshire (Harrogate / Craven)
(Ingleton Primary School, Settle College, King James's School, Boroughbridge High School)</t>
  </si>
  <si>
    <t>DN550935</t>
  </si>
  <si>
    <t>a</t>
  </si>
  <si>
    <r>
      <t xml:space="preserve">Area 2 21/22 Package 5
</t>
    </r>
    <r>
      <rPr>
        <strike/>
        <sz val="10"/>
        <rFont val="Arial"/>
        <family val="2"/>
      </rPr>
      <t>Stillington Drainage
Clifton on Yore Drainage</t>
    </r>
    <r>
      <rPr>
        <sz val="10"/>
        <rFont val="Arial"/>
        <family val="2"/>
      </rPr>
      <t xml:space="preserve">
Topcliffe Road Drainage
A20005</t>
    </r>
  </si>
  <si>
    <t>DN540228</t>
  </si>
  <si>
    <t>Work Pack 1 - Replacement of timber, UPVc and aluminium windows and curtain walling at a number of sites across North Yorkshire (Scarborough / Ryedale)
(Lindhead School, Seamer &amp; Irton CPS, Northstead CPS, Caedmon College, Eskdale School and Malton Library)</t>
  </si>
  <si>
    <t>DN528035</t>
  </si>
  <si>
    <t>Sherburn CE - review of temp unit</t>
  </si>
  <si>
    <t>New procurement for this starting August 2021 to cally the contract through the exclusion period</t>
  </si>
  <si>
    <r>
      <t>24+</t>
    </r>
    <r>
      <rPr>
        <sz val="11"/>
        <color rgb="FFFF0000"/>
        <rFont val="Calibri"/>
        <family val="2"/>
        <scheme val="minor"/>
      </rPr>
      <t>12+</t>
    </r>
    <r>
      <rPr>
        <sz val="11"/>
        <rFont val="Calibri"/>
        <family val="2"/>
        <scheme val="minor"/>
      </rPr>
      <t>12</t>
    </r>
  </si>
  <si>
    <t xml:space="preserve"> Donna Stevenson</t>
  </si>
  <si>
    <t>OTE 1 signed off.  OTE 2 available.  NFA until August 2021</t>
  </si>
  <si>
    <t>DN338826</t>
  </si>
  <si>
    <t>Tribal provided a renewal confirming dates. This has been agreed that we can add extra year onto contract to 2024.</t>
  </si>
  <si>
    <t>DN565376</t>
  </si>
  <si>
    <t>Cleaning and Janitorial
(currently supplied by YPO)</t>
  </si>
  <si>
    <t>120</t>
  </si>
  <si>
    <t>Shaun Mancrief / Amanda Manifield</t>
  </si>
  <si>
    <t>G4 fully approved 27/07/21</t>
  </si>
  <si>
    <t>Contract signed and Contracts Register updated</t>
  </si>
  <si>
    <t>Contract signed and records updated</t>
  </si>
  <si>
    <t xml:space="preserve">Completed and published on Yortender. </t>
  </si>
  <si>
    <t>Digital EHCPs System (PMO Ref: 2937)</t>
  </si>
  <si>
    <t>8+12</t>
  </si>
  <si>
    <t>Alice Wild / Nikki Joyce</t>
  </si>
  <si>
    <t xml:space="preserve">Variation signed and complete. </t>
  </si>
  <si>
    <t>Vehicle Restraint System Repair and Maintenance</t>
  </si>
  <si>
    <t>DN547807</t>
  </si>
  <si>
    <t>Area 7 21/22 PSD Patching
A70002</t>
  </si>
  <si>
    <t>DN545317</t>
  </si>
  <si>
    <t>Area 2 21/22 Package 1
Grammar School Lane
A167 Great Smeaton
A20001</t>
  </si>
  <si>
    <t>key decision</t>
  </si>
  <si>
    <t>DN550216</t>
  </si>
  <si>
    <t>Area 3 Landslips Whitby
East Ayton, Delves, Beckhole, Ridgelane, Borrowby Lane</t>
  </si>
  <si>
    <t>DN542096</t>
  </si>
  <si>
    <t>Easingwold Business Park &amp; York Road Bus Stop</t>
  </si>
  <si>
    <t>DN552462</t>
  </si>
  <si>
    <t>Area 6 Wetherby Roundabout
A60008
Junction 46</t>
  </si>
  <si>
    <t>Winter Warm Fund Air Source Heat Pumps</t>
  </si>
  <si>
    <t>Browna Gill Culvert
Area 1
A10011</t>
  </si>
  <si>
    <t>Afghan LES Relocation Scheme</t>
  </si>
  <si>
    <t xml:space="preserve">Refugee Council (via Leeds City Council) </t>
  </si>
  <si>
    <t>TBC - Urgency has been used</t>
  </si>
  <si>
    <t xml:space="preserve">New partnership agreement in draft stage with Refuge Council (other names) via Leeds CC (who are drawing up the agreement) - Rosie W &amp; Gemma attending meeting with some outstanding queries. Previously thought to be a contract variation to the existing Refugee Scheme but not. Rosie to provide details and emails to the resourced CPO. </t>
  </si>
  <si>
    <t>DN543703</t>
  </si>
  <si>
    <t>Brompton Station Bridge (Bow Bridge) Parapet Repair and Repointing
595</t>
  </si>
  <si>
    <t>DN503248</t>
  </si>
  <si>
    <t>Civil Engineering Contractors Framework
2021-2025 framework</t>
  </si>
  <si>
    <t>DN560327</t>
  </si>
  <si>
    <t>Waste &amp; Environment Strategy Consultancy</t>
  </si>
  <si>
    <t>Peopletoo via Reed Consultancy +</t>
  </si>
  <si>
    <t>Margaret Wallace</t>
  </si>
  <si>
    <t>Contract awarded to Peopletoo via Reed consultancy+. Contract docs executed 06.08.21.</t>
  </si>
  <si>
    <r>
      <t>24+12+</t>
    </r>
    <r>
      <rPr>
        <sz val="11"/>
        <color rgb="FFFF0000"/>
        <rFont val="Calibri"/>
        <family val="2"/>
      </rPr>
      <t>12</t>
    </r>
    <r>
      <rPr>
        <sz val="11"/>
        <rFont val="Calibri"/>
        <family val="2"/>
      </rPr>
      <t>+12</t>
    </r>
  </si>
  <si>
    <t>OTE3 - check with Stacey re email from Becky N about the initial term expiring 26 Sept 2019. Both lines say contract extensions, I read this line as 2nd contract extension to be sorted for 2020-21? No official contract in place. Email Chloe L from YPO if we decide to continue services after September 2020. Speak to Nic Watters. Joining Katies meeting on 10th March. KL &amp; VM to speak to SS to see if GW4 is necessary as there is no contract in place and Schools ICT wish to start looking for new framwork asap. No warranty detials are provided by YPO which puts us at risk if things go wrong and no training is being provided even though it is included in the cost. GW4 required. Emailed Nic explaining. Emailed Chloe Lynn 18.03.2020 GW4 sent to Nic and Keren 18.03.2020 Chased Nic Chased Nic again 06/04/2020. Chased Nic 28.04 Chased again 20/05/2020 GW4 sent to stacey 17.06.2020. Chloe confirming who would sign it off at YPO. PAB Approved.</t>
  </si>
  <si>
    <t>DN563377</t>
  </si>
  <si>
    <t>IoT Programme: Smart Place Innovation Pack
Air Quality
Smart Bins
Pedestrian Monitoring</t>
  </si>
  <si>
    <t>DN561288</t>
  </si>
  <si>
    <t>Wood House Footbridge
Replacement structure
3840</t>
  </si>
  <si>
    <t>DN560907</t>
  </si>
  <si>
    <t>Postal Service collaboration with Kirklees</t>
  </si>
  <si>
    <t xml:space="preserve">Order form signed and complete. (Two x 12 months extensions available). </t>
  </si>
  <si>
    <t>DN557629</t>
  </si>
  <si>
    <t>Hutton Rudby Bridge Concrete and Stone repairs
373</t>
  </si>
  <si>
    <t>Rathmell Low Bridge Invert Repair and arch stitching - see flood inspection and BCI
1353</t>
  </si>
  <si>
    <t>DN546076</t>
  </si>
  <si>
    <t>Osmotherley Footbridge Replacement GRP FBR
3537</t>
  </si>
  <si>
    <t>DN553094</t>
  </si>
  <si>
    <t>Allerton Wath - Parapet replacement and deck painting
608</t>
  </si>
  <si>
    <t>Unix Hardware Maintenance (Currently Solaris)</t>
  </si>
  <si>
    <t>Need to review cumulative spend for contract.</t>
  </si>
  <si>
    <t>DN543924</t>
  </si>
  <si>
    <t>Roof Repairs at Hutton Rudby Primary School</t>
  </si>
  <si>
    <t>DN541642</t>
  </si>
  <si>
    <t>Work Pack 3 - Salix Decarbonisation - Window Replacement - Harrogate / Craven - Corporate Starbeck &amp; Manor House Elderly Persons home.</t>
  </si>
  <si>
    <t>DN540537</t>
  </si>
  <si>
    <t>Work Pack Pickering EPH - Replacement of timber, UPVc and aluminium windows and curtain walling at a number of sites across North Yorkshire</t>
  </si>
  <si>
    <t>DN560403</t>
  </si>
  <si>
    <t>Area 1 Package 1 21/22
Cat 3a R&amp;R Gilling Road
Cat 3b Patching Barton
A10002</t>
  </si>
  <si>
    <t>River Aire
Centre Joint over the river needs maintenance and all the drainage channels need modifying. Minor concrete repairs.
A80006
1106</t>
  </si>
  <si>
    <t>Whole life costs are for initial term only.
Separate Oracle support contract needs to be finalised with Oracle (or reseller) and separate row needs adding.</t>
  </si>
  <si>
    <t>DN343979</t>
  </si>
  <si>
    <t>Gateway 4 approved. Agreement signed. Cannot change this to closed or non active. In place until August 2023</t>
  </si>
  <si>
    <r>
      <t>24+12+</t>
    </r>
    <r>
      <rPr>
        <sz val="11"/>
        <color theme="1"/>
        <rFont val="Calibri"/>
        <family val="2"/>
        <scheme val="minor"/>
      </rPr>
      <t>12</t>
    </r>
    <r>
      <rPr>
        <sz val="11"/>
        <rFont val="Calibri"/>
        <family val="2"/>
        <scheme val="minor"/>
      </rPr>
      <t>+</t>
    </r>
    <r>
      <rPr>
        <sz val="11"/>
        <color theme="1"/>
        <rFont val="Calibri"/>
        <family val="2"/>
        <scheme val="minor"/>
      </rPr>
      <t>12</t>
    </r>
    <r>
      <rPr>
        <sz val="11"/>
        <rFont val="Calibri"/>
        <family val="2"/>
        <scheme val="minor"/>
      </rPr>
      <t>+</t>
    </r>
    <r>
      <rPr>
        <sz val="11"/>
        <color theme="1"/>
        <rFont val="Calibri"/>
        <family val="2"/>
        <scheme val="minor"/>
      </rPr>
      <t>12+</t>
    </r>
    <r>
      <rPr>
        <sz val="11"/>
        <color rgb="FFFF0000"/>
        <rFont val="Calibri"/>
        <family val="2"/>
        <scheme val="minor"/>
      </rPr>
      <t>12</t>
    </r>
  </si>
  <si>
    <t xml:space="preserve">Extension signed until 2022. BV to go in place in 2022 to carry it past 2024. </t>
  </si>
  <si>
    <r>
      <t>24+</t>
    </r>
    <r>
      <rPr>
        <sz val="11"/>
        <rFont val="Calibri"/>
        <family val="2"/>
        <scheme val="minor"/>
      </rPr>
      <t>12+</t>
    </r>
    <r>
      <rPr>
        <sz val="11"/>
        <color rgb="FFFF0000"/>
        <rFont val="Calibri"/>
        <family val="2"/>
        <scheme val="minor"/>
      </rPr>
      <t>12</t>
    </r>
    <r>
      <rPr>
        <sz val="11"/>
        <rFont val="Calibri"/>
        <family val="2"/>
        <scheme val="minor"/>
      </rPr>
      <t>+12</t>
    </r>
  </si>
  <si>
    <t>Open</t>
  </si>
  <si>
    <t>Speak to Nic Watters in 2020. Insight. Schools ICT. Nic to go through Insight framework - Speaking with Andrew Lambert. Yes they would like to extend. VM to pull together gateway 4 and send to Keren, Nic and Mark Smith for technical wording. GW4 sent to Nic, Keren and Mark for input. Not urgent but could do with Gateway working from Schools ICT so the gateway can go through as soon as able. Stacey is aware of this project. Chased the gateway with Mark Smith on 28th April. Costs to come back from Jonny West. Approved and on signing hub. Key decision officially signed off. Sent reminder to Robert Ling again. Emailed RL. SIGNED OFF ON SIGNING HUB</t>
  </si>
  <si>
    <t>Corporate Systems / School's ICT</t>
  </si>
  <si>
    <t>Special Educational Needs Home to School Transport (x3 schools)
- Springhead School, Scarborough
- Mowbray School, Bedale
- Welburn Hall School, Kirkbymoorside</t>
  </si>
  <si>
    <r>
      <t>36+</t>
    </r>
    <r>
      <rPr>
        <sz val="11"/>
        <color rgb="FFFF0000"/>
        <rFont val="Calibri"/>
        <family val="2"/>
      </rPr>
      <t>12</t>
    </r>
  </si>
  <si>
    <t>DN546084</t>
  </si>
  <si>
    <t>DN566869</t>
  </si>
  <si>
    <t>4 x Low floor minibuses</t>
  </si>
  <si>
    <t>Contract signed and contracts register and finder updated.</t>
  </si>
  <si>
    <t xml:space="preserve">Intermediate beds pilot </t>
  </si>
  <si>
    <t>06/05/2021 - HASLT
14/05/2021 - HAS Exec</t>
  </si>
  <si>
    <t>Deborah Walton / Craig Rowbotham</t>
  </si>
  <si>
    <t>SALT - Coastal opportunities</t>
  </si>
  <si>
    <r>
      <t xml:space="preserve">04/12/2020 - </t>
    </r>
    <r>
      <rPr>
        <b/>
        <sz val="11"/>
        <color rgb="FFFF0000"/>
        <rFont val="Calibri"/>
        <family val="2"/>
        <scheme val="minor"/>
      </rPr>
      <t>overtyped by SCM</t>
    </r>
  </si>
  <si>
    <t>BESEX 26 March 2021</t>
  </si>
  <si>
    <t>Laura Baxter /Alison Dickinson</t>
  </si>
  <si>
    <t>Area 2 21/22 Package 11
Thirsk Market Place Phase 1 Special</t>
  </si>
  <si>
    <t>Area 2 Tender Package 12 Sutton Bank Annual Maintenance
A20008</t>
  </si>
  <si>
    <t>DN550724</t>
  </si>
  <si>
    <t>Pickering Atmosphere – internal adaptations</t>
  </si>
  <si>
    <t>DN551227</t>
  </si>
  <si>
    <t>Harlow Moor Road Junction
(West Harrogate Scheme (NPIF) Phase 1)
Junction improvement works
A60010</t>
  </si>
  <si>
    <t>DN557104</t>
  </si>
  <si>
    <r>
      <t xml:space="preserve">Area 1 Package 4 21/22 Carriageway
</t>
    </r>
    <r>
      <rPr>
        <strike/>
        <sz val="10"/>
        <rFont val="Arial"/>
        <family val="2"/>
      </rPr>
      <t xml:space="preserve">Cat 3a R&amp;R - Gilling West </t>
    </r>
    <r>
      <rPr>
        <sz val="10"/>
        <rFont val="Arial"/>
        <family val="2"/>
      </rPr>
      <t xml:space="preserve">
Scheme 1- C7/2/70 &amp; C7/2/85 Stapleton to Cleasby R&amp;R 
Scheme 3- B6274/1/40 High Street, Gilling West Drainage
Scheme 4- U1206/1/30,U1206/1/50,U1206/1/70 &amp; U1206/1/90 Colburn Lane &amp; U1208/1/50 Low Hall Lane
A10005
</t>
    </r>
  </si>
  <si>
    <t>DN552443</t>
  </si>
  <si>
    <t>Selby North Children’s Centre – internal adaptations</t>
  </si>
  <si>
    <t>DN556032</t>
  </si>
  <si>
    <t>Limehouse Lane Culvert North and South- Re-point culvert
1123</t>
  </si>
  <si>
    <t>1 Month</t>
  </si>
  <si>
    <t>DN549839</t>
  </si>
  <si>
    <t>Area 2 21/22 Package 4
Stillington Footway
Moor Lane
A20004</t>
  </si>
  <si>
    <t>DN560373</t>
  </si>
  <si>
    <r>
      <t xml:space="preserve">Area 1 Package 3 21/22
R&amp;R to
</t>
    </r>
    <r>
      <rPr>
        <strike/>
        <sz val="10"/>
        <color rgb="FFFFFFFF"/>
        <rFont val="Arial"/>
        <family val="2"/>
      </rPr>
      <t>C109 Marrick to Reels Head</t>
    </r>
    <r>
      <rPr>
        <sz val="10"/>
        <color rgb="FFFFFFFF"/>
        <rFont val="Arial"/>
        <family val="2"/>
      </rPr>
      <t xml:space="preserve">
C32 Beggarmans Road Fleet Moss
U207 Sedbusk to Litherskew
</t>
    </r>
    <r>
      <rPr>
        <strike/>
        <sz val="10"/>
        <color rgb="FFFFFFFF"/>
        <rFont val="Arial"/>
        <family val="2"/>
      </rPr>
      <t>U224 Kettlewell Lane, Camms House</t>
    </r>
    <r>
      <rPr>
        <sz val="10"/>
        <color rgb="FFFFFFFF"/>
        <rFont val="Arial"/>
        <family val="2"/>
      </rPr>
      <t xml:space="preserve">
U3129 Track to Harmby Moor House
U933 Newbiggin to Street Head
A10004</t>
    </r>
  </si>
  <si>
    <t>Area 1 Gilling West Drainage
A10001</t>
  </si>
  <si>
    <t>DN566551</t>
  </si>
  <si>
    <t>Water and waste water services</t>
  </si>
  <si>
    <t>Castle Water Ltd</t>
  </si>
  <si>
    <t>Call off executed</t>
  </si>
  <si>
    <t>DN563629</t>
  </si>
  <si>
    <t>Postal Services (bulk mailings)</t>
  </si>
  <si>
    <t>Whistl</t>
  </si>
  <si>
    <t>Jenny Knowles</t>
  </si>
  <si>
    <t xml:space="preserve">Call off executed following further comp via Kirklees/YPO. </t>
  </si>
  <si>
    <t>DN569129</t>
  </si>
  <si>
    <t>Office Supplies</t>
  </si>
  <si>
    <t xml:space="preserve">Banner </t>
  </si>
  <si>
    <t>Direct award via YPO office supplies framework. Call off start date is now 01/09/21. Call off executed 10.09.21</t>
  </si>
  <si>
    <t>Prep (Anti-HIV drug)</t>
  </si>
  <si>
    <t>Magpie Creative Communications Ltd</t>
  </si>
  <si>
    <t>Emma Davis</t>
  </si>
  <si>
    <t>Suzanne Horner</t>
  </si>
  <si>
    <t>13/12/2022 - Contract Signed &amp; Closed off YORtender
01/12/2022 - Contract uploaded to SiginingHub
16/11/2022 - All amendments made. Service area has sent to Magpie's legal team to review
11/11/2022 - Contract returned from Service Area and back to legal with queries
04/11/2022 - Contract sent to Emma to review
03/11/2022 - Contract returned from Legan and completed.
21/10/2022 - Checklist sent to legal to complete the T&amp;C's
20/10/2022 - Meeting had with Emma and Eleanor to work complett the checklist for the T&amp;C's
13/10/2022 - Emailed Emma to set up a meeting to compete the contract checklist
10/10/2022 - Contact made with Legal to see where we are with the T&amp;C's
13/09/2022 - Contract to be issued and rtn.  requires minimal handover
13/09/2022 - Contract on leagal request log, contact made with supplier
31/08/2022 Notification letter sent
30/06/2022 Specification and questions drated
Kick off meeting arragned for  20/06</t>
  </si>
  <si>
    <t>DN566290</t>
  </si>
  <si>
    <t>Supply of Office Furniture at Ryedale House</t>
  </si>
  <si>
    <t>Gresham</t>
  </si>
  <si>
    <t>Ken Waller</t>
  </si>
  <si>
    <t>Mini competition run by YPO. Gresham awarded on price. Call off executed</t>
  </si>
  <si>
    <t>DN557027</t>
  </si>
  <si>
    <t>West Harsley Culvert Bridge Replacement or strengthening
A80009
933</t>
  </si>
  <si>
    <t>Croft - Deveg and Minor stone repairs</t>
  </si>
  <si>
    <t>DN550458</t>
  </si>
  <si>
    <t>Scarborough Junction N
Falsgrave Road / Scalby Road – new traffic signals
A170 (Crown Tavern Junction)</t>
  </si>
  <si>
    <t>DN548334</t>
  </si>
  <si>
    <t>Staithes landslip area 3
Rock nailing and netting
A30002</t>
  </si>
  <si>
    <t>DN541367</t>
  </si>
  <si>
    <t>DN550127</t>
  </si>
  <si>
    <t>Pot Bridge Bridge Arch repairs/ strengthening an spandrel wall repairs
A80005
1196</t>
  </si>
  <si>
    <t>Kerbside waste food collection / waste strategy
Changes to the Environment Bill</t>
  </si>
  <si>
    <t>DN549594</t>
  </si>
  <si>
    <t>Area 7 M62 Junction 34 Selby Roundabout Resurfacing</t>
  </si>
  <si>
    <t>18/02/2021 - HASLT 
12/03/2021 -  HAS Exec</t>
  </si>
  <si>
    <t>Extra Care Housing</t>
  </si>
  <si>
    <t>Surrender Bridge Drainage &amp; Underpinning</t>
  </si>
  <si>
    <t>Insurance -  Casualty, Motor, Property, Travel/PA and Engineering</t>
  </si>
  <si>
    <t>YES</t>
  </si>
  <si>
    <t>Fiona Sowerby/ Louise Gigante</t>
  </si>
  <si>
    <t xml:space="preserve">YPO TO RUN PROCUREMENT through their own DPS Sarah Sesum YPO Cat Man Agnieszka.Gajli@ypo.co.uk Cat Man YPO            
Needs to be procured working with the  Broker. To be assigned in new year on the basis that this will primarily be lead by the Broker and the broker contract starts on 1st Jan. Spoke to Louise and Fiona - they would like me to check if extending current agreement is an option, otherwise to enure that we have break clauses/novation options written into new agreement considering LGR outcome.  I am speaking to legal Monday 26th April to discuss options.  07/05 - After discussion with Legal, we might have a strong case to extend this agreement.  Legal awaiting some cost info from Service area before we can formalise.
Gateway document taken to PAB 06/08. Key Decision signed off 23/08.  Extension to go ahead. Chased this again. Chased Louise again for contact detials. Emailed Tracey Smith and Petula Wilkin to chase this as not getting anything back from Louise. </t>
  </si>
  <si>
    <t>DN570992</t>
  </si>
  <si>
    <t>Direct Debit Payment System
(currently PayGate; contract with boxxe as a re-seller)</t>
  </si>
  <si>
    <t>System is provided by PayGate.  Contract with boxxe as a re-seller.  Direct award via KCS Software Products and Associated Services 2 (Y20011) Framework Agreement.</t>
  </si>
  <si>
    <t xml:space="preserve">
DN198550</t>
  </si>
  <si>
    <t>Client money and case management system for Court of Protection Team (CASPAR)</t>
  </si>
  <si>
    <r>
      <t>60+</t>
    </r>
    <r>
      <rPr>
        <sz val="11"/>
        <color rgb="FFFF0000"/>
        <rFont val="Calibri"/>
        <family val="2"/>
        <scheme val="minor"/>
      </rPr>
      <t>60</t>
    </r>
  </si>
  <si>
    <t xml:space="preserve">Quote received. VM checked with Natalie if any communication has gone ahead to start negotiation on prices and timelines around LGR. Zoe CHased Larry to discuss discounted rates for the extension. Chased ZH &amp; NC for update. Contacted Larry directly. Need to include quote in extension before sign off.  Chased Larry again </t>
  </si>
  <si>
    <t>(HP) Offender Services (Resettlement and Community Safety)(Housing related support) including Substance Misuse Lot</t>
  </si>
  <si>
    <t>DN544810</t>
  </si>
  <si>
    <t>Library PC Booking and Print Management System</t>
  </si>
  <si>
    <t>DN437927</t>
  </si>
  <si>
    <t>Debt Tracing and Debt Recovery Services</t>
  </si>
  <si>
    <t xml:space="preserve">Framework agreement and call-off signed. Complete. </t>
  </si>
  <si>
    <t xml:space="preserve">Young Peoples Pathway - Emergency &amp; Extended Supported Lodgings </t>
  </si>
  <si>
    <t>6 July 21 -Urgney notice issued</t>
  </si>
  <si>
    <t>Mel Hutchinson / Alan Tucker</t>
  </si>
  <si>
    <t xml:space="preserve">Community Mental Health Services  </t>
  </si>
  <si>
    <t>Key decision taken for orginal procurement 2 March 2018</t>
  </si>
  <si>
    <r>
      <t xml:space="preserve">The Beacon (specifically for ex-forces) - </t>
    </r>
    <r>
      <rPr>
        <sz val="11"/>
        <color rgb="FFFF0000"/>
        <rFont val="Calibri"/>
        <family val="2"/>
        <scheme val="minor"/>
      </rPr>
      <t>service being de-commissioned</t>
    </r>
  </si>
  <si>
    <t>Resource request</t>
  </si>
  <si>
    <t>N/A - service being decommissioned</t>
  </si>
  <si>
    <t>DN264420</t>
  </si>
  <si>
    <t>Care at Esk Moors Lodge</t>
  </si>
  <si>
    <t>18/03/2021- HASLT
09/04/2021 - HAS Exec</t>
  </si>
  <si>
    <t>Young Peoples Pathway -Prevention &amp; Reconnection</t>
  </si>
  <si>
    <t>Young Peoples Pathway - Managed Accommodation</t>
  </si>
  <si>
    <r>
      <t>60+</t>
    </r>
    <r>
      <rPr>
        <sz val="11"/>
        <color rgb="FFFF0000"/>
        <rFont val="Calibri"/>
        <family val="2"/>
      </rPr>
      <t>24</t>
    </r>
  </si>
  <si>
    <t>12/01/2021
04/2021</t>
  </si>
  <si>
    <t>7 District Masterplans (North Yorkshire)</t>
  </si>
  <si>
    <t xml:space="preserve">Michael Reynolds </t>
  </si>
  <si>
    <t xml:space="preserve">Chased Jan 22 with Michael. Closed in all but name now. </t>
  </si>
  <si>
    <t>Selby Canal Swing No.52 Redecking
7004</t>
  </si>
  <si>
    <t>DN540204</t>
  </si>
  <si>
    <t xml:space="preserve">Duchess of Kent - Upgrade monitoring system.  South joint repair.  </t>
  </si>
  <si>
    <t>Area 1 SRF - Patrick Brompton and Crakehall</t>
  </si>
  <si>
    <t>DN560484</t>
  </si>
  <si>
    <r>
      <t xml:space="preserve">Area 1 Package 2 21/22
R&amp;R to
</t>
    </r>
    <r>
      <rPr>
        <strike/>
        <sz val="10"/>
        <rFont val="Arial"/>
        <family val="2"/>
      </rPr>
      <t>C122 Hudswell to Holy Hill</t>
    </r>
    <r>
      <rPr>
        <sz val="10"/>
        <rFont val="Arial"/>
        <family val="2"/>
      </rPr>
      <t xml:space="preserve">
C28 Lucy Cross to Aldbrough St John
C35 Pinkers Pond to Middleham Gallops
</t>
    </r>
    <r>
      <rPr>
        <strike/>
        <sz val="10"/>
        <rFont val="Arial"/>
        <family val="2"/>
      </rPr>
      <t>C7 Eppleby to Greystone</t>
    </r>
    <r>
      <rPr>
        <sz val="10"/>
        <rFont val="Arial"/>
        <family val="2"/>
      </rPr>
      <t xml:space="preserve">
U1227 St Giles Farm Road
</t>
    </r>
    <r>
      <rPr>
        <strike/>
        <sz val="10"/>
        <rFont val="Arial"/>
        <family val="2"/>
      </rPr>
      <t xml:space="preserve">U1384 Uckerby Hall Road
U1385 Uckerby Grange Road
</t>
    </r>
    <r>
      <rPr>
        <sz val="10"/>
        <rFont val="Arial"/>
        <family val="2"/>
      </rPr>
      <t>U1227 St Giles Farm Road
A10003</t>
    </r>
  </si>
  <si>
    <t>DN543297</t>
  </si>
  <si>
    <t>County Hall - East Block demolition, removal of temporary buildings [&amp; additional car parking] (Package 2)</t>
  </si>
  <si>
    <t>BVF.</t>
  </si>
  <si>
    <t>DN563912</t>
  </si>
  <si>
    <t>Desk Booking Software</t>
  </si>
  <si>
    <t>Smartway2 Limited</t>
  </si>
  <si>
    <t>Award via G Cloud. Call off executed</t>
  </si>
  <si>
    <t>Palbinder Mann</t>
  </si>
  <si>
    <t>Supplier returned confirmation of extension as per Alison Szustakowski request</t>
  </si>
  <si>
    <t>DN557201</t>
  </si>
  <si>
    <t>Blueberry Way
Scarborough</t>
  </si>
  <si>
    <t>DN560044</t>
  </si>
  <si>
    <t xml:space="preserve">Pensions Fund Investment Consultant </t>
  </si>
  <si>
    <t>Tom Morrision</t>
  </si>
  <si>
    <t>Order form signed 11/01/22</t>
  </si>
  <si>
    <t>1st year extension taken.1 further extensions available to tie in with insurance cover procurement and LGR</t>
  </si>
  <si>
    <t>Staff Restaurant County Hall (Concessions contract)</t>
  </si>
  <si>
    <r>
      <t>60+</t>
    </r>
    <r>
      <rPr>
        <sz val="11"/>
        <color rgb="FFFF0000"/>
        <rFont val="Calibri"/>
        <family val="2"/>
        <scheme val="minor"/>
      </rPr>
      <t>36</t>
    </r>
    <r>
      <rPr>
        <sz val="11"/>
        <rFont val="Calibri"/>
        <family val="2"/>
        <scheme val="minor"/>
      </rPr>
      <t>+24</t>
    </r>
  </si>
  <si>
    <t xml:space="preserve">Sat with legal to look over with regards to redundancy fees. Jon H to have discussion with Gary and Howard around paying a percentage of the redundacy fee and get back to VM. Chased Jon for an update as this may not need an extension. This contract was due to be terminated. This was terminated </t>
  </si>
  <si>
    <t>DN576853</t>
  </si>
  <si>
    <t>Supply &amp; Installation of Play Equipment to Include Surfacing at Riverside View, Norton</t>
  </si>
  <si>
    <t>Streetscape (Products &amp; Services) Ltd</t>
  </si>
  <si>
    <t>Louise Wood informed that 3 quotations had been sought directly. Ken Waller informed of sucessful supplier and the contract would be on the supplier terms as done directly. Added to contracts register with approx dates, waiting for a copy of the contract.</t>
  </si>
  <si>
    <t>DN550512</t>
  </si>
  <si>
    <t>Diving framework 2021-2025</t>
  </si>
  <si>
    <t>DN560540</t>
  </si>
  <si>
    <t>Oakbeck Bridge New structure Main Works
A80008a
751a</t>
  </si>
  <si>
    <t>UTC and UTMC System
(currently Siemens)</t>
  </si>
  <si>
    <t>Yunex (Siemens)</t>
  </si>
  <si>
    <t>UTC element to be progressed through CCS market place, Yunex to advise regarding contracting for Stratos element. To be taken to BES EXEC in July - Delayed until August - Update requested 18/08/2022 &amp; 07/09/2022. Escalated to SS - Still no further correspondence</t>
  </si>
  <si>
    <t>Andrew Sharpin / Silas Holland / Karen Wilson</t>
  </si>
  <si>
    <t xml:space="preserve">Discussions taking place shortly between Claire Cooper (PM) and Fleet in relation to extending contract early as we may be looking to purchase additional devices for NY Highways and many want to co-terminate the contracts together. Richard S pulling together variation and extension as one document. VM to support if needed. Richard Seddon taking this on alongside the variation. </t>
  </si>
  <si>
    <t>DN441357</t>
  </si>
  <si>
    <t xml:space="preserve">John and David Small confirmed they were happy to extend contract for a further 12 months running until October 2024. Paper work pulled together and under review before signing. Confirmation to come from David. David confirmed we can extend but the pricing will match whats on the framework. Extension on signing hub </t>
  </si>
  <si>
    <t>Health and Safety Management System. Gateway</t>
  </si>
  <si>
    <t xml:space="preserve">Extension for 24 months signed and completed. Contract in place until October 2024 with a potential provision for a further 12 months until 2025. </t>
  </si>
  <si>
    <t>DN557307</t>
  </si>
  <si>
    <t>Library Shelving</t>
  </si>
  <si>
    <t>Contract signed, Yortender and notices updated.</t>
  </si>
  <si>
    <t>Consultancy to review Align Contract fees (Phase 2)</t>
  </si>
  <si>
    <t>Chased JH to sign Contract on Signinghub</t>
  </si>
  <si>
    <t>Instructed NW to sort out</t>
  </si>
  <si>
    <t>DN362445</t>
  </si>
  <si>
    <r>
      <t>24+</t>
    </r>
    <r>
      <rPr>
        <sz val="11"/>
        <color rgb="FFFF0000"/>
        <rFont val="Calibri"/>
        <family val="2"/>
        <scheme val="minor"/>
      </rPr>
      <t>12+12</t>
    </r>
  </si>
  <si>
    <t xml:space="preserve">VM Note: Extension signed 10th September 2020. Extension in place from 1st Nov 2020 - 31st October 2021 </t>
  </si>
  <si>
    <t xml:space="preserve">This runs out in October 2021. No more extensions available. Schools ICT tp direct award </t>
  </si>
  <si>
    <t>Service Area to complete via BVF.</t>
  </si>
  <si>
    <t>Renewal of Pobble - Pupil Engagement tool</t>
  </si>
  <si>
    <t>Closed as DR signed off</t>
  </si>
  <si>
    <t>Smoking Cessation System (Quit Manager, provided by Bionical) (PMO Ref: TBC)</t>
  </si>
  <si>
    <t>Christina Rushworth / Lorena Phillips</t>
  </si>
  <si>
    <t>Contract signed, contracts register and finder records created.</t>
  </si>
  <si>
    <t xml:space="preserve">Angel Solution - Pendulum &amp; Broadcast &amp; Watchsted Inspector Modules </t>
  </si>
  <si>
    <t>DN417989 (Proactis H4E) &amp; DN426624 (YORtender)</t>
  </si>
  <si>
    <t>Microphone and Speaker System in the Grand Committee Room</t>
  </si>
  <si>
    <t>Jon Holden/Karen Adamson</t>
  </si>
  <si>
    <t>Current contract 01/11/2011 to 31/10/2021, ~£3,000 maintainance, sporadic costs as used to televise via various mediums, such as the fracking decisions.</t>
  </si>
  <si>
    <t>DN580019</t>
  </si>
  <si>
    <t>Area 7 Burn Airfield
(Trans Pennine Trail Burn Airfield Shared Footway / Cycleway)</t>
  </si>
  <si>
    <t>DN573968</t>
  </si>
  <si>
    <t>Pickering Atmosphere - internal adaptations</t>
  </si>
  <si>
    <t>Area 1 - Cat 4b Patching
A10009</t>
  </si>
  <si>
    <t xml:space="preserve">Active Travel Across the County
Guisborough Road. Whitby                                              
</t>
  </si>
  <si>
    <t xml:space="preserve"> NY H </t>
  </si>
  <si>
    <t>Provision of Operated Plant Hire Services including the Hire of Street Sweepers, Gully Tankers, High Pressure Jetters and Bulk Tankers (Street Cleansing)</t>
  </si>
  <si>
    <t>DN572849</t>
  </si>
  <si>
    <t>Food Safety Inspections</t>
  </si>
  <si>
    <t>DMG Food Safety Solutions Ltd</t>
  </si>
  <si>
    <t>Invitation to Bid (Closed)</t>
  </si>
  <si>
    <t>Robert Robinson</t>
  </si>
  <si>
    <t>DMG Food Safety Solutions Ltd successful provider, contract executed 04.11.21. Due to pricing no of visits needs to be reduced to fit in with £10k annual budget</t>
  </si>
  <si>
    <t>Extension letter signed. 12 months taken</t>
  </si>
  <si>
    <t>DN578215</t>
  </si>
  <si>
    <t>Fresh Fruit, Vegetables and Milk Products
(currently supplied by Stuarts / Paynes)</t>
  </si>
  <si>
    <t>30+24</t>
  </si>
  <si>
    <t>Holywell Bridge Lining repair
A80003
736</t>
  </si>
  <si>
    <t>DN582149</t>
  </si>
  <si>
    <t>2 x Demo Low Floor Vehicles</t>
  </si>
  <si>
    <t>Completed &amp; contract register updated.</t>
  </si>
  <si>
    <t>Supply of Liquid Fuels</t>
  </si>
  <si>
    <t>Call off for last two years of framework executed. The first two years was never executed.</t>
  </si>
  <si>
    <t>DN571518</t>
  </si>
  <si>
    <t>Ryecare Call Handling System Upgrade</t>
  </si>
  <si>
    <t>Tunstall Healthcare (UK) Limited</t>
  </si>
  <si>
    <t>Direct award via Northern Housing Consortium Framework. Contract executed 22.09.21</t>
  </si>
  <si>
    <t>Pateley Footbridge Bridge Replace surfacing
A80004
1233.1</t>
  </si>
  <si>
    <t>DN351073</t>
  </si>
  <si>
    <t>Silas Holland / David Hunt</t>
  </si>
  <si>
    <t>Original contract linked to HMC2012, requirement still required? Spoken with David Hunt re extension. Speak with GP as to whether or not we extend this contract by 24 months. This was extended in Nov 2019 for 24 months. In place until Nov 2021.</t>
  </si>
  <si>
    <t>DN483368</t>
  </si>
  <si>
    <t>Framework Agreement for Everybody Benefits</t>
  </si>
  <si>
    <t>DN585990</t>
  </si>
  <si>
    <t>Supply and Delivery of Pre-Packed Sandwiches and Associated Products</t>
  </si>
  <si>
    <t>28+24</t>
  </si>
  <si>
    <t>ID: 26688
Ref: 48770</t>
  </si>
  <si>
    <t>Highways Asset Management System
(currently Insight, provided by Symology) PMO Ref: 3175</t>
  </si>
  <si>
    <t>Gary Cochrane (PM) / David Hunt (BES) / Christopher Taylor (T&amp;C)</t>
  </si>
  <si>
    <t>Used by NYCC and NY Highways.  Direct award via G-Cloud.
Contract signed and records updated.</t>
  </si>
  <si>
    <t>Mobile Phone Forensic Licensing (currently with Celebrite)</t>
  </si>
  <si>
    <t>DR signed 29/11</t>
  </si>
  <si>
    <t>LGC EMAPs Subscription (from 01 Dec 2021)</t>
  </si>
  <si>
    <t>Updated quote received for 2 year subscription renewal.  Once Amanda confirms she is happy with this, will proceed with PO &amp; contract signature
PO placed and renewal in place for 2 years</t>
  </si>
  <si>
    <t>DN566045</t>
  </si>
  <si>
    <t>Economic Partnership Unit</t>
  </si>
  <si>
    <t>Community Renewal Fund - Application 20
WP2.3c: Decarbonising Community Buildings - Feasibility Studies / Assessments</t>
  </si>
  <si>
    <t>Katie Privett / Jos Holmes</t>
  </si>
  <si>
    <t>LGR Consultancy</t>
  </si>
  <si>
    <t>Gary Fielding / Kevin Draisey</t>
  </si>
  <si>
    <t>17/02 - all contracts are signed for the 4 successful suppliers.  This has been manually added to contracts finder.  Now also added to the contracts register</t>
  </si>
  <si>
    <t>Community Equipment (Medequip)</t>
  </si>
  <si>
    <t>Email - HASLT 
14/05/2021 - HAS Exec</t>
  </si>
  <si>
    <t>Community Renewal Fund - Application 20
WP1: Procurement of External Consultants - Local Area Energy Plans</t>
  </si>
  <si>
    <t xml:space="preserve">Order form signed. To close. </t>
  </si>
  <si>
    <t>Traffic Signal Refurbishment - Skipton Road / Bilton Lane Harrogate
NY6-07-J</t>
  </si>
  <si>
    <t>Traffic Signal Refurbishment - Skipton Road / Kings Road Harrogate
NY6-18-J
Traffic Signal Refurbishment - Skipton Road / Bilton Lane Harrogate
NY6-07-J</t>
  </si>
  <si>
    <t>DN573174</t>
  </si>
  <si>
    <t>Telephony - Corporate Mobile Phones (Virgin / EE) Smartphone and basic mobile contracts</t>
  </si>
  <si>
    <t>£1,321,200 (less 550,000 tech fund)</t>
  </si>
  <si>
    <t>Recieved comms from EE</t>
  </si>
  <si>
    <t>Strategic Housing Market Assessement (SHMA) Strategic Housing Market Assessment (SHMA)</t>
  </si>
  <si>
    <t>Opinion Research Services Ltd</t>
  </si>
  <si>
    <t xml:space="preserve">Framework </t>
  </si>
  <si>
    <t>Direct Award to 'ORS' via ESPO consultancy framework as they have undertaken for SBC and Hambleton and short timescales</t>
  </si>
  <si>
    <t>Gypsy &amp;Traveller Accommodation Assessment (GTAA) Consultancy</t>
  </si>
  <si>
    <t>DN567424</t>
  </si>
  <si>
    <t>Ouse Swing - surfacing and joint repair</t>
  </si>
  <si>
    <t>Extension signed until December 2023</t>
  </si>
  <si>
    <t>Contents Matrix (Sharepoint Migration)</t>
  </si>
  <si>
    <t>DN502144</t>
  </si>
  <si>
    <t>Printed cheques</t>
  </si>
  <si>
    <t>36 + 12 + 12 + 12 + 12</t>
  </si>
  <si>
    <t>12.01.2021 DR approved for 10 months to cover the immediate need to purchase this years Cheques, we need to run a compliant ITB to commence March 2021, with contract award mid December 2021
ITB docs drafted - dealys from Sharp Prichard on the T&amp;C's which need a futher review this has caused a delay from Oct 2020, so we are not able to get a new contract in place for Jan. Laura talking to Paul re need for DR to cover the 2021-22 requirement to bridge the gap between us getting out to open tender.
Working with external legal to finalise the contract. Then will be ready to issue ITB. Working with L Baxter. Query whether Laura is comfortable to lead from point at which documents are finalised. LB &amp; SM have populated the Project Plan.  Meeting with Paul &amp; Helen scheduled for Wednesday 24/03.  ITB and Contract drafts sent to Paul &amp; Helen for final review before they are issued out.  Plan to issue out the ITB 30/04.  07/05 - This is now live on YORtender, submissions due back at the end of May.
Contract drafted 20/08
Contract signed.</t>
  </si>
  <si>
    <t>Microsoft Teams room based video conferencing facilities</t>
  </si>
  <si>
    <t>3+1+1</t>
  </si>
  <si>
    <t>Just under threshold</t>
  </si>
  <si>
    <t xml:space="preserve">23/03 Contract signed by both parties.  Contracts register &amp; Mercell updated.
17/02
Following an RFI process using CCS NS2 framework, Andy has told VideoCommunications to proceed with works.  No contract in place but using this framework.  Retrospectively trying to get a contract in place to cover spend to date as expected to be well under threshold.
"We’re working with Property with regards to the potential return to offices in the Autumn and ensuring that our meeting room spaces are fit for purpose with regards to supporting hybrid working.
An element of that will be to provide Microsoft Teams room based video conferencing facilities allowing staff working from home or remotely to fully participate in on site meetings.
We’re hoping that there’s a suitable framework lot that we could issue an RFI on and get some service offers."
19/08/2021 - RFI issued out to 25 suppliers on Lot 8 of CCS Network Services 2 Framework to get an idea of costs etc.
</t>
  </si>
  <si>
    <t>Waste Collection Software Licenses and In Cab technology</t>
  </si>
  <si>
    <t xml:space="preserve"> n/a </t>
  </si>
  <si>
    <t>Exception approved for 2 years/ Looked at G Cloud but costs are significantly higher. DF29 merged with DF41</t>
  </si>
  <si>
    <t>£12,400 per ammun. Original first year cost was high, but rolling it is £12,400. Stacey has advised Steve to sort any rolling contracts belwo 25k to sort themselves and we will look at procuring next year. The current contract runs to December 2021. Need to message Steve to see if he wants to sort this himself, if it is like for like. Based on his conversation with Stacey. So effectivley he can extend this himself to Dec 2022. Steve happy to arrange himself - will keep me updated if Procurement help is required 31/03</t>
  </si>
  <si>
    <t>DN537298</t>
  </si>
  <si>
    <t>Catering Traded Service MI System
(currently Saffron, provided by Fretwell Downing Hospitality)</t>
  </si>
  <si>
    <t>Shaun Mancrief / Lorena Phillips</t>
  </si>
  <si>
    <t xml:space="preserve">	27500</t>
  </si>
  <si>
    <t xml:space="preserve">The Supply and Delivery of Office Supplies
 (currently supplied by Lyreco) </t>
  </si>
  <si>
    <t>Procurement</t>
  </si>
  <si>
    <t>Spend Analytics - Illuminator</t>
  </si>
  <si>
    <t>DN330227</t>
  </si>
  <si>
    <t>Independent Adoption Support Service (on behalf of Consortium of Regional Adoption Agencies)</t>
  </si>
  <si>
    <t>Council Tax Bill Printing</t>
  </si>
  <si>
    <t>CFH Docmail Ltd</t>
  </si>
  <si>
    <t>Marcus Lee informed of contract following request. Currently on an annual quote basis on supplier T&amp;C's (no contract). Laura Baxter looking at this for LGR</t>
  </si>
  <si>
    <t>Pomoc Project</t>
  </si>
  <si>
    <t>Service Level Agreement</t>
  </si>
  <si>
    <t>Jennie Young</t>
  </si>
  <si>
    <t>Added  to contracts register and LGR FPP</t>
  </si>
  <si>
    <t>DN562841</t>
  </si>
  <si>
    <t>Multidisciplinary Media Services Framework</t>
  </si>
  <si>
    <t>Vanessa Glover</t>
  </si>
  <si>
    <t xml:space="preserve">Contracts signed. Call-off to be reviewed within 3 months of expiry to ensure it continues. </t>
  </si>
  <si>
    <t>DN378275</t>
  </si>
  <si>
    <t>Bridge and Structure Asset Management System
(currently provided by AMX)</t>
  </si>
  <si>
    <t>Christopher Taylor / John D Smith</t>
  </si>
  <si>
    <t>silver</t>
  </si>
  <si>
    <t xml:space="preserve">Final 12 month extension signed. </t>
  </si>
  <si>
    <t xml:space="preserve">Bridge and Structure Asset Management System
(currently provided by AMX) </t>
  </si>
  <si>
    <t xml:space="preserve">Contract Extension </t>
  </si>
  <si>
    <t xml:space="preserve">Silas Holland/ Karen Wilson, John D Smith </t>
  </si>
  <si>
    <t xml:space="preserve">Consideration is being given to not moving some of the funds into the 'pool', therefore if this is the case, this will become a procurement requirement. Clarity on this point should be gained on Fri 27th. On signing Hub. Signed and sent to Silas and John. </t>
  </si>
  <si>
    <t>Business Systems</t>
  </si>
  <si>
    <t xml:space="preserve">Variation </t>
  </si>
  <si>
    <t>Winter Health - Warm and Well</t>
  </si>
  <si>
    <r>
      <rPr>
        <sz val="10"/>
        <color rgb="FFFF0000"/>
        <rFont val="Calibri"/>
        <family val="2"/>
      </rPr>
      <t xml:space="preserve">File path: N:\fcs-data\Procurement\PEOPLE\Winter Health\Winter Health 2021+
</t>
    </r>
    <r>
      <rPr>
        <sz val="10"/>
        <color rgb="FF000000"/>
        <rFont val="Calibri"/>
        <family val="2"/>
      </rPr>
      <t>This has subsequently been dealt with by AD and service area has confirmed that the matter is closed.</t>
    </r>
  </si>
  <si>
    <t>MANY (ANPR Cameras)</t>
  </si>
  <si>
    <t>ID: 28074
DN535837</t>
  </si>
  <si>
    <t>Bus Service Registration, Publicity and NaPTAN Data System (PMO Ref: 3023 'Open Bus Data')</t>
  </si>
  <si>
    <t>39+24</t>
  </si>
  <si>
    <t>Initial term: 3 years and 3 months (includes an implementation period of 3 months, up to 01/04/22 ('go-live'), followed by 3 full years of support and maintenance.
Noticed required for extension period: 30 calendar days.</t>
  </si>
  <si>
    <t>Call recording - support (Currently Redbox)</t>
  </si>
  <si>
    <t>DN562668</t>
  </si>
  <si>
    <t>Helredale Laybys, Whitby
Anglo American civil engineering works</t>
  </si>
  <si>
    <t>OTE1 to 31 January 2022 fully signed.  NFA until April 21.</t>
  </si>
  <si>
    <t>Teamviewer - Licensing and support (renew)</t>
  </si>
  <si>
    <t>ANS - Managed Service Support</t>
  </si>
  <si>
    <t xml:space="preserve">This was recommended in Resource Meeting to be a best value form keeping it under 25k threshold. Check with Stacey </t>
  </si>
  <si>
    <t>Align PP Contract Review - Phase 2</t>
  </si>
  <si>
    <t>Contract Signed</t>
  </si>
  <si>
    <t>04/05 Contract saved in folder and added to contracts register. 
Waiver signed/approved 21/02</t>
  </si>
  <si>
    <t>NYCC Non Regulated Services  Approved Provider List</t>
  </si>
  <si>
    <t>HASLT: 11/03/2021 
HAS EX: 09/04/2021</t>
  </si>
  <si>
    <t>Abi Barron</t>
  </si>
  <si>
    <t>DN567834</t>
  </si>
  <si>
    <t>Richmond Methodist Primary School - 20011 Conversion of bungalow to nursery - 2022</t>
  </si>
  <si>
    <r>
      <t xml:space="preserve">Hard Facilities Management Servicing and Repairs 
(Refresh to 2020-2024 /  current)
</t>
    </r>
    <r>
      <rPr>
        <b/>
        <sz val="10"/>
        <rFont val="Arial"/>
        <family val="2"/>
      </rPr>
      <t xml:space="preserve">Mechanical and Electrical Equipment
Lot 2
</t>
    </r>
    <r>
      <rPr>
        <sz val="10"/>
        <rFont val="Arial"/>
        <family val="2"/>
      </rPr>
      <t>23/24 onwards 01/02/2023</t>
    </r>
  </si>
  <si>
    <t>Hornington Bridge Parapet Repairs</t>
  </si>
  <si>
    <t>Hard Facilities Management Servicing and Repairs 
(Refresh to 2020-2024 /  current)
General Building: Responsive Maintenance Framework
Lot 1
2022/23, 23/24 plus 12+12</t>
  </si>
  <si>
    <t>Hard Facilities Management Servicing and Repairs 
(Refresh to 2020-2024 /  current)
Fixed Electrical Inspection and Testing and Portable Appliance Testing Framework
Lot 6
2022/23, 23/24 plus 12+12</t>
  </si>
  <si>
    <t>Phamaceutical Needs Assessment (PNA) - Public Health Assessment</t>
  </si>
  <si>
    <t>Provider in place- contract being drawn up with CYC.</t>
  </si>
  <si>
    <t xml:space="preserve">Recommendation 5 -  Adults Safeguarding review </t>
  </si>
  <si>
    <t>Process completed, contract being drawn up between service area and legal.</t>
  </si>
  <si>
    <t xml:space="preserve">Supported Housing Adults Safeguarding review </t>
  </si>
  <si>
    <t>BVF completed and Contract Awarded and signed with Ageproof Homes.</t>
  </si>
  <si>
    <t>Hard FM Lot 6 FIT and PAT - pricing variation</t>
  </si>
  <si>
    <t>John Cullerton &amp; Sons (JCS)</t>
  </si>
  <si>
    <t xml:space="preserve">£824,000 to £1,140,000
(£412,000 to £570,000 per lot)
</t>
  </si>
  <si>
    <r>
      <rPr>
        <sz val="10"/>
        <color rgb="FFFF0000"/>
        <rFont val="Calibri"/>
        <family val="2"/>
      </rPr>
      <t xml:space="preserve">File path: N:\fcs-data\Procurement\PLACE\4 FM_Property\1) Completed\46476 Hard FM - FIT &amp; PAT
</t>
    </r>
    <r>
      <rPr>
        <sz val="10"/>
        <color rgb="FF000000"/>
        <rFont val="Calibri"/>
        <family val="2"/>
      </rPr>
      <t>Deed of Variations sealed, dated and returned to the supplier and Archives by Legal.</t>
    </r>
  </si>
  <si>
    <t>Car Parking Layout Review</t>
  </si>
  <si>
    <t>Local Transport Projects Ltd</t>
  </si>
  <si>
    <t>Lauren Hopson-Haw / Robyn Ranford</t>
  </si>
  <si>
    <t>Own quotes sought. Advised to direct award via ESPO consultancy services framework which NK executed</t>
  </si>
  <si>
    <t>Car Parking Tariff Review</t>
  </si>
  <si>
    <t>Gray Bridge Arch and Invert Repairs
A80002
1219</t>
  </si>
  <si>
    <t xml:space="preserve">This will likely be an extension. Paperwork drafted. Need to know if we're extending until Feb 2023 or August 2024. Chased Lorena and Louise for this. Louise confirmed we are to extend for 1 year to 2023 and then a directors recommendation is to be put in place. On signing hub. Extension for 12 months </t>
  </si>
  <si>
    <t>Direct award via CCS Network Services. Fully signed version received from Daisy 11.05.22.</t>
  </si>
  <si>
    <t>03.02.23 Extension executed. 26.01.2023 Tim confirmed extension is to be taken, Sent letter to Daisy for confirmation, waiting to be returned. Direct award via CCS Network Services. Fully signed version received from Daisy 11.05.22.</t>
  </si>
  <si>
    <t>Desk Booking System (2020 PMO Ref: 3022)
(currently Rendezvous, provided by NFS Technology)</t>
  </si>
  <si>
    <t>Waste &amp; Environment Implementation Consultancy</t>
  </si>
  <si>
    <t>Extended to 17.02.23, to allow for final invoices to be sumitted after dispute. Contract awarded for next phase to Peopletoo via Reed consultancy+. Peopletoo are SME</t>
  </si>
  <si>
    <t>Broadcom (via OpenReality) software support</t>
  </si>
  <si>
    <t>1 year support is under £15k.  Andy L to manage.</t>
  </si>
  <si>
    <t xml:space="preserve">Afghan Resettlement </t>
  </si>
  <si>
    <t>Original Contract term was (1/3/2017 - 29/2/2020 + 1/3/2020 - 29/2/2021 + 1/3/2021 - 29/2/2022) 3 +1 + 1 value is £30k PA so £150,000 whole life cost. No Further provision to extend however would extend in light of LGR as there is still business need for it, but would need to submit an options paper to PH Strategic Group for a decision. DR being drafted
Awaiting confirmation from AH on signatory.
Complete</t>
  </si>
  <si>
    <t>Provision of Operated and Self-Drive Plant Hire (Construction Services) including the Hire of Paving and Cold Milling Equipment</t>
  </si>
  <si>
    <t>20/10/22 - This is an active framework so can be removed from FPP.
26/05/22 To date signed framework agreements have only been received from 2 suppliers. A third supplier asked for a Credit Application form to be completed. This was forwarded to Amy Sharpe to complete. No confirmation has been received as to whether or not this has been completed.
14/03/22 Standstill period ended. Framework agreements to be finalised and issued to 5 suppliers
2021/12/09 Update from SSp</t>
  </si>
  <si>
    <t>DN576118</t>
  </si>
  <si>
    <t>Provision of ongoing hosting, support of the existing Pay360
Payment suite</t>
  </si>
  <si>
    <t>Capita</t>
  </si>
  <si>
    <t>Framework - Direct Award</t>
  </si>
  <si>
    <t>Direct award via KCS framework. Call off executed .£10,700 annual maintenance. Approx £22k annualy in transaction charges</t>
  </si>
  <si>
    <t>Careers Advice and guidance</t>
  </si>
  <si>
    <t>NYBEP Ltd</t>
  </si>
  <si>
    <t>Invitation to Bid (Open)</t>
  </si>
  <si>
    <t>Carey Bilton</t>
  </si>
  <si>
    <t>Contract executed 10.03.22. No savings recorded as on budget. Also VCSE supplier</t>
  </si>
  <si>
    <t>Single View of a Child</t>
  </si>
  <si>
    <t>Lorena Phillips/ Louise Woodward</t>
  </si>
  <si>
    <t>Both extensions to be taken. GW wording with Louise. Chase. Dates were wrong on FPP this starts in March 2022. Extension agreement sent to Sentinel to review before sign off. On Signing Hub. Chased Graham for signature. Chased Robert for signature. Robert signed 07/03/2022</t>
  </si>
  <si>
    <t>Helen Jespersen</t>
  </si>
  <si>
    <t>14/03 - Contract signed and all info added to Mercell (contracts finder and contracts register)
22/02
Gateway approved. T&amp;Cs currently being reviewed by Abi in legal before seeking signatures.
17/02
Gateway 1&amp;3 taken to PAB today.  Key Decision due to be taken by Justine next week.  Call off documents being prepared and due to be reviewed by legal next week.  
No option to extend contract.  SS drafting options appraisal for JB.  SM looking into framework options.</t>
  </si>
  <si>
    <t>Legal Advice for Waste Strategy</t>
  </si>
  <si>
    <t xml:space="preserve">Geothermal Investigations Communications and Public Engagement Consultancy </t>
  </si>
  <si>
    <t>Arch Communications (UK) Ltd</t>
  </si>
  <si>
    <t>ESPO Framework Mini Comp</t>
  </si>
  <si>
    <t>Jaelithe Leigh-Brown</t>
  </si>
  <si>
    <t>1 bid received, contract award to Arch Comms. Contract executed 10.03.22. No savings recorded.</t>
  </si>
  <si>
    <r>
      <t>10+</t>
    </r>
    <r>
      <rPr>
        <sz val="11"/>
        <color rgb="FFFF0000"/>
        <rFont val="Calibri"/>
        <family val="2"/>
        <scheme val="minor"/>
      </rPr>
      <t>24</t>
    </r>
  </si>
  <si>
    <t xml:space="preserve">24 month extension signed and completed </t>
  </si>
  <si>
    <t>DN437615</t>
  </si>
  <si>
    <t>Mortuary</t>
  </si>
  <si>
    <t>Emergency Mortuary Equipment Maintenance</t>
  </si>
  <si>
    <t>ASAP</t>
  </si>
  <si>
    <t>Simon Wright</t>
  </si>
  <si>
    <t>Multiple agreements being arranged by service area. Advice basis only which will result ina few BVFs. Complete as far as procurement advice is required.</t>
  </si>
  <si>
    <t>Roller Racking for Malpas Road</t>
  </si>
  <si>
    <t>Andrew Maude</t>
  </si>
  <si>
    <t>Contract has been awarded to Rackline Ltd. £41,107.00 - Notification letters have been sent out. Contract to be signed off - chased.</t>
  </si>
  <si>
    <t>Facilities &amp; Management Services</t>
  </si>
  <si>
    <t>DN438995</t>
  </si>
  <si>
    <t>AP Forensics - Accounts Payable - GDPR</t>
  </si>
  <si>
    <t>Signing completed</t>
  </si>
  <si>
    <t xml:space="preserve">DN435830 </t>
  </si>
  <si>
    <t>Selby DC Implementation Partner Office 365 THIS IS NOW GOING TO BE PROCURED BY SELBY DISTRICT COUNCIL</t>
  </si>
  <si>
    <t>12(maximum)</t>
  </si>
  <si>
    <t xml:space="preserve">Still not had confirmation of a value as yet. </t>
  </si>
  <si>
    <t>Joel Saunder / Mark Watson</t>
  </si>
  <si>
    <t xml:space="preserve">01.03.2019. Spec updated and finalised. Skype call with Joel, Mark and Jen from SDC and SDC are now going to procure this in its entirety. Jen from SDC will arrange a call next week for me to handover the info to their procurement team. </t>
  </si>
  <si>
    <t>Foss Catchment Project</t>
  </si>
  <si>
    <r>
      <t xml:space="preserve">Complete </t>
    </r>
    <r>
      <rPr>
        <sz val="11"/>
        <rFont val="Calibri"/>
        <family val="2"/>
      </rPr>
      <t>YORtender record needs setting up for the contracts register etc. complete.</t>
    </r>
  </si>
  <si>
    <t>01/04/2020?</t>
  </si>
  <si>
    <t>Research (Infrastructure) - 5 Areas</t>
  </si>
  <si>
    <t>July 2019?</t>
  </si>
  <si>
    <t>Published on Yortender</t>
  </si>
  <si>
    <t>NYES</t>
  </si>
  <si>
    <t>NYES Business Acquistion - Financial consultancy</t>
  </si>
  <si>
    <t>Harry Rashid/Michael Leah</t>
  </si>
  <si>
    <t>SS chased Harry on comments to BVF</t>
  </si>
  <si>
    <t>NYES Business Acquistion - Legal consultancy</t>
  </si>
  <si>
    <t>Harry Rashid/Barry Khan</t>
  </si>
  <si>
    <t>Erin Outram</t>
  </si>
  <si>
    <t>Complete**
20/02/2020 - Notification letters sent
Currently live on YORtender, due to close 04/02/2020</t>
  </si>
  <si>
    <t>FY22/23Q1</t>
  </si>
  <si>
    <t>Supported Living - North Craven &amp; Harrogate (property &amp; care and support service)</t>
  </si>
  <si>
    <t>Hannah Brown</t>
  </si>
  <si>
    <r>
      <t xml:space="preserve">To be done through Dom care APL due to unreasonable timeframes no procurement needed - </t>
    </r>
    <r>
      <rPr>
        <b/>
        <sz val="11"/>
        <rFont val="Calibri"/>
        <family val="2"/>
        <scheme val="minor"/>
      </rPr>
      <t>Completed</t>
    </r>
  </si>
  <si>
    <t>Supported Living - Skipton (property &amp; care and support service)</t>
  </si>
  <si>
    <t>Minerals Waste Development Framework professional consultancy support (Examination stage)</t>
  </si>
  <si>
    <t>Not known at this stage.</t>
  </si>
  <si>
    <t>DN414696</t>
  </si>
  <si>
    <t>Schools ICT Storage</t>
  </si>
  <si>
    <t xml:space="preserve">Keren Wild/ Nic Watters </t>
  </si>
  <si>
    <t>PROJECT CAN BE MOVED TO COMPLETED - NEW ROW HAS BEEN CREATED BELOW
Keren and Nic were initially unsure what this project was for.  Following a meeting with Keren and Nic on 03/05/18, they confirmed this was for Cloud Backup for Schools, currently supplied by Redstor, as this did not appear elsewhere on the FPP.  During the meeting, it was confirmed that it has been a rolling contract for 4-5 years and Nic raised a PO for £39,000 to renew this from 01/04/18 for 12 months, although the value does vary.  (09/04/18 GP)</t>
  </si>
  <si>
    <t xml:space="preserve">DN436941 </t>
  </si>
  <si>
    <t>HNC Civil Engineering</t>
  </si>
  <si>
    <t>Did not proceed.  Handled via BVF</t>
  </si>
  <si>
    <t>This was for one person to complete HNC at Leeds College. Value £2000 so handled under BVF</t>
  </si>
  <si>
    <t>DN420528</t>
  </si>
  <si>
    <t>Vehicle Maintenance</t>
  </si>
  <si>
    <t>6 month or 12 month review on spend but BVF.</t>
  </si>
  <si>
    <t>Apprenticeship - Care Leadership and Management Level 5</t>
  </si>
  <si>
    <t>To start</t>
  </si>
  <si>
    <t>Mark Tserkezie/Katie Longstaff</t>
  </si>
  <si>
    <t>MasterGov XP and RealTime Reg ( Provided by DEF Software)</t>
  </si>
  <si>
    <t>ongoing</t>
  </si>
  <si>
    <t xml:space="preserve">Nick Leggott / Silas Holland  </t>
  </si>
  <si>
    <t xml:space="preserve">last action was chasing of budget managers for approval of costs in march 2020 as individual areas seemed to be arranging payments, no response was received from some of them and no chase has been received from supplier I think they may have paid them direct again there were ongoing discussions about t&amp;c possibly taking over the control of this sytem but have heard nothing since </t>
  </si>
  <si>
    <t>QCF Diploma in Business Administration Level 3</t>
  </si>
  <si>
    <t>Contract signed by both parties 21/02/2018</t>
  </si>
  <si>
    <t>20 R&amp;R packages across four areas</t>
  </si>
  <si>
    <t>Sutton Footway R&amp;R
Area 5</t>
  </si>
  <si>
    <t>Andrew Mellor</t>
  </si>
  <si>
    <t>Kirk Fenton - Double PCU</t>
  </si>
  <si>
    <t>Springhead Special - Alterations</t>
  </si>
  <si>
    <t>Paula McLean / CP</t>
  </si>
  <si>
    <t>Property Level Resilience Works</t>
  </si>
  <si>
    <t>Emma-Jane Lickiss / Anna Rea</t>
  </si>
  <si>
    <t>Resource requested 25/09/20 via Kevin.  Contact to be made ASAP with Linda Wilson in NYES to discuss the reprocurement of the Sales Consultancy contract with Just Williams.  They've spent over £25k now so needs a bid process and requirement is now urgent.  Speak to Kevin first for some more info, context etc.</t>
  </si>
  <si>
    <t>See comment</t>
  </si>
  <si>
    <t>Gallows Canal Bridge (Re-decking) 
Skipton Station Access 5 (Gallows Canal Bridge)
West Yorkshire Combined Authority Transforming Cities Fund / WYCA TCF</t>
  </si>
  <si>
    <t>Adian Rayner
(Keisha Moore / Rebecca Gibson)</t>
  </si>
  <si>
    <t>Active and Sustainable Travel in Harrogate Component 1 (Public Realm Schemes)
Harrogate
West Yorkshire Combined Authority Transforming Cities Fund / WYCA TCF</t>
  </si>
  <si>
    <t>Active and Sustainable Travel in Harrogate Component 2 (Station Gateway transport measures)
Harrogate
West Yorkshire Combined Authority Transforming Cities Fund / WYCA TCF</t>
  </si>
  <si>
    <t>Active and Sustainable Travel in Harrogate Component 3 (Mitigation Measures)
Harrogate
West Yorkshire Combined Authority Transforming Cities Fund / WYCA TCF</t>
  </si>
  <si>
    <t>Broughton Road Active Travel Corridor 
Skipton Station Access 2 (Broughton Road TC)
West Yorkshire Combined Authority Transforming Cities Fund / WYCA TCF</t>
  </si>
  <si>
    <t>Olympia Park Pedestrian and Cycle Bridge, Selby
Selby Station Access 4 (Ousegate Olympia Park Bridge)
West Yorkshire Combined Authority Transforming Cities Fund / WYCA TCF</t>
  </si>
  <si>
    <t>Ousegate Active Travel Corridor and Public Realm, Selby
Selby Station Access 3 (Ousegate Public Realm)
West Yorkshire Combined Authority Transforming Cities Fund / WYCA TCF</t>
  </si>
  <si>
    <t>Railway Station to Bus Station Active Travel Improvements 
Skipton Station Access 4 (Rail Station-Bus Station)
West Yorkshire Combined Authority Transforming Cities Fund / WYCA TCF</t>
  </si>
  <si>
    <t>Railway Station to College Campus Footpath Enhancements (Craven Led Scheme)
Skipton Station Access 3 (Station-College Campus))
West Yorkshire Combined Authority Transforming Cities Fund / WYCA TCF</t>
  </si>
  <si>
    <t>Selby Station Gateway, Selby
Selby Station Access 1 (Public Realm)
West Yorkshire Combined Authority Transforming Cities Fund / WYCA TCF</t>
  </si>
  <si>
    <t>Selby Station Gateway, Selby
Selby Station Access 2 (Façade Replacement)
West Yorkshire Combined Authority Transforming Cities Fund / WYCA TCF</t>
  </si>
  <si>
    <t>Skipton Rail Station Gateway 
Skipton Station Access 1 (Rail Station Public Realm)
West Yorkshire Combined Authority Transforming Cities Fund / WYCA TCF</t>
  </si>
  <si>
    <t>Colburndale 
s278 Adoptable Standard road surfacing</t>
  </si>
  <si>
    <t>DN549226</t>
  </si>
  <si>
    <t>Area 6 21/22 A6 North
A60003</t>
  </si>
  <si>
    <t>1 month</t>
  </si>
  <si>
    <t>DN545232</t>
  </si>
  <si>
    <t>Area 2 21/22 Package 2
North Road Stokesley
Stokesley Footway
A20002</t>
  </si>
  <si>
    <t>DN545823</t>
  </si>
  <si>
    <t>Area 2 21/22 Package 3
Raskelf Road
A20003</t>
  </si>
  <si>
    <t>Harrogate</t>
  </si>
  <si>
    <t>Laundry</t>
  </si>
  <si>
    <t>Laundry Services - Turkish Baths</t>
  </si>
  <si>
    <t>08/24/2022 - contact now signed                                                                                                                                                                             08/12/2022 - contract has now been signed at HBC side and sent to Elis for final sigining                                                                                    06/28/2022  YPO tender completed award to existing supplier they were the only response to tender docs currently being worked on with HBC /YPO                                                                                                        05/22/22 YPO tender issued today open until 15th June              04/22/22  Docs being worked on to submit to YPO to issue tender  4/4/22 3 month temp contract now signed with exsiting supplier while tender process going through YPO to allow time for this and to award. Existing supplier Elis is on YPO Laundry DPS.                                     03/24/22 now will be tendered through YPO laundry DPS following meetings with turkisg baths manager and YPO,  the turish baths would like some suppliers added to DPS list has now been sent to YPO to get the process of adding suppliers onto DPS</t>
  </si>
  <si>
    <t>Hard Facilities Management Servicing and Repairs 
(Refresh to 2020-2024 /  current)
Alarms (Intruder and Fire): Servicing and Responsive Maintenance Framework
Lot 3
2022/23, 23/24 plus 12+12</t>
  </si>
  <si>
    <t>04/05/2022 Confirmation recieved from client that the contract is now live as of 01 May 2022. Notices published on YORtender.
20/04/2022 Informed that the contract printing is on hold while price amendment requests are reviewed as a result of client amendments.
22/03/2022 Confirmed with Shaun that the start date is now 01 May 2022. Awaiting signed copy of the contract to publish contract award notice.
01/03/2022 Standstill ended, informed bidders and client of this so mobilisation can commence.
28/02/2022 Feedback requested reiceived from DFP. Asked Sarah M from legal if standstill would need to be extended. Was informed it would not as there is not indication that the bidder wants the information as part of a challenge or dispute only for improvement for furture submissions.
21/02/2022 Standstill extended to 28 February following legal advise due to a couple of clarification / dispute letters recieved.
10/02/2022 Notifications letters sent to suppliers. Standstill ends 21 February 2022.
09/02/2022 G3 asigned off
31/01/2022 Sent additional price / saving information to Vicki, Howard &amp; Abbey as requested.
14/01/2022 Gate 3 signed off by Kevin. Sent onto Martin for processing.
13/01/2022 Approval given by Shaun Tunney to proceed with award process.
21/12/2021 Response receievd from Churches and shared with the project team and MSi for further review. Service area plan to subcontract the current arrangeemnt through the responsive maintenance contract to allow for additional mobilisation time.
17/12/2021 Further clarification sent to Churches around repair items
08/12/2021 Remider clarification sent out around additaionl information required. Response deadline 13/12 at 09:00.
06/12/2021 Clarification sent out on abnormally low tender, awaiting response by Wed at 16:00. Initial response received giving a overview of the pricing but not enough detail. Requested breakdown of prices.
29/11/2021 Went through Gate 3 with Shaun. Ian has raised concerns with the successful bidder and therefore the G3 is on hold while I get the detail from the client and address these.
26/11/2021 Consensus concluded and gate 3 r3eport drafted and sent to client for approval.
18/11/2021 Verified and returns shared with evaluators. Concensus booked in for 25/26 Nov.
19/10/2021 Gate 2 signed off and project published, returns 18 November
18/10/2021 Initial Gate 2 amendments made. Awaiting further comments.
15/10/2021 Gate 2 review in progress
08/10/2021 Property Service still working on the other two in regards to pricing information and information required by legal (e.g. guarantees)
04/10/2021 Documents mostly prepped. Finalising price models, contract notices and evaluation models. Also awaiting confirmation on insurance and T&amp;Cs from legal.
08/09/2021 Approval received from all three Directors.
07/09/2021 Kevin approved report and it has now been sent on to Directors for approval. Meeting held on quality questions with project team.
06/09/2021 Gate 1 finalised and sent to Kevin for approval.
16/08/2021 New draft programme shared with project team and gate 1 document started. Informed client of TUPE requirements and sent over templates for them to use.
2021/08/10 Refreshed line for Lot 1 &amp;3 rerun.  Assumed value, tbc by project team
2020/03/05 Future potential requirement, pending extension being taken out in 2021 and 2022, full requirement would run from 01/04/2024</t>
  </si>
  <si>
    <t>Area 2 21/22 Package 6
Great Ayton Landslip</t>
  </si>
  <si>
    <t>Area 2 21/22 Package 7
Kilburn Landslip</t>
  </si>
  <si>
    <t>Area 2 21/22 Package 8
Alne Landslip</t>
  </si>
  <si>
    <t>Brompton on Swale Household Waste Recycling Centre</t>
  </si>
  <si>
    <t xml:space="preserve">Clinical waste </t>
  </si>
  <si>
    <t>Culvert inspections, CCTV and jetting</t>
  </si>
  <si>
    <t xml:space="preserve">Ripon Barracks Four Junctions </t>
  </si>
  <si>
    <t>SRF - A6108 Package 6 Drainage improvements</t>
  </si>
  <si>
    <t>Alexander Gardner</t>
  </si>
  <si>
    <t>2022/11/01 Query raised to AGa
2022/04/29 New scheme highlevel notification, limited detail, tiering to be done</t>
  </si>
  <si>
    <t xml:space="preserve">Gateway determined on how contensious this becomes. Gary happy to sort out redudnancy fees outside of the supplier relief. Terminated and likely to be run by the catering service post covid </t>
  </si>
  <si>
    <t xml:space="preserve"> Daniel Harry / Silas Holland / Karen Wilson</t>
  </si>
  <si>
    <t>CCN received from Civica, added to legal resource request spreadsheet. Emailed CCN over to Gemma Smith. On signing Hub for Sila's signature before being sent back to Amanda B. Sent reminder to Silas to sign. Signed and sent back to supplier</t>
  </si>
  <si>
    <t>GoLoader Product (map loading back office)</t>
  </si>
  <si>
    <t>31/06/2021</t>
  </si>
  <si>
    <t>As NEPO’s legal department have confirmed that “ no legal entity change has taken place” then a novation will not be required - Maria Hill</t>
  </si>
  <si>
    <t>DN324388</t>
  </si>
  <si>
    <t>Novation</t>
  </si>
  <si>
    <t xml:space="preserve">Stronger Communities Programme Evaluation Contract </t>
  </si>
  <si>
    <t>Contract Novation</t>
  </si>
  <si>
    <t>Draft novation written up 26/09/2019 and sent to Mark to look over. Mark confirmed he is happy and VM sent to legal 02/10. legal sent over a form to complete. Completed as much as possible and then sent to Mark to check over. 22.10.2019 Completed and singed off and emailed to relevant people 11.11.19</t>
  </si>
  <si>
    <t>Tim Frenneaux / Liz Hutchinson</t>
  </si>
  <si>
    <t>Contract variation required for further £17k.  Becky to liaise with Neil Murray for the contract background information.</t>
  </si>
  <si>
    <t>Area 2 Tender Package 7 Market Place Phase 1 Special
Thirsk Market Place
Replacing riven flags through the Market Place
A20007</t>
  </si>
  <si>
    <t>Area 2 Tender Package 6
Landslips</t>
  </si>
  <si>
    <t>Area 2
Tender Package 3: R&amp;R Schemes
Romanby Road R &amp; R
Tollerton R &amp; R
Uppleby R &amp; R
Boltby R &amp; R (2 link and sections)
Aldwark R &amp; R
Pickhill R &amp; R (3 link and sections)
Howe R &amp; R</t>
  </si>
  <si>
    <t>Area 3 East Ayton Landslips
A30001</t>
  </si>
  <si>
    <t>Area 1 Cravengate, Richmond
Kerbing, traffic calming and resurfacing
A10008</t>
  </si>
  <si>
    <t>West Scrafton Culvert
Area 1
A10007</t>
  </si>
  <si>
    <t>A682 Safer Roads Scheme VRS
Vehicle Restraint
A10011</t>
  </si>
  <si>
    <t xml:space="preserve">Area 3
Tender Package 4:
Butterwick R&amp;R C/F
Sherburn R&amp;R C/F
Brambling Fields R&amp;R C/F
Braygate Street R&amp;R C/F
Jamie Craggs R&amp;R C/F
</t>
  </si>
  <si>
    <t>Cowling Primary School Planned maintenance - drainage works - 2022
Now extending playground</t>
  </si>
  <si>
    <t xml:space="preserve">Area 3
Huntriss
</t>
  </si>
  <si>
    <t>Helen Watson</t>
  </si>
  <si>
    <t>2022/04/19 RMa advised change to HWa, scheme still required, dates to be provided
2022/04/14 moved from SGr to KHe
2022/02/22 New scheme MPl</t>
  </si>
  <si>
    <t>Fleet framework / dps</t>
  </si>
  <si>
    <t xml:space="preserve">2022/10/17  - part of minibus gateway                                                                                                                                                                         2022/05/13 some adjustments and updates to be made to gateway then ready to submit to PAB
2022/04/14  requested super mini cars to be  taken out, updated gateway sent to Andrew to review and requested confirmation around when super mini cars may be needed.                                    
2022/04/05  Awaiting confirmation if supermini cars to be added on this one or not Andrew confirming if they wil be on this key decision.                                                                                             2022/03/24  Stage 1 completed , have now been advised that more vehicles may now need to be added in process of obtaining further details.                                                                                           
2022/03/02   working on stage 1 report and with Laura 
2022/02/25 Updated to sheet  </t>
  </si>
  <si>
    <t>01/04/2020 or 01/04/2022</t>
  </si>
  <si>
    <t>84 + 24</t>
  </si>
  <si>
    <t>John Smith</t>
  </si>
  <si>
    <t>DN311990</t>
  </si>
  <si>
    <t>Refurbishment of Accessible WC and Proposed Tea Bar at County Hall</t>
  </si>
  <si>
    <t>6/12/2017</t>
  </si>
  <si>
    <t>12/02/2018</t>
  </si>
  <si>
    <t>DN313716</t>
  </si>
  <si>
    <t>Refurbishment of Library Area at Selby Library</t>
  </si>
  <si>
    <t>12/03/2018</t>
  </si>
  <si>
    <t>DN285289</t>
  </si>
  <si>
    <r>
      <t>Area 2 Package 2017-18
(A61 Market Place Thirsk;</t>
    </r>
    <r>
      <rPr>
        <strike/>
        <sz val="10"/>
        <rFont val="Calibri"/>
        <family val="2"/>
        <scheme val="minor"/>
      </rPr>
      <t xml:space="preserve"> C115 Gatenby</t>
    </r>
    <r>
      <rPr>
        <sz val="10"/>
        <rFont val="Calibri"/>
        <family val="2"/>
        <scheme val="minor"/>
      </rPr>
      <t>; C152 &amp; C161 Picton; C156/C157 Felixkirk etc.; C99 Quarry Banks; Area 2 PSDP 2017)</t>
    </r>
  </si>
  <si>
    <t>2017/18</t>
  </si>
  <si>
    <t>Area 2 - Nigel Smith</t>
  </si>
  <si>
    <t>Basic need provision at Hungate</t>
  </si>
  <si>
    <t>2018</t>
  </si>
  <si>
    <t>DN341318</t>
  </si>
  <si>
    <t>Area 1 Hunton R&amp;R</t>
  </si>
  <si>
    <t>2018/19</t>
  </si>
  <si>
    <t>SEN review 2018/19</t>
  </si>
  <si>
    <t xml:space="preserve">NYCC UTC &amp; UTMC Consolidation and Harrogate Communications Infrastructure Improvement </t>
  </si>
  <si>
    <t>22/09/2019 or 22/09/2021</t>
  </si>
  <si>
    <t>James Smith</t>
  </si>
  <si>
    <t>DN315880</t>
  </si>
  <si>
    <t>Ground Floor Refurbishment at North Yorkshire House</t>
  </si>
  <si>
    <t>23/04/2018</t>
  </si>
  <si>
    <t>DN311303</t>
  </si>
  <si>
    <t>A167 Safer Road Scheme</t>
  </si>
  <si>
    <t>29/11/2017</t>
  </si>
  <si>
    <t>5/3/2018</t>
  </si>
  <si>
    <t xml:space="preserve">DN485096 </t>
  </si>
  <si>
    <t>The provision of stone supply to Codgen South Bridge Works 
Cogden South - stone</t>
  </si>
  <si>
    <t>PS</t>
  </si>
  <si>
    <t>Facilities Management</t>
  </si>
  <si>
    <t>Air Conditioning Inspections TM44</t>
  </si>
  <si>
    <t>External framework?</t>
  </si>
  <si>
    <t>Katherine Edge</t>
  </si>
  <si>
    <t>Area 6 Cat 1,1a,2 West Park Harrogate Footway R&amp;R</t>
  </si>
  <si>
    <t>PCU replacements 2018</t>
  </si>
  <si>
    <t>Delayed from 2018 activities</t>
  </si>
  <si>
    <t>NY3-028-J Falsgrave Road/Sainsburys Capital Refurbishment/Improvement</t>
  </si>
  <si>
    <t>Jan 2018</t>
  </si>
  <si>
    <t>DN495415</t>
  </si>
  <si>
    <t>Stoney Haggs Road, Seamer, Scarborough</t>
  </si>
  <si>
    <t>WSP
Lisa Flear (Highways)</t>
  </si>
  <si>
    <t>Occupational Health Case Management System
provided by Civica. Additional Licence</t>
  </si>
  <si>
    <t xml:space="preserve">Paul Humphreys </t>
  </si>
  <si>
    <t xml:space="preserve">Vicky Moss </t>
  </si>
  <si>
    <t>Added to legal log. Resourced in legal to Gemma. All good to be signed and sent back. Full contract costs to be added to CCN before sign off. Service area arranged sign off.</t>
  </si>
  <si>
    <t>Coppice Valley - Discharge of Conditions and construction of footpath</t>
  </si>
  <si>
    <t>Grassington CE VC Primary School - Replacement of boiler and pipework and heaters. Remove the old one pipe heating system to the hall and three classrooms, install surface mounted F&amp;R feeding new dun and bush heaters replace the old radiators and replace the originally coal boiler</t>
  </si>
  <si>
    <t>Kellington CP School - Boiler replacement. Ancient, obsolete Strebel atmospheric (only boiler) big 200+ kw replace</t>
  </si>
  <si>
    <t>Ripon Grammar School - Phase 2 of works to science block</t>
  </si>
  <si>
    <t>South Milford CPS - Classroom expansion</t>
  </si>
  <si>
    <t>Sutton in Craven CE VC Primary School -Boiler replacement. Ancient, obsolete Strebel atmospheric (only boiler) big 200+ kw</t>
  </si>
  <si>
    <t>Willow Tree CPS - Feasibility study for boiler replacement.</t>
  </si>
  <si>
    <t>Green Hammerton CPS - Expansion / 4 Classroom and Kitchen extension</t>
  </si>
  <si>
    <t>DUPLICATE</t>
  </si>
  <si>
    <t>Area 1 Patching to tender</t>
  </si>
  <si>
    <t>DN330202</t>
  </si>
  <si>
    <t>Waste Treatment &amp; Disposal Framework 2015 9P4Q-WVQU8U DN195043</t>
  </si>
  <si>
    <t>12 + tbc</t>
  </si>
  <si>
    <t>Area 4 Low Marishes R&amp;R</t>
  </si>
  <si>
    <t xml:space="preserve">A635 Holmfirth Road, Sovereign </t>
  </si>
  <si>
    <t>Cat 1, 1a,2  Low Street Husthwaite Footway R&amp;R</t>
  </si>
  <si>
    <t>Area 2 - TBC</t>
  </si>
  <si>
    <t>Crescent Hill, Filey</t>
  </si>
  <si>
    <t>Gillamoor R&amp;R</t>
  </si>
  <si>
    <t>tBC</t>
  </si>
  <si>
    <t>DN343431</t>
  </si>
  <si>
    <t>Lane Foot Road, High Bentham – Landslip Repair</t>
  </si>
  <si>
    <t>Masham South - Masonry repair dropped arch stones</t>
  </si>
  <si>
    <t>Road Footbridges - TBC</t>
  </si>
  <si>
    <t>Area 6 Harrogate R &amp; R
City centre patches</t>
  </si>
  <si>
    <t>Area 6 - TBC</t>
  </si>
  <si>
    <t>Area 6 R &amp; R Package</t>
  </si>
  <si>
    <t>St John's Knaresborough</t>
  </si>
  <si>
    <t>Brompton Station Stone Replacement</t>
  </si>
  <si>
    <t>Area 6 Woodside Special</t>
  </si>
  <si>
    <t>Area 6 Kingsway Drive Special</t>
  </si>
  <si>
    <t>Area 6 Grantley R&amp;R</t>
  </si>
  <si>
    <t>Area 2 C10 South Otterington R&amp;R</t>
  </si>
  <si>
    <t>Area 2 Swainby R&amp;R</t>
  </si>
  <si>
    <t>Area 6 Hartwith R&amp;R</t>
  </si>
  <si>
    <t>Area 7 Finkle Street Special Setts</t>
  </si>
  <si>
    <t>U28 East Moor To Cockayne, Helmsley</t>
  </si>
  <si>
    <t>Barlby High - pool</t>
  </si>
  <si>
    <t>Cleaning equipment repairs and maintenance</t>
  </si>
  <si>
    <t>Tadcaster Bridge Street Lighting Plates</t>
  </si>
  <si>
    <t>Thirsk Old Stone Replacement</t>
  </si>
  <si>
    <t>Road Safety</t>
  </si>
  <si>
    <t>Cancelled</t>
  </si>
  <si>
    <t>Area 4 Hawnby R&amp;R</t>
  </si>
  <si>
    <t>Cacnel</t>
  </si>
  <si>
    <t>Thornton in Craven - ramp</t>
  </si>
  <si>
    <t>Masham CE VC Primary School - Classroom expansion</t>
  </si>
  <si>
    <t>The Dales School - tbc</t>
  </si>
  <si>
    <t>DN340110</t>
  </si>
  <si>
    <t>R A F Leeming CPS - Essential concrete repairs to Airey Building following structural report</t>
  </si>
  <si>
    <t>Sinnington [bridge?]
Maintenance of flood relief culverts</t>
  </si>
  <si>
    <t>80-100 Place Special School, Osgodby, Selby</t>
  </si>
  <si>
    <t>Brooklands Special School - tbc</t>
  </si>
  <si>
    <t>EV Charging Unit</t>
  </si>
  <si>
    <t>Brougham Street  - access door</t>
  </si>
  <si>
    <t>Area 5 Skipton Back Streets Package 19-20 - Relay Stone Setts</t>
  </si>
  <si>
    <t>Bishop Thornton R&amp;R</t>
  </si>
  <si>
    <t>June</t>
  </si>
  <si>
    <t>Ellingstring &amp; Fearby R&amp;R</t>
  </si>
  <si>
    <t>Soursikes Aldborough R&amp;R</t>
  </si>
  <si>
    <t>Thornthwaite R&amp;R</t>
  </si>
  <si>
    <t>Kettlewell Wharfe (also known as New) Repointing</t>
  </si>
  <si>
    <t>Area 1 Moor Lane Dalton RR (Framework Package 3)</t>
  </si>
  <si>
    <t>Area 1 - TBC</t>
  </si>
  <si>
    <t>Petyt Grove Bridge
Concrete repairs to culvert</t>
  </si>
  <si>
    <t>Hollin Wood Bridge (A61)
Concrete repairs</t>
  </si>
  <si>
    <t>Stainley North - concrete repairs</t>
  </si>
  <si>
    <t xml:space="preserve">Area 3 Newby R&amp;R </t>
  </si>
  <si>
    <t>DN429447</t>
  </si>
  <si>
    <t>Alverton CPS - Conversion of bungalow into Life Skills area</t>
  </si>
  <si>
    <t>Woodleigh and Woodfield EPH - demolition</t>
  </si>
  <si>
    <t>Secure Childrens Centre, Forest Moor</t>
  </si>
  <si>
    <t>Mowbray School - tbc</t>
  </si>
  <si>
    <t>Great Fryupdale Canteen - demolition</t>
  </si>
  <si>
    <t>Allertonshire bridge - demolition</t>
  </si>
  <si>
    <t>Former Barclays Bank - demolition and car parking</t>
  </si>
  <si>
    <t>101 Prospect Mount - demolition</t>
  </si>
  <si>
    <t>Harrogate Library</t>
  </si>
  <si>
    <t>Harrogate Relief Road (Northern Alignment)</t>
  </si>
  <si>
    <t xml:space="preserve">Ella Bridge (C100)
Lifting the road level approx 1.2m - TBC.  Approach embankments and new road construction. </t>
  </si>
  <si>
    <t>Gilling Bridge (B1363)
TBC</t>
  </si>
  <si>
    <t>Rigg Mill Ford footbridge</t>
  </si>
  <si>
    <t>Quotes</t>
  </si>
  <si>
    <t>Heating controls</t>
  </si>
  <si>
    <t>Brook Lodge, Selby - revamp office etc.</t>
  </si>
  <si>
    <t>Penny Pot HWRC - replacing waste system</t>
  </si>
  <si>
    <t>Norton Lodge Primary School, Malton - new school</t>
  </si>
  <si>
    <t>East Ayton - expansion</t>
  </si>
  <si>
    <t xml:space="preserve">Paula McLean / </t>
  </si>
  <si>
    <t>Supply, Deliver Precast Concrete U-Sections with lid</t>
  </si>
  <si>
    <t xml:space="preserve">Area 4 (Package 2) - Hawnby, Old Byland
</t>
  </si>
  <si>
    <t>Permanent Cold-Lay Surfacing Materials</t>
  </si>
  <si>
    <t>Nick Burgess</t>
  </si>
  <si>
    <t>Esk Valley Rail Infrastructure operating the trains Procurement</t>
  </si>
  <si>
    <t>DN486419</t>
  </si>
  <si>
    <t>Area 4 Gillamoor R&amp;R
Carriageway maintenance</t>
  </si>
  <si>
    <t>DN493044</t>
  </si>
  <si>
    <t>Queen Street Newborough, Eastborough R&amp;R</t>
  </si>
  <si>
    <t>DN488053</t>
  </si>
  <si>
    <t>Area 4 Package 1- Buttercrambe and Helperthorpe R&amp;R
Bossall/Buttercrambe - 60 and 100 overlay with some haunching and kerbing of accesses. Stamford Br/Buttercrambe Br - Minor kerbing and patching works. 
Long Hill - 100 overlay with some kerbing of accesses</t>
  </si>
  <si>
    <t>Mains electrical connections / ICP</t>
  </si>
  <si>
    <t xml:space="preserve">Station Gateway, Harrogate
</t>
  </si>
  <si>
    <t>A684 Safer Routes - Buttersett Junction</t>
  </si>
  <si>
    <t>A684 Safer Routes - Patrick Brompton</t>
  </si>
  <si>
    <t>30.11.2020</t>
  </si>
  <si>
    <t>YORcivils</t>
  </si>
  <si>
    <r>
      <t xml:space="preserve">A684 Safer Routes 3 Akebar and Finghall crossroads Resurfacing and </t>
    </r>
    <r>
      <rPr>
        <sz val="10"/>
        <color rgb="FFFF0000"/>
        <rFont val="Arial"/>
        <family val="2"/>
      </rPr>
      <t>Will this be merged with line 19?</t>
    </r>
  </si>
  <si>
    <t>A684 Safer Routes 5 Spennithorpe &amp; Appersett Bridge</t>
  </si>
  <si>
    <t>DN483004</t>
  </si>
  <si>
    <t>Whitley New - Post tensioned inspection.  Resurface, consider VRS, concrete repairs to Ash main.  Starting point is a trial hole to find out what is in there - likely asbestos</t>
  </si>
  <si>
    <t>Haulage</t>
  </si>
  <si>
    <t>08/12/22 - Nick Burgess and Mike Plews have confirmed that spend on haulage is not significant enough to need an ongoing contract, it is used infrequently and on an emergency basis (twice in 18 months so far). Agreed to archive this project for now until if/when spend looks likely to increase.
01/12/22 - This may be incorporated into the Excavators framework so awaiting updated specification for Excavators from NYH
16/06/22 - Ross Bullerwell confirmed he is happy with a Tier 1 Supplier approach. EOI currently being drafted.
2022/03/11 Discuss w. NBu / MFr if this is to progress as a separate lot</t>
  </si>
  <si>
    <t>Supplementary Asbestos consultancy</t>
  </si>
  <si>
    <t>HSL</t>
  </si>
  <si>
    <t xml:space="preserve">16/02/23 - This has been replaced by "Hard FM (Lot 11) Asbestos Analysis" so can be removed from FPP.
20/01/23 - Now on draft Hard FM procurement plan. Formal timetable to be decided.
05/01/23 - Awaiting further update from Trevor lambert
15/12/22 - Trevor Lambert has advised there isn't time to undertake a competitiive 
procedure. To be discussed at Hard FM meeting.
17/11/22 - Trevor Lambert advised that no decision had been made on the route to market for additional asbestos consultancy resource.
10/11/22 - Email sent to Trevor Lambert asking for an update
27/10/22 - Awaiting response from Trevor Lambert
20/10/22 - Details of direct award framework through Consortium Procurement sent to Trevor Lambert. Awaiting Trevor's return from leave to discuss if he wants to proceed.
Details of framework/lotting sent across for TL review. </t>
  </si>
  <si>
    <t>Electricity Bill Validation</t>
  </si>
  <si>
    <t>Unknown</t>
  </si>
  <si>
    <t>Degree Apprenticeship - Digital &amp; Technology Solutions Professional</t>
  </si>
  <si>
    <t>T&amp;C</t>
  </si>
  <si>
    <t>DN442634</t>
  </si>
  <si>
    <t>Apprenticeships - Multiple lots</t>
  </si>
  <si>
    <t xml:space="preserve">To be moved to completed - individual requirements to be added as and when. </t>
  </si>
  <si>
    <t>Coring rig procurement for coring programme</t>
  </si>
  <si>
    <t>Allan McVeigh</t>
  </si>
  <si>
    <t>Management of four Gypsy &amp; Traveller sites</t>
  </si>
  <si>
    <t>Roger Fairholm</t>
  </si>
  <si>
    <t>DN349890</t>
  </si>
  <si>
    <t>Carlton in Snaith CP - Accessible WC</t>
  </si>
  <si>
    <t>West &amp; East Heslerton R&amp;R</t>
  </si>
  <si>
    <t>Cold Kirby R&amp;R</t>
  </si>
  <si>
    <t>Data &amp; Systems</t>
  </si>
  <si>
    <t>LGR Oracle PBCS (Planning &amp; Budgeting Cloud Solution) Application Support (Additional Support)</t>
  </si>
  <si>
    <t>Evosys</t>
  </si>
  <si>
    <t>Technology &amp; Change</t>
  </si>
  <si>
    <t xml:space="preserve">File path N:\FCS-DATA\Procurement\PROFESSIONAL\T and C\Finance\1. Awarded\Oracle PBCS Support DN555452
23/01 Contract signed and sent to service area. Contract register completed
</t>
  </si>
  <si>
    <t xml:space="preserve">   Area 5 Storiths Lane, Skipton Landslip A#####[tba]</t>
  </si>
  <si>
    <t>Daniel Herbert</t>
  </si>
  <si>
    <t>2023/01/23 Duplicate
09/12/2022 New scheme of 2023/24 programme, headline notification, tiering to be confirmed</t>
  </si>
  <si>
    <t>Date added to FPP</t>
  </si>
  <si>
    <t>Master Category</t>
  </si>
  <si>
    <t>Contract title</t>
  </si>
  <si>
    <t>Current Supplier name (if applicable)</t>
  </si>
  <si>
    <t>*New* draft Proposed Procurement Method</t>
  </si>
  <si>
    <t>Contract Tiering Status</t>
  </si>
  <si>
    <t>Category (SS only Column)</t>
  </si>
  <si>
    <t>Prior to May</t>
  </si>
  <si>
    <t>Selby</t>
  </si>
  <si>
    <t>Property, Procurement and Commercial</t>
  </si>
  <si>
    <t>Mrs Marion Wrightson</t>
  </si>
  <si>
    <t>Economic Development, Regeneration, Tourism and Skills</t>
  </si>
  <si>
    <t xml:space="preserve">Works - Construction, Repair &amp; Maintenance </t>
  </si>
  <si>
    <t>Scarborough</t>
  </si>
  <si>
    <t>Kathy Abbs</t>
  </si>
  <si>
    <t xml:space="preserve">Consultancy </t>
  </si>
  <si>
    <t>Vehicle Management</t>
  </si>
  <si>
    <t>Phil Hiscott</t>
  </si>
  <si>
    <t>Craven</t>
  </si>
  <si>
    <t>Head of Environmental Services and Housing</t>
  </si>
  <si>
    <t>CIO / Head of Assets</t>
  </si>
  <si>
    <t>Customer, Revenues and Benefits</t>
  </si>
  <si>
    <t>Housing Management</t>
  </si>
  <si>
    <t>Extension and Variation</t>
  </si>
  <si>
    <t>Traffic Management</t>
  </si>
  <si>
    <t>Street &amp; Traffic Management</t>
  </si>
  <si>
    <t>YPO framework</t>
  </si>
  <si>
    <t xml:space="preserve">Hambleton  </t>
  </si>
  <si>
    <t>Horticulture</t>
  </si>
  <si>
    <t>2023/03/15 sub £50K, no NYC P&amp;CM involvement unless aggregation up needed</t>
  </si>
  <si>
    <t xml:space="preserve">Regulatory Services, Registration, Bereavement, Coroners Service </t>
  </si>
  <si>
    <t xml:space="preserve">Cemetery &amp; Crematorium </t>
  </si>
  <si>
    <t>rolling annual</t>
  </si>
  <si>
    <r>
      <t>36+</t>
    </r>
    <r>
      <rPr>
        <sz val="10"/>
        <color rgb="FFFF0000"/>
        <rFont val="Calibri"/>
        <family val="2"/>
      </rPr>
      <t>12</t>
    </r>
  </si>
  <si>
    <t>Nicki Lishman</t>
  </si>
  <si>
    <t>YPO</t>
  </si>
  <si>
    <t>Further comp</t>
  </si>
  <si>
    <t>Brian Bottle</t>
  </si>
  <si>
    <t>Graeme Thistlethwaite</t>
  </si>
  <si>
    <t>Open Spaces &amp; Amenities</t>
  </si>
  <si>
    <t>Gary Hudson</t>
  </si>
  <si>
    <t>Sheila Cantrell</t>
  </si>
  <si>
    <t>rolling</t>
  </si>
  <si>
    <t>Alan Bewick</t>
  </si>
  <si>
    <t>Health &amp; Safety</t>
  </si>
  <si>
    <t>Jamie Crumlish</t>
  </si>
  <si>
    <t>Healthcare</t>
  </si>
  <si>
    <t>Culture, Arts, Libraries, Museums, Archives, Key Venues &amp; Leisure</t>
  </si>
  <si>
    <t>Arts &amp; Leisure Services</t>
  </si>
  <si>
    <t>PlotBox Crematorium Software</t>
  </si>
  <si>
    <t>Jo Holland</t>
  </si>
  <si>
    <t>Finance &amp; Improvement</t>
  </si>
  <si>
    <t xml:space="preserve">Direct </t>
  </si>
  <si>
    <t xml:space="preserve">Katy Riley </t>
  </si>
  <si>
    <t>eSigning Solution (Digital Signatures)</t>
  </si>
  <si>
    <t>Ascertia Limited</t>
  </si>
  <si>
    <t xml:space="preserve">Call-off signed and complete. </t>
  </si>
  <si>
    <t>Rolling annual</t>
  </si>
  <si>
    <t>PHS</t>
  </si>
  <si>
    <t>NYC</t>
  </si>
  <si>
    <t xml:space="preserve">Housing </t>
  </si>
  <si>
    <t>Social &amp; Community Supplies &amp; Services</t>
  </si>
  <si>
    <t>On hold</t>
  </si>
  <si>
    <t xml:space="preserve">Alan Bewick </t>
  </si>
  <si>
    <t xml:space="preserve">Legal </t>
  </si>
  <si>
    <t>Daisy Corp Ltd</t>
  </si>
  <si>
    <t>30/09/2022</t>
  </si>
  <si>
    <t>Locality Structure</t>
  </si>
  <si>
    <t>Hazel Smith</t>
  </si>
  <si>
    <t xml:space="preserve">Collection of Council Tax &amp; NDR Arrears </t>
  </si>
  <si>
    <r>
      <t>24+</t>
    </r>
    <r>
      <rPr>
        <sz val="10"/>
        <color rgb="FFFF0000"/>
        <rFont val="Calibri"/>
        <family val="2"/>
      </rPr>
      <t>12</t>
    </r>
  </si>
  <si>
    <t>Claire Bell</t>
  </si>
  <si>
    <t>Sophie Johnson</t>
  </si>
  <si>
    <t>2+1</t>
  </si>
  <si>
    <t>Gas Audits</t>
  </si>
  <si>
    <t>Morgan Lambert</t>
  </si>
  <si>
    <r>
      <rPr>
        <sz val="10"/>
        <color rgb="FF000000"/>
        <rFont val="Calibri"/>
        <family val="2"/>
      </rPr>
      <t>24+12+</t>
    </r>
    <r>
      <rPr>
        <sz val="10"/>
        <color rgb="FFFF0000"/>
        <rFont val="Calibri"/>
        <family val="2"/>
      </rPr>
      <t>12</t>
    </r>
  </si>
  <si>
    <t>T&amp;C (Licenses)</t>
  </si>
  <si>
    <t>Service Manager - Housing Options</t>
  </si>
  <si>
    <t>Treasury Management Investment Consultancy Services  (NYCC, Selby &amp; Ryedale)</t>
  </si>
  <si>
    <t>Dependable Productions
Richard Jemison Photography</t>
  </si>
  <si>
    <t>Amanda Alderson / Tom Morrison</t>
  </si>
  <si>
    <t>Payroll and HR Support and Maintenance Software</t>
  </si>
  <si>
    <t>Helen Raw</t>
  </si>
  <si>
    <t>Expired still providing service</t>
  </si>
  <si>
    <t>Dave Hancock</t>
  </si>
  <si>
    <t>Direct Award/Mini Competition</t>
  </si>
  <si>
    <t>Hambleton</t>
  </si>
  <si>
    <t>Recycling</t>
  </si>
  <si>
    <t>CCS Framework Agreement - mini-competition</t>
  </si>
  <si>
    <t>DRAX</t>
  </si>
  <si>
    <t>Advanced Business Solutions</t>
  </si>
  <si>
    <t>Yorwaste</t>
  </si>
  <si>
    <t>Highway Equipment &amp; Materials</t>
  </si>
  <si>
    <t>30/09/2023</t>
  </si>
  <si>
    <t>31/03/2023</t>
  </si>
  <si>
    <t xml:space="preserve">Granicus Firmstep Ltd </t>
  </si>
  <si>
    <t>31/03/2024</t>
  </si>
  <si>
    <t>Richmondshire District Council</t>
  </si>
  <si>
    <t>Asset Management System</t>
  </si>
  <si>
    <t>2023/03/15 all under one post LGR?  no longer required? to be confirmed</t>
  </si>
  <si>
    <t>31/03/2025</t>
  </si>
  <si>
    <t>Sports &amp; Playground Equipment &amp; Maintenance</t>
  </si>
  <si>
    <t>Pamela Hogg</t>
  </si>
  <si>
    <t>Rolling Contract</t>
  </si>
  <si>
    <t>Dale Casson</t>
  </si>
  <si>
    <t>Strategic Flood Risk Assessment</t>
  </si>
  <si>
    <t>Angela Crossland</t>
  </si>
  <si>
    <t>Contracts</t>
  </si>
  <si>
    <t xml:space="preserve">TBC </t>
  </si>
  <si>
    <t>CS Resources</t>
  </si>
  <si>
    <t>Louise Wilson / Lorena Phillips</t>
  </si>
  <si>
    <t>Master 
Category</t>
  </si>
  <si>
    <t>Yortender 
Ref</t>
  </si>
  <si>
    <t>Service Unit</t>
  </si>
  <si>
    <t>Spend Category</t>
  </si>
  <si>
    <t>Contract Title</t>
  </si>
  <si>
    <t>Contract 
Start Date</t>
  </si>
  <si>
    <t>Contract 
Term 
(months)</t>
  </si>
  <si>
    <t>Breakdown
(months)</t>
  </si>
  <si>
    <t>Estimated Whole 
Life Cost including 
extensions (ex VAT)</t>
  </si>
  <si>
    <t>Estimated Whole Life Cost including 
extensions 
(inc VAT)</t>
  </si>
  <si>
    <t>Key 
Decision?</t>
  </si>
  <si>
    <t>Key 
Decision 
Date</t>
  </si>
  <si>
    <t>Social &amp; Community Care Supplies &amp; Services - Adults</t>
  </si>
  <si>
    <t>Drug &amp; Alcohol Service - Adults - Horizons (Substance Misuse)</t>
  </si>
  <si>
    <t>Social &amp; Community Care Supplies &amp; Services - Children</t>
  </si>
  <si>
    <t>Drug &amp; Alcohol Service - Childrens - Rise (Healthy Child Substance Misuse)</t>
  </si>
  <si>
    <t>Coffee Supply</t>
  </si>
  <si>
    <t>Further Comp Below Threshold</t>
  </si>
  <si>
    <t>Joanne Simpson / Jane Newman</t>
  </si>
  <si>
    <t>Further Comp Above Threshold</t>
  </si>
  <si>
    <t>Chris Winson</t>
  </si>
  <si>
    <t>Cash Collection</t>
  </si>
  <si>
    <t>36+ 24</t>
  </si>
  <si>
    <t>Education &amp; Skills</t>
  </si>
  <si>
    <t>Growing up in North Yorkshire - Learning and Wellbeing Surveys</t>
  </si>
  <si>
    <t>David Gomersall</t>
  </si>
  <si>
    <t>Parts supply / imprest</t>
  </si>
  <si>
    <t>Property Level Resilience Scheme</t>
  </si>
  <si>
    <t xml:space="preserve">Supply of Liquid Fuels Diesel for NYH </t>
  </si>
  <si>
    <t>Anti-Virus Renewal (Sophos) (exSBC)</t>
  </si>
  <si>
    <t>Trevor Peacock / Paul Spencer</t>
  </si>
  <si>
    <t>Building Construction Materials</t>
  </si>
  <si>
    <t xml:space="preserve">Planning </t>
  </si>
  <si>
    <t>Alex Gardner</t>
  </si>
  <si>
    <t>Kirkham Bridge</t>
  </si>
  <si>
    <t>TP2 Landslips A10023
B6270 Grinton to Hags Gill</t>
  </si>
  <si>
    <t>Alex Gardner / Neil Bacon</t>
  </si>
  <si>
    <t>Above Threshold</t>
  </si>
  <si>
    <t>Caroline Sampson-Paver</t>
  </si>
  <si>
    <t>SDC2018 005</t>
  </si>
  <si>
    <t>Asbestos Surveys (ex-SDC)</t>
  </si>
  <si>
    <t>No contract</t>
  </si>
  <si>
    <t>SDC2018 006</t>
  </si>
  <si>
    <t>Asbestos Removal (ex-SDC)</t>
  </si>
  <si>
    <t xml:space="preserve">Best Value </t>
  </si>
  <si>
    <t>Community partner to deliver; events organisation and promotion, training and network coordination, online training and project management</t>
  </si>
  <si>
    <t>Oracle licences (additional - EBS, Database)</t>
  </si>
  <si>
    <t>Michael Woodhouse</t>
  </si>
  <si>
    <t>Helen Newall</t>
  </si>
  <si>
    <t>Public Conveniences Cleaning Services (Harrogate Area)</t>
  </si>
  <si>
    <t>Simon Noble</t>
  </si>
  <si>
    <t>Jacob Headlam</t>
  </si>
  <si>
    <t>DN544550</t>
  </si>
  <si>
    <t>Commercial Heating and Hot Water Service, Maintenance and Reactive Repair Contract</t>
  </si>
  <si>
    <t>Area 6 Otley Road Cycleway A60012
NPIF2
(West Harrogate Scheme (NPIF))
New roundabout and cycle route, crossings, kerbs</t>
  </si>
  <si>
    <t>TP2 Duck Street - A60020</t>
  </si>
  <si>
    <t>Heather Yendall</t>
  </si>
  <si>
    <t>Whitley Bridge
Service bay protection
A0012
1014</t>
  </si>
  <si>
    <t>TBc</t>
  </si>
  <si>
    <t>NH2307/04 Harrogate Void Property 2 storey extension</t>
  </si>
  <si>
    <t>NH2307/05 Knaresborough Tenanted adaptation extension</t>
  </si>
  <si>
    <t>NH2307/06 Spofforth 2 storey extension</t>
  </si>
  <si>
    <t>AREA 1 24/25 TENDER PACKAGE 1: R&amp;R SCHEMES (A10028)</t>
  </si>
  <si>
    <t>AREA 1 24/25 TENDER PACKAGE 2: PSDP SCHEMES (A10029)</t>
  </si>
  <si>
    <t>AREA 1 24/25 TENDER PACKAGE 3: LANDSLIPS (A10030)</t>
  </si>
  <si>
    <t>Green waste license - contract extensions for Ryedale, Selby and Hambleton areas</t>
  </si>
  <si>
    <t>Backup solution for the M365 environment</t>
  </si>
  <si>
    <t>CS Local Engagement</t>
  </si>
  <si>
    <t>SDC2020 010</t>
  </si>
  <si>
    <t>EPC Certificates (ex-SDC)</t>
  </si>
  <si>
    <t>SDC2018 040</t>
  </si>
  <si>
    <t>Drainage works &amp; investigations (ex-SDC)</t>
  </si>
  <si>
    <t>SDC2020 026</t>
  </si>
  <si>
    <t>Replacement Doors,  Windows &amp; Pre Paint Repairs (ex-SDC)</t>
  </si>
  <si>
    <t>Adaptations service &amp; maintenance</t>
  </si>
  <si>
    <t>IT Hardware Partner (Education) &amp; (Corporate)</t>
  </si>
  <si>
    <r>
      <rPr>
        <sz val="10"/>
        <color rgb="FF000000"/>
        <rFont val="Calibri"/>
        <family val="2"/>
      </rPr>
      <t>24+</t>
    </r>
    <r>
      <rPr>
        <sz val="10"/>
        <color rgb="FFFF0000"/>
        <rFont val="Calibri"/>
        <family val="2"/>
      </rPr>
      <t>24</t>
    </r>
    <r>
      <rPr>
        <sz val="10"/>
        <color rgb="FF000000"/>
        <rFont val="Calibri"/>
        <family val="2"/>
      </rPr>
      <t>+12</t>
    </r>
  </si>
  <si>
    <t>CS HR and Business Support</t>
  </si>
  <si>
    <t>Approved Provider List (APL) - Training</t>
  </si>
  <si>
    <t>APL Establish</t>
  </si>
  <si>
    <t>Local Energy Advice Demonstrator</t>
  </si>
  <si>
    <t xml:space="preserve">Health Inequalities Grant funding </t>
  </si>
  <si>
    <t>Parts supply / imprest
LGR Day 1
Waste Fleet Street and Highways (WFSH)</t>
  </si>
  <si>
    <t>LEP Careers Enterprise</t>
  </si>
  <si>
    <r>
      <rPr>
        <sz val="10"/>
        <color rgb="FF000000"/>
        <rFont val="Calibri"/>
        <family val="2"/>
      </rPr>
      <t>12+12+12+</t>
    </r>
    <r>
      <rPr>
        <sz val="10"/>
        <color rgb="FFFF0000"/>
        <rFont val="Calibri"/>
        <family val="2"/>
      </rPr>
      <t>12</t>
    </r>
    <r>
      <rPr>
        <sz val="10"/>
        <color rgb="FF000000"/>
        <rFont val="Calibri"/>
        <family val="2"/>
      </rPr>
      <t>+12</t>
    </r>
  </si>
  <si>
    <t>Liz Philpot</t>
  </si>
  <si>
    <t>Housing and Economic Development Needs Assessment and Employment Land Audit</t>
  </si>
  <si>
    <t>Habitats Regulations Appraisal</t>
  </si>
  <si>
    <t xml:space="preserve">Sustainability Appraisal </t>
  </si>
  <si>
    <t>Design Coding</t>
  </si>
  <si>
    <t>A40013 Area 4 &amp; Area 2 Micro asphalt</t>
  </si>
  <si>
    <t>Sites will be added to Highways Capital Forward Programme Report May 2023</t>
  </si>
  <si>
    <t>Ben Hudson</t>
  </si>
  <si>
    <t>TP2 Patching A30014</t>
  </si>
  <si>
    <t>Helen.1.Watson</t>
  </si>
  <si>
    <t>Isobel Lacy</t>
  </si>
  <si>
    <t>Supply of Road Salt</t>
  </si>
  <si>
    <t>HVAC Servicing</t>
  </si>
  <si>
    <t>Provider termination from the HAS APL</t>
  </si>
  <si>
    <t>Removals and storage services</t>
  </si>
  <si>
    <t>Archers &amp; Sons Ltd</t>
  </si>
  <si>
    <t xml:space="preserve"> Roger Fairholm / Andy McLay</t>
  </si>
  <si>
    <t>Contract term - 18/09/2023 - 17/09/2025
OTE - 18/09/2025 - 17/09/2026 
FOTE - 18/09/2026 - 17/09/2027</t>
  </si>
  <si>
    <t>Local Planning software solution (PMO: 4047)</t>
  </si>
  <si>
    <r>
      <rPr>
        <sz val="10"/>
        <color rgb="FF000000"/>
        <rFont val="Calibri"/>
        <family val="2"/>
      </rPr>
      <t>36+</t>
    </r>
    <r>
      <rPr>
        <sz val="10"/>
        <color rgb="FFFF0000"/>
        <rFont val="Calibri"/>
        <family val="2"/>
      </rPr>
      <t>12</t>
    </r>
  </si>
  <si>
    <t>SDC 047</t>
  </si>
  <si>
    <t>Pump Station / Septic Tank Clearance</t>
  </si>
  <si>
    <t xml:space="preserve">12 month rolling  </t>
  </si>
  <si>
    <t>Young Peoples Pathway -Managed Accommodation (Pathway 2 (Foundation)</t>
  </si>
  <si>
    <r>
      <rPr>
        <sz val="10"/>
        <color rgb="FF000000"/>
        <rFont val="Calibri"/>
        <family val="2"/>
      </rPr>
      <t>16+</t>
    </r>
    <r>
      <rPr>
        <sz val="10"/>
        <color rgb="FFFF0000"/>
        <rFont val="Calibri"/>
        <family val="2"/>
      </rPr>
      <t>6</t>
    </r>
    <r>
      <rPr>
        <sz val="10"/>
        <color rgb="FF000000"/>
        <rFont val="Calibri"/>
        <family val="2"/>
      </rPr>
      <t>+6</t>
    </r>
  </si>
  <si>
    <t>Young Peoples Pathway - Prevention &amp; Reconnection (Pathway 1 (Foundation)</t>
  </si>
  <si>
    <t xml:space="preserve">Housing support - Mental Health </t>
  </si>
  <si>
    <t> HAS</t>
  </si>
  <si>
    <t>Falls prevention in care settings</t>
  </si>
  <si>
    <t>Young Peoples Pathway - Emergency &amp; Extended Supported Lodgings (Pathway 2 (SASH))</t>
  </si>
  <si>
    <t>Supply of permanent cold lay pot hole repair materials</t>
  </si>
  <si>
    <t>CS HR and business support</t>
  </si>
  <si>
    <t>24+14+12</t>
  </si>
  <si>
    <r>
      <rPr>
        <sz val="10"/>
        <color rgb="FF000000"/>
        <rFont val="Calibri"/>
        <family val="2"/>
      </rPr>
      <t>12+</t>
    </r>
    <r>
      <rPr>
        <sz val="10"/>
        <color rgb="FFFF0000"/>
        <rFont val="Calibri"/>
        <family val="2"/>
      </rPr>
      <t>12</t>
    </r>
    <r>
      <rPr>
        <sz val="10"/>
        <color rgb="FF000000"/>
        <rFont val="Calibri"/>
        <family val="2"/>
      </rPr>
      <t>+12</t>
    </r>
  </si>
  <si>
    <t xml:space="preserve">Christopher Taylor / Dan Morris </t>
  </si>
  <si>
    <t>Provision of kennelling for stray dogs</t>
  </si>
  <si>
    <t xml:space="preserve">Stell Bank 
599 Saddle and new invert  </t>
  </si>
  <si>
    <t>Harrogate Convention Centre / HCC  Reroofing of canteen storage area</t>
  </si>
  <si>
    <t>Ripon Bus Station Conveniences / Changing Places Facility</t>
  </si>
  <si>
    <t>Oracle E-Business Suite - Third Party Support and Maintenance (PMO Ref: 3071) DN564570</t>
  </si>
  <si>
    <t>NYC Gritter Lease Extension</t>
  </si>
  <si>
    <t>84+12</t>
  </si>
  <si>
    <t xml:space="preserve">	78884</t>
  </si>
  <si>
    <t>Health and Safety Management System (2020 PMO Ref: 1053)</t>
  </si>
  <si>
    <t>24+12+12+12</t>
  </si>
  <si>
    <t>Kerry Green</t>
  </si>
  <si>
    <t>Technology Services</t>
  </si>
  <si>
    <t>Storage Area Network *Urgent*</t>
  </si>
  <si>
    <t>Green Waste Disposal Framework (Selby Locality)</t>
  </si>
  <si>
    <t>Aimi Brookes</t>
  </si>
  <si>
    <t>Liquid Fuel - Oil - heating</t>
  </si>
  <si>
    <t>Technology Enabled Care Services (ex RDC area)</t>
  </si>
  <si>
    <t xml:space="preserve">Heat Offtake Feasibility Consultancy -Allerton Park </t>
  </si>
  <si>
    <t>Spray Injection Patching for Pothole Repairs</t>
  </si>
  <si>
    <t>DN565554</t>
  </si>
  <si>
    <t>Garden Waste and Car Park Permit Printing and Distribution for 2024/25 to Dec 2024
Scarb, Hgate interim provision
Selby, Ryedale, Craven and Hambleton require extensions
(Rich extended)</t>
  </si>
  <si>
    <r>
      <t>36+</t>
    </r>
    <r>
      <rPr>
        <sz val="10"/>
        <rFont val="Calibri"/>
        <family val="2"/>
        <scheme val="minor"/>
      </rPr>
      <t>12</t>
    </r>
  </si>
  <si>
    <t>SSPR - support</t>
  </si>
  <si>
    <t>?</t>
  </si>
  <si>
    <t>Hannah Breheney</t>
  </si>
  <si>
    <t>Above Threshold LTR</t>
  </si>
  <si>
    <t>PRO161</t>
  </si>
  <si>
    <t>Manned Guarding service</t>
  </si>
  <si>
    <t>Vistech</t>
  </si>
  <si>
    <t>Keith Cadman</t>
  </si>
  <si>
    <t>Electric Vehicle (EV) Charge point installation (Local Electric Vehicle Infrastructure (LEVI) funding) Charge Point Operator - 1000 units Renewables Contractor for 70 Charge Points (PMO: 4024)</t>
  </si>
  <si>
    <t xml:space="preserve">Phoenix Business Park, Ripon - upgrading of units to meet EPC legislation </t>
  </si>
  <si>
    <t xml:space="preserve">works - Construction, Repair &amp; Maintenance </t>
  </si>
  <si>
    <t>Harrogate Convention Centre / HCC Venue Tunnel / Link</t>
  </si>
  <si>
    <t>Selby Changing Place Facility
(aka Selby Park Toilet Block Upgrade, incorporating Changing Places grant funded facility)</t>
  </si>
  <si>
    <t>Tadcaster A659 Gateway (Bus Station) / Changing Places</t>
  </si>
  <si>
    <t>Hard FM (Lot 6) Fixed Electrical Inspection / PAT / Stage Lighting</t>
  </si>
  <si>
    <t>Shared Lives</t>
  </si>
  <si>
    <t xml:space="preserve">HASLT: 19/05/2021 (Gate 1 06/2022)
HAS EX: 10/03/2023 </t>
  </si>
  <si>
    <t>Hard FM (Lot 5) Auto Doors</t>
  </si>
  <si>
    <t>Hard FM (Lot 10) PE and External Play</t>
  </si>
  <si>
    <t>Selby and Whitby Swing Bridges Maintenance</t>
  </si>
  <si>
    <t>Electric Vehicle Charging Infrastructure
EV</t>
  </si>
  <si>
    <t>DN398187 (RiDC)</t>
  </si>
  <si>
    <t>Gas Servicing &amp; Maintenance (ex HBC and RiDC)</t>
  </si>
  <si>
    <t>48 (HBC)
36 (RiDC)</t>
  </si>
  <si>
    <t>24+24 (HBC)
12+12+12 (RiDC)</t>
  </si>
  <si>
    <t>£2,028,460 (HBC)
£568,200? (RiDC)</t>
  </si>
  <si>
    <t>£2,434,152 (HBC)
£681,840 (RiDC)</t>
  </si>
  <si>
    <t>SDC2019 050</t>
  </si>
  <si>
    <t>Kitchen, Bathrooms, Rewires, CO Testing</t>
  </si>
  <si>
    <t>Inclusion</t>
  </si>
  <si>
    <t>West Yorkshire Combined Authority Transforming Cities Fund
WYCA TCF / Overarching project
Harrogate / Skipton / Selby</t>
  </si>
  <si>
    <t>CS Legal and Democratic Services</t>
  </si>
  <si>
    <r>
      <t>24+12+</t>
    </r>
    <r>
      <rPr>
        <sz val="10"/>
        <color rgb="FFFF0000"/>
        <rFont val="Calibri"/>
        <family val="2"/>
        <scheme val="minor"/>
      </rPr>
      <t>12</t>
    </r>
  </si>
  <si>
    <t>Melanie Lyons</t>
  </si>
  <si>
    <r>
      <rPr>
        <sz val="10"/>
        <color rgb="FF000000"/>
        <rFont val="Calibri"/>
        <family val="2"/>
      </rPr>
      <t>24+</t>
    </r>
    <r>
      <rPr>
        <sz val="10"/>
        <color rgb="FFFF0000"/>
        <rFont val="Calibri"/>
        <family val="2"/>
      </rPr>
      <t>12</t>
    </r>
  </si>
  <si>
    <t>Allstar Business Solutions Ltd</t>
  </si>
  <si>
    <t>SDC2021 033</t>
  </si>
  <si>
    <t>Roofing</t>
  </si>
  <si>
    <t>Street Lighting Maintenance and Replacement</t>
  </si>
  <si>
    <t xml:space="preserve">Acorn Lighting </t>
  </si>
  <si>
    <r>
      <t>36+</t>
    </r>
    <r>
      <rPr>
        <sz val="10"/>
        <color rgb="FFFF0000"/>
        <rFont val="Calibri"/>
        <family val="2"/>
      </rPr>
      <t>24</t>
    </r>
  </si>
  <si>
    <t>ENCTS Back Office Software (PMO: 3134)</t>
  </si>
  <si>
    <t>Tees, Esk and Wear Valleys NHS Foundation Trust</t>
  </si>
  <si>
    <t>Original procurement was KD</t>
  </si>
  <si>
    <t>Highway Electrical Installations including ICP</t>
  </si>
  <si>
    <t>Infection Control and Prevention</t>
  </si>
  <si>
    <t>Section 75</t>
  </si>
  <si>
    <t>HASLT: 14/09/2023
HASEX: 10/11/2023</t>
  </si>
  <si>
    <t>Technology Enabled Care (previously Assistive Technology)</t>
  </si>
  <si>
    <t xml:space="preserve">Nottingham Rehab Limited (NRS) </t>
  </si>
  <si>
    <t>HASLT: 09/11/2023
HASEX: 08/12/2023</t>
  </si>
  <si>
    <t>Domestic Abuse Services in North Yorkshire &amp; City of York:
Safer Accommodation-based Support Services
Community-based Adult Victims
Adult Perpetrators
Children and Young People</t>
  </si>
  <si>
    <t>48+24+24</t>
  </si>
  <si>
    <t>Contract Termination</t>
  </si>
  <si>
    <t xml:space="preserve">Provision of Foster Care Placements (IFA) </t>
  </si>
  <si>
    <t>120+60</t>
  </si>
  <si>
    <t>60+ 24</t>
  </si>
  <si>
    <t>HASLT: 05/10/2023
HASEX: 13/10/2023</t>
  </si>
  <si>
    <t>Welfare Benefits Unit</t>
  </si>
  <si>
    <r>
      <t>36+</t>
    </r>
    <r>
      <rPr>
        <sz val="10"/>
        <rFont val="Calibri"/>
        <family val="2"/>
        <scheme val="minor"/>
      </rPr>
      <t>24+24</t>
    </r>
  </si>
  <si>
    <t>25/08/2020</t>
  </si>
  <si>
    <t>Insufficent information - never procured</t>
  </si>
  <si>
    <r>
      <rPr>
        <sz val="10"/>
        <color rgb="FF000000"/>
        <rFont val="Calibri"/>
        <family val="2"/>
      </rPr>
      <t>24</t>
    </r>
    <r>
      <rPr>
        <sz val="10"/>
        <color rgb="FF000000"/>
        <rFont val="Calibri"/>
        <family val="2"/>
        <scheme val="minor"/>
      </rPr>
      <t>+</t>
    </r>
    <r>
      <rPr>
        <sz val="10"/>
        <color rgb="FFFF0000"/>
        <rFont val="Calibri"/>
        <family val="2"/>
        <scheme val="minor"/>
      </rPr>
      <t>12</t>
    </r>
  </si>
  <si>
    <r>
      <t>30+</t>
    </r>
    <r>
      <rPr>
        <sz val="10"/>
        <color rgb="FFFF0000"/>
        <rFont val="Calibri"/>
        <family val="2"/>
      </rPr>
      <t>24</t>
    </r>
  </si>
  <si>
    <t>Single View of a Child  (PMO ref: 1869)</t>
  </si>
  <si>
    <t>Hard FM (Lot 4) Lifts</t>
  </si>
  <si>
    <t>3+2+2</t>
  </si>
  <si>
    <t>Hard FM (Lot 11) Asbestos Analysis</t>
  </si>
  <si>
    <t>Hard FM (Lot 8) Water Hygiene</t>
  </si>
  <si>
    <t>Carriageway Planing and Surfacing Contractors Framework
(Refresh to current framework exp 31/03/2024)</t>
  </si>
  <si>
    <t>36 + 12 + 12</t>
  </si>
  <si>
    <t>Claire Lowery</t>
  </si>
  <si>
    <t>37+12+12</t>
  </si>
  <si>
    <r>
      <t>24</t>
    </r>
    <r>
      <rPr>
        <sz val="10"/>
        <rFont val="Calibri"/>
        <family val="2"/>
        <scheme val="minor"/>
      </rPr>
      <t>+12</t>
    </r>
  </si>
  <si>
    <t>Variation of schedules with Yorwaste to supply processing of Dry Mixed Recycling and Bulking and Storage for Selby Locality</t>
  </si>
  <si>
    <t>DN303626</t>
  </si>
  <si>
    <t>Oakbeck / Springwater redevelopments</t>
  </si>
  <si>
    <t>Hard FM (Lot 9) - Fire Equipment 
(to 31/08/2025)</t>
  </si>
  <si>
    <r>
      <t>24+12+</t>
    </r>
    <r>
      <rPr>
        <sz val="10"/>
        <rFont val="Calibri"/>
        <family val="2"/>
        <scheme val="minor"/>
      </rPr>
      <t>12</t>
    </r>
  </si>
  <si>
    <t>60+12+12+12+12</t>
  </si>
  <si>
    <t xml:space="preserve">Legal Services Case Management System. </t>
  </si>
  <si>
    <t>Thompson Reuters (via EM LawShare Agreement)</t>
  </si>
  <si>
    <t>Jackie Dawson</t>
  </si>
  <si>
    <t>Local Bus Services and Mainstream Home to School Transport (Craven, Harrogate, Richmond, Ryedale and Miscellaneous) - plus additional contract extensions + Hamb LBS only</t>
  </si>
  <si>
    <t>FFT</t>
  </si>
  <si>
    <t xml:space="preserve">Adrian Clarke  </t>
  </si>
  <si>
    <t>Notice parking system</t>
  </si>
  <si>
    <t>Organisational Recharging / Continuing Healthcare Module (3253)</t>
  </si>
  <si>
    <t>E Brokerage System</t>
  </si>
  <si>
    <t>Rarey Drive, Malton</t>
  </si>
  <si>
    <r>
      <t>24</t>
    </r>
    <r>
      <rPr>
        <sz val="10"/>
        <rFont val="Calibri"/>
        <family val="2"/>
        <scheme val="minor"/>
      </rPr>
      <t>+</t>
    </r>
    <r>
      <rPr>
        <sz val="10"/>
        <color rgb="FFFF0000"/>
        <rFont val="Calibri"/>
        <family val="2"/>
        <scheme val="minor"/>
      </rPr>
      <t>12</t>
    </r>
  </si>
  <si>
    <t>Libby Kirkley-Bryan</t>
  </si>
  <si>
    <t>Provision of software for Electronic Ticket Machines for Buses – portal fees</t>
  </si>
  <si>
    <t>Ticketer</t>
  </si>
  <si>
    <r>
      <rPr>
        <sz val="10"/>
        <color rgb="FF000000"/>
        <rFont val="Calibri"/>
        <family val="2"/>
      </rPr>
      <t>12+</t>
    </r>
    <r>
      <rPr>
        <sz val="10"/>
        <color rgb="FFFF0000"/>
        <rFont val="Calibri"/>
        <family val="2"/>
      </rPr>
      <t>12</t>
    </r>
    <r>
      <rPr>
        <sz val="10"/>
        <color rgb="FF000000"/>
        <rFont val="Calibri"/>
        <family val="2"/>
      </rPr>
      <t>+12+12</t>
    </r>
  </si>
  <si>
    <t>David Dumbleton</t>
  </si>
  <si>
    <t>A20018 Area 2 23/24 Tender Package 3 Landslips
U1858 Beakhills</t>
  </si>
  <si>
    <t>SRF - A6108 Package 5 Leyburn to Bellerby cycleroute 24/25</t>
  </si>
  <si>
    <t>Ryedale DC Depot</t>
  </si>
  <si>
    <t>DN384638</t>
  </si>
  <si>
    <t>Sampling and analysis of private water supplies</t>
  </si>
  <si>
    <t>Revenue &amp; Benefits System</t>
  </si>
  <si>
    <r>
      <rPr>
        <sz val="10"/>
        <color rgb="FF000000"/>
        <rFont val="Calibri"/>
        <family val="2"/>
      </rPr>
      <t>24</t>
    </r>
    <r>
      <rPr>
        <sz val="10"/>
        <color rgb="FF000000"/>
        <rFont val="Calibri"/>
        <family val="2"/>
        <scheme val="minor"/>
      </rPr>
      <t>+</t>
    </r>
    <r>
      <rPr>
        <sz val="10"/>
        <color rgb="FFFF0000"/>
        <rFont val="Calibri"/>
        <family val="2"/>
        <scheme val="minor"/>
      </rPr>
      <t>12</t>
    </r>
    <r>
      <rPr>
        <sz val="10"/>
        <color rgb="FF000000"/>
        <rFont val="Calibri"/>
        <family val="2"/>
        <scheme val="minor"/>
      </rPr>
      <t>+12</t>
    </r>
  </si>
  <si>
    <t>NYH Budget</t>
  </si>
  <si>
    <r>
      <rPr>
        <sz val="10"/>
        <color rgb="FF000000"/>
        <rFont val="Calibri"/>
        <family val="2"/>
      </rPr>
      <t>36+</t>
    </r>
    <r>
      <rPr>
        <sz val="10"/>
        <color rgb="FFFF0000"/>
        <rFont val="Calibri"/>
        <family val="2"/>
      </rPr>
      <t>12</t>
    </r>
    <r>
      <rPr>
        <sz val="10"/>
        <color rgb="FF000000"/>
        <rFont val="Calibri"/>
        <family val="2"/>
      </rPr>
      <t>+12</t>
    </r>
  </si>
  <si>
    <t>Procurement Framework for Housing New Build and Extension Works</t>
  </si>
  <si>
    <t>Donna Jobling</t>
  </si>
  <si>
    <t>Supply of general building, plumbing &amp; heating, and development related materials
(Housing Maintenance and Housing Development Build Teams)- Hgate, Selby, Ryedale</t>
  </si>
  <si>
    <t>Rural grass cutting</t>
  </si>
  <si>
    <r>
      <t>36+</t>
    </r>
    <r>
      <rPr>
        <sz val="10"/>
        <rFont val="Calibri"/>
        <family val="2"/>
        <scheme val="minor"/>
      </rPr>
      <t>24</t>
    </r>
  </si>
  <si>
    <t>Tyres and associated services</t>
  </si>
  <si>
    <t>Cover Head Bridge, East Witton Strenthening</t>
  </si>
  <si>
    <t>Lastingham Bridge Strengthening</t>
  </si>
  <si>
    <t>Civil Engineering Coring and Testing Framework</t>
  </si>
  <si>
    <t>BA Bush &amp; Sons Ltd</t>
  </si>
  <si>
    <t>Lone worker protection</t>
  </si>
  <si>
    <t xml:space="preserve">Provision of software license, support and maintenance for Idox Uniform system </t>
  </si>
  <si>
    <t>Idox</t>
  </si>
  <si>
    <t>SDC2019 071</t>
  </si>
  <si>
    <t>2 years plus 2 x 1 year extensions</t>
  </si>
  <si>
    <t xml:space="preserve">Highways Electrical installation (Highway Electrical Maintenance and Installation Services) </t>
  </si>
  <si>
    <t>Vehicle Lifting Equipment Statutory Examination and Maintenance</t>
  </si>
  <si>
    <t>Street Lighting Electrical Equipment</t>
  </si>
  <si>
    <t>Digital Transformation of Care Provider Services - eCare Records &amp; eScheduling System</t>
  </si>
  <si>
    <t xml:space="preserve">Clinical Service Platform for Community Pharmacies </t>
  </si>
  <si>
    <t>Jack Beck Bridge Strengthening, Clapham</t>
  </si>
  <si>
    <t xml:space="preserve">Cockayne 
531 Saddle and spandrel wall take down </t>
  </si>
  <si>
    <t>Highways Electrical installation (ICP Services)</t>
  </si>
  <si>
    <t>HASLT: 23/11/23
HASEX: 08/12/23</t>
  </si>
  <si>
    <t>HASLT: 08/06/23
HASEX: 21/07/23</t>
  </si>
  <si>
    <t>Decarbonisation Special Advisor Consultant
UKSPF</t>
  </si>
  <si>
    <t>Jos Holmes</t>
  </si>
  <si>
    <t>Special Educational Needs Home to School Transport - x3 schools  (Marchbank, Forest Moor and Brompton Hall)</t>
  </si>
  <si>
    <t>Reactive Maintenance and  Disabled Adaptation Works</t>
  </si>
  <si>
    <r>
      <t>24+</t>
    </r>
    <r>
      <rPr>
        <sz val="10"/>
        <color rgb="FFFF0000"/>
        <rFont val="Calibri"/>
        <family val="2"/>
      </rPr>
      <t>12</t>
    </r>
    <r>
      <rPr>
        <sz val="10"/>
        <rFont val="Calibri"/>
        <family val="2"/>
      </rPr>
      <t>+12</t>
    </r>
  </si>
  <si>
    <t>Heating Appliance Auditing</t>
  </si>
  <si>
    <t>Blue Flame Association</t>
  </si>
  <si>
    <t>GL Assessments</t>
  </si>
  <si>
    <r>
      <rPr>
        <sz val="10"/>
        <color rgb="FF000000"/>
        <rFont val="Calibri"/>
        <family val="2"/>
      </rPr>
      <t>12+12+</t>
    </r>
    <r>
      <rPr>
        <sz val="10"/>
        <color rgb="FFFF0000"/>
        <rFont val="Calibri"/>
        <family val="2"/>
      </rPr>
      <t>12</t>
    </r>
  </si>
  <si>
    <t>Andrew Dixon</t>
  </si>
  <si>
    <t>Consortium</t>
  </si>
  <si>
    <t>Supply of Products and/or Services under the Stairlift and Lifting Equipment - linked to DFG</t>
  </si>
  <si>
    <t xml:space="preserve">Prism </t>
  </si>
  <si>
    <t xml:space="preserve">Colin Eales/Paul Green </t>
  </si>
  <si>
    <t>BE002</t>
  </si>
  <si>
    <r>
      <rPr>
        <sz val="10"/>
        <color rgb="FF000000"/>
        <rFont val="Calibri"/>
        <family val="2"/>
      </rPr>
      <t>48 +</t>
    </r>
    <r>
      <rPr>
        <sz val="10"/>
        <color rgb="FFFF0000"/>
        <rFont val="Calibri"/>
        <family val="2"/>
      </rPr>
      <t>12</t>
    </r>
  </si>
  <si>
    <t>Mark Haynes</t>
  </si>
  <si>
    <t>James Boak</t>
  </si>
  <si>
    <t>Smart City Parking for Harrogate Borough Council</t>
  </si>
  <si>
    <t xml:space="preserve">Workwear &amp; PPE / Uniforms </t>
  </si>
  <si>
    <t>e-Scheduling System (2020 Ref: 2261) Lot 1 only.  DN508661</t>
  </si>
  <si>
    <t>Fastroi Ltd</t>
  </si>
  <si>
    <t>Lorena Phillips/ Jemma Gotts</t>
  </si>
  <si>
    <t xml:space="preserve">Oracle PBCS (Planning &amp; Budgeting Cloud Solution) Application Support
</t>
  </si>
  <si>
    <t xml:space="preserve">NYC Personalised Learning and Adult Learning - Supported Internships Approved Provider List </t>
  </si>
  <si>
    <t>NYC Personalised Learning and Adult Learning - High Needs Study Programme Approved Provider List</t>
  </si>
  <si>
    <t>Skipton Greatwood Primary School - provide additional pupil places to expand the school from 1 form entry to 2 form entry</t>
  </si>
  <si>
    <t>Caedmon School - Toilets additional provision and refurb</t>
  </si>
  <si>
    <t>DN546293</t>
  </si>
  <si>
    <t>The Provision of Radio Aids, Associated Equipment and Maintenance</t>
  </si>
  <si>
    <t>Void Property Repairs (Richmond)</t>
  </si>
  <si>
    <t>DN544550-49373</t>
  </si>
  <si>
    <t>Commercial Heating and Hot Water Service, Maintenance &amp; Reactive Repair Contract for Richmondshire District Council</t>
  </si>
  <si>
    <t>Oleeo Ltd</t>
  </si>
  <si>
    <t>Representative Body for Adult Social Care in North Yorkshire</t>
  </si>
  <si>
    <t>HASLT :14/03/2024
HASEX: 12/04/2024</t>
  </si>
  <si>
    <t>Disabled Childrens Services APL</t>
  </si>
  <si>
    <t>42 + 24</t>
  </si>
  <si>
    <t>HASLT: 18/01/2024
HASEX: 09/02/2024</t>
  </si>
  <si>
    <t>Library Management System (PMO: 4021)</t>
  </si>
  <si>
    <t>Area 3
Huntriss Row
Scarborough Footway Special and R&amp;R
A30003 TP5</t>
  </si>
  <si>
    <t>Cerys Townend</t>
  </si>
  <si>
    <t>Clinical waste contract</t>
  </si>
  <si>
    <t>Pobble - Pupil Engagement tool</t>
  </si>
  <si>
    <t>Pobble</t>
  </si>
  <si>
    <t>Legionella Monitoring and Maintenance of Water Supplies</t>
  </si>
  <si>
    <t>DN539838</t>
  </si>
  <si>
    <t xml:space="preserve">Concierge Services at George Nicking House </t>
  </si>
  <si>
    <t>Dr Kevin Carr</t>
  </si>
  <si>
    <t>Housing Management System</t>
  </si>
  <si>
    <t>Winter Health - Warm &amp; Well</t>
  </si>
  <si>
    <t>HASLT: 18/02/2021 
HAS EX: 12/03/2021</t>
  </si>
  <si>
    <t>Special Educational Needs Home to School Transport - x3 schools (The Forest, Springwater, Woodlands)</t>
  </si>
  <si>
    <t>PRO177</t>
  </si>
  <si>
    <r>
      <t>60+</t>
    </r>
    <r>
      <rPr>
        <sz val="10"/>
        <rFont val="Calibri"/>
        <family val="2"/>
        <scheme val="minor"/>
      </rPr>
      <t>36+24</t>
    </r>
  </si>
  <si>
    <t>Technology Enabled Care System (ex-RiDC)</t>
  </si>
  <si>
    <t xml:space="preserve">Secureshield </t>
  </si>
  <si>
    <t>John Turnbull/Sophie Johnson</t>
  </si>
  <si>
    <t>HASLT: 07/12/2023
HASEX: 09/02/2024</t>
  </si>
  <si>
    <t xml:space="preserve">Adult Social Care </t>
  </si>
  <si>
    <r>
      <rPr>
        <sz val="10"/>
        <color rgb="FF000000"/>
        <rFont val="Calibri"/>
        <family val="2"/>
      </rPr>
      <t>36+</t>
    </r>
    <r>
      <rPr>
        <sz val="10"/>
        <color rgb="FFFF0000"/>
        <rFont val="Calibri"/>
        <family val="2"/>
        <scheme val="minor"/>
      </rPr>
      <t>12</t>
    </r>
  </si>
  <si>
    <t>James Gilroy / Alan Palfreyman</t>
  </si>
  <si>
    <t>Harrogate Woodfield School - refresh and maintenance</t>
  </si>
  <si>
    <t>DOMESTIC ABUSE - Therapeutic Services (children)</t>
  </si>
  <si>
    <t>Outdoor learning service Bewerley Park reconfiguration
Replacement of residential blocks in phases</t>
  </si>
  <si>
    <t>Oracle E-Business Suite - Third Party Support and Maintenance</t>
  </si>
  <si>
    <t>Bramble Hub</t>
  </si>
  <si>
    <t>Virgin / NG Bailey</t>
  </si>
  <si>
    <t>Approved Provider List (APL) - Specialist Care</t>
  </si>
  <si>
    <r>
      <t>36</t>
    </r>
    <r>
      <rPr>
        <sz val="10"/>
        <rFont val="Calibri"/>
        <family val="2"/>
        <scheme val="minor"/>
      </rPr>
      <t>+12+12</t>
    </r>
  </si>
  <si>
    <r>
      <rPr>
        <sz val="10"/>
        <color rgb="FF000000"/>
        <rFont val="Calibri"/>
        <family val="2"/>
      </rPr>
      <t>24+</t>
    </r>
    <r>
      <rPr>
        <sz val="10"/>
        <color rgb="FFFF0000"/>
        <rFont val="Calibri"/>
        <family val="2"/>
      </rPr>
      <t>24</t>
    </r>
  </si>
  <si>
    <t>Telephony - Corporate Mobile Phones - Smartphone and basic mobile contracts</t>
  </si>
  <si>
    <t>LH001</t>
  </si>
  <si>
    <t>Administration and Finance for Crematorium Services (Plotbox) G Cloud 12 Framework (RM1557.12) (To include BACAS / Clearskies contracts)</t>
  </si>
  <si>
    <t>Phillipa O’Brien</t>
  </si>
  <si>
    <t>HR Recruitment Main Admin System (Havas People)</t>
  </si>
  <si>
    <t>Netscaler, ADC licensing and hardware support (Citrix)</t>
  </si>
  <si>
    <t>HP IMC - support</t>
  </si>
  <si>
    <t>Marsh</t>
  </si>
  <si>
    <t>NYNET Solutions Agreement / Corporate WAN
(currently Nynet)</t>
  </si>
  <si>
    <t>Young Peoples Pathway
Prevention &amp; Reconnection (Pathway 1 (Foundation)
Managed Accommodation (Pathway 2 (Foundation)
Emergency &amp; Extended Supported Lodgings (Pathway 2 (SASH))</t>
  </si>
  <si>
    <t>41325 / 49087</t>
  </si>
  <si>
    <t>Specialist Training for NY Highways</t>
  </si>
  <si>
    <t>Lot 1: TQ Exel
Lot 2: Melmerby Training Services</t>
  </si>
  <si>
    <t>Garden Waste Licences 2025 onwards</t>
  </si>
  <si>
    <t>Permiserve</t>
  </si>
  <si>
    <t>Framework Contract for Security Services</t>
  </si>
  <si>
    <r>
      <rPr>
        <sz val="10"/>
        <color rgb="FFFF0000"/>
        <rFont val="Calibri"/>
        <family val="2"/>
        <scheme val="minor"/>
      </rPr>
      <t>24</t>
    </r>
    <r>
      <rPr>
        <sz val="10"/>
        <color rgb="FF000000"/>
        <rFont val="Calibri"/>
        <family val="2"/>
        <scheme val="minor"/>
      </rPr>
      <t>+12+12</t>
    </r>
  </si>
  <si>
    <t>£650,000</t>
  </si>
  <si>
    <t>Stuart Clark</t>
  </si>
  <si>
    <t>HR &amp; Payroll System
(currently ResourceLink)</t>
  </si>
  <si>
    <t>Unaccompanied Asylum Seeking Children's Bedspaces</t>
  </si>
  <si>
    <t>Public Conveniences</t>
  </si>
  <si>
    <t>Harry Briggs</t>
  </si>
  <si>
    <t>Zipporah Ltd</t>
  </si>
  <si>
    <t>DN475845</t>
  </si>
  <si>
    <t>Section 106 - Community Infrastructure Levy Support and Maintenance Software</t>
  </si>
  <si>
    <t>Extra Care Housing - Harrogate</t>
  </si>
  <si>
    <t>DN418993</t>
  </si>
  <si>
    <t>Medical advice for adoption and fostering panels</t>
  </si>
  <si>
    <t xml:space="preserve">Community First Yorkshire </t>
  </si>
  <si>
    <t>Supported Living - immediate needs</t>
  </si>
  <si>
    <t>HASLT: 16/06/2022</t>
  </si>
  <si>
    <t>Community Equipment</t>
  </si>
  <si>
    <t>Medequip Assistive Technology Ltd</t>
  </si>
  <si>
    <t>Mandy Welsh</t>
  </si>
  <si>
    <t>16+12</t>
  </si>
  <si>
    <t>Public Health GP Provider List (PMO: 4049)</t>
  </si>
  <si>
    <t>HASLT: 07/09/2023
HASEX: 13/10/2023</t>
  </si>
  <si>
    <t>Public Health Pharmacy Provider List (PMO: 4049)</t>
  </si>
  <si>
    <t xml:space="preserve">Leisure Services (ex- RyDC) </t>
  </si>
  <si>
    <t>10+5</t>
  </si>
  <si>
    <t>DN366165</t>
  </si>
  <si>
    <t>Dementia Support and Advice Services</t>
  </si>
  <si>
    <t>Dementia Forward</t>
  </si>
  <si>
    <t>HASLT 17/11/2022
HASEX - 07/12/2022</t>
  </si>
  <si>
    <t>Carol Armstrong</t>
  </si>
  <si>
    <t xml:space="preserve">Corporate CRM (Customer Relationship Management) System </t>
  </si>
  <si>
    <t>Advocacy Services :
- Independent Health Complaints
- CYPS Advocacy
- HAS Advocacy</t>
  </si>
  <si>
    <t>DPS Establish</t>
  </si>
  <si>
    <t>Manse Farm, Knaresborough New Primary School
Re tender</t>
  </si>
  <si>
    <t>E-Books / E-Audio</t>
  </si>
  <si>
    <t>Special Educational Needs Home to School Transport - x8 schools (Applefields, Brooklands, The Dales, Hob Moor, Mowbray (x2), Springhead, Welburn Hall)</t>
  </si>
  <si>
    <t>24-36 months</t>
  </si>
  <si>
    <t>24-36 months + 2 x 12 month extensions (Max 5 years)</t>
  </si>
  <si>
    <t>Previous KD: 19/07/2022</t>
  </si>
  <si>
    <t>SDC2019 022</t>
  </si>
  <si>
    <t>Reactive Materials Supplies</t>
  </si>
  <si>
    <t>Variable</t>
  </si>
  <si>
    <t>SDC2019 023</t>
  </si>
  <si>
    <t>Weed Control Services</t>
  </si>
  <si>
    <t>DTMS Group</t>
  </si>
  <si>
    <t>Grant Management Software (Flexigrants)</t>
  </si>
  <si>
    <t>Fluent Technology</t>
  </si>
  <si>
    <t>Richard Connor / Kirstie Baxter</t>
  </si>
  <si>
    <t>Demolition of buildings Grammar School Lane, Northallerton</t>
  </si>
  <si>
    <t>Lone Worker Solutions (PMO: 3886)</t>
  </si>
  <si>
    <t>Skyguard Limited (trading as Peoplesafe)</t>
  </si>
  <si>
    <t xml:space="preserve">Yore New 
293 Wall take down and rebuild </t>
  </si>
  <si>
    <t>Arboricultural Services</t>
  </si>
  <si>
    <t>Subscription to CollectionHQ (Libraries)</t>
  </si>
  <si>
    <t>Easingwold Three Gables Bridge Painting</t>
  </si>
  <si>
    <t>Provision of vouchers for the supply of e-cigarettes and associated products</t>
  </si>
  <si>
    <t>HASEX: 22/03/2023</t>
  </si>
  <si>
    <t>Scott Chapman / Mark O'Brien</t>
  </si>
  <si>
    <t>Winter Service - Forecasting and Bureau Services</t>
  </si>
  <si>
    <t xml:space="preserve">Weather Forecasting Contract and Weather Station Bureau Service Contract </t>
  </si>
  <si>
    <t>Ripon Barracks New Primary School</t>
  </si>
  <si>
    <t>Interim supply of wheeled bins</t>
  </si>
  <si>
    <t>Supply and potential delivery of waste bins - wheeled post transformation</t>
  </si>
  <si>
    <t>tbs</t>
  </si>
  <si>
    <t xml:space="preserve">Harrogate West Two Primary Schools </t>
  </si>
  <si>
    <t>Civil Engineering Contractors Framework
(Refresh to current in train framework)</t>
  </si>
  <si>
    <t>SDC2020 020</t>
  </si>
  <si>
    <t>Air Source Heat Pumps</t>
  </si>
  <si>
    <t xml:space="preserve">Hard FM (Lot 7) - Chimneys, Lighting Conductors </t>
  </si>
  <si>
    <t xml:space="preserve">Hard FM (Lot 9) - Fire Equipment </t>
  </si>
  <si>
    <t xml:space="preserve">Hard FM (Lot 12) - Asbestos Abatement </t>
  </si>
  <si>
    <t>Barbara Merrygold / Stuart Williams</t>
  </si>
  <si>
    <t>DN219723</t>
  </si>
  <si>
    <t>Pay on Foot Parking Systems; Jubliee and Victoria Multi Storey Car Parks, Harrogate</t>
  </si>
  <si>
    <t>Fleet Management System
(currently provided by AssetWorks) Civica</t>
  </si>
  <si>
    <t>Asset Works</t>
  </si>
  <si>
    <t>Waste Management Services post 2025</t>
  </si>
  <si>
    <t>Waste Management Services 2015</t>
  </si>
  <si>
    <r>
      <t>120+</t>
    </r>
    <r>
      <rPr>
        <sz val="10"/>
        <color rgb="FFFF0000"/>
        <rFont val="Calibri"/>
        <family val="2"/>
      </rPr>
      <t>60</t>
    </r>
  </si>
  <si>
    <t>Extra Care Housing - future provision</t>
  </si>
  <si>
    <t>Sally Anderson</t>
  </si>
  <si>
    <t>Financial Forecasting Software - licences
(currently Oracle PBCS (Planning Budget Cloud Service) - contract with Insight as a re-seller)</t>
  </si>
  <si>
    <t>Insight</t>
  </si>
  <si>
    <r>
      <t>60+</t>
    </r>
    <r>
      <rPr>
        <sz val="10"/>
        <rFont val="Calibri"/>
        <family val="2"/>
        <scheme val="minor"/>
      </rPr>
      <t>12+12</t>
    </r>
  </si>
  <si>
    <t>SDC2021022</t>
  </si>
  <si>
    <t xml:space="preserve">Hard FM (Lot 1) - Responsive Maintenance with Lot 3 - Alarms </t>
  </si>
  <si>
    <t>SDC2021 035</t>
  </si>
  <si>
    <t>On-line Registrar, Births, Deaths and Marriages - Online Appointments System (PMO Ref: TBC)</t>
  </si>
  <si>
    <t>Kitchen Management System and Associated Hardware</t>
  </si>
  <si>
    <t>DN526947</t>
  </si>
  <si>
    <t>Purchase of Building (Electrical) Materials 2019 (HBC)</t>
  </si>
  <si>
    <t>Citrix ADC Software (includes hardware, support and maintenance)
(currently contract with Softcat as a re-seller)</t>
  </si>
  <si>
    <t>36+24+6</t>
  </si>
  <si>
    <t>Original KD: 28/04/2022</t>
  </si>
  <si>
    <t>Ambient and shelf stable food products</t>
  </si>
  <si>
    <t xml:space="preserve">Joanne Simpson / Jane Newman </t>
  </si>
  <si>
    <t>Adobe Licences (Corporate - All)</t>
  </si>
  <si>
    <t>Bytes</t>
  </si>
  <si>
    <t>Previous contract: 15/03/2023</t>
  </si>
  <si>
    <t>Paul Lofthouse / Richard Connor</t>
  </si>
  <si>
    <t>Hardware Security Modules (currently includes hardware, support and maintenance)
(currently provided by Thales - contract with Insight as a re-seller via IT Hardware Partner contract)</t>
  </si>
  <si>
    <t>DN289887</t>
  </si>
  <si>
    <t>Harrogate District CCTV Network Maintenance, Servicing and Additional Works</t>
  </si>
  <si>
    <t>Concerto</t>
  </si>
  <si>
    <t>Zoe Hide/ Jon Holden</t>
  </si>
  <si>
    <t>Income Management and Card Payments System</t>
  </si>
  <si>
    <t xml:space="preserve">Key Decision  </t>
  </si>
  <si>
    <t>Robotic Automation</t>
  </si>
  <si>
    <t>T-Impact Ltd</t>
  </si>
  <si>
    <t>Hot boxes for ashphalt</t>
  </si>
  <si>
    <t>Highways Asset Management System (PMO Ref: 3175)</t>
  </si>
  <si>
    <t>Symology Limited</t>
  </si>
  <si>
    <t>Gary Cochrane (PM) / Zoe Hide (T&amp;C)</t>
  </si>
  <si>
    <t>Arboriculture Asset Management System
(currently Arbortrack Web)</t>
  </si>
  <si>
    <t>TriNova Systems Limited</t>
  </si>
  <si>
    <t>Vending Machines</t>
  </si>
  <si>
    <t>Livewell Vending Ltd</t>
  </si>
  <si>
    <t>Martyn Chesworth/ Stuart Winslow – Stuart.Winslow@brimhamsactive.co.uk  Ben Cutting - ben.cutting@brimhamsactive.co.uk</t>
  </si>
  <si>
    <t>LS024</t>
  </si>
  <si>
    <t xml:space="preserve">Leisure Development Partner (HDC) </t>
  </si>
  <si>
    <t xml:space="preserve">School Improvement &amp; Locality Boards  </t>
  </si>
  <si>
    <t>Amanda Newbold / Howard Emmett/ Janet Crawford</t>
  </si>
  <si>
    <t>DN560044 / 26113</t>
  </si>
  <si>
    <t>DN199463 (CONTRACT-A9VJ-T406WA)</t>
  </si>
  <si>
    <t>Provision of Fish Market Services</t>
  </si>
  <si>
    <t xml:space="preserve">Cayton &amp; Flixton Lowland Peatland Project </t>
  </si>
  <si>
    <t>Green Asset Bank for York</t>
  </si>
  <si>
    <t>Growth Hub SPF Peer-to-Peer</t>
  </si>
  <si>
    <t>LEP Skills Bootcamps</t>
  </si>
  <si>
    <t>Coroners Case Management System</t>
  </si>
  <si>
    <t>WPC Software</t>
  </si>
  <si>
    <t>Lorena Phillips / Jemma Gotts</t>
  </si>
  <si>
    <t>Passenger Transport System</t>
  </si>
  <si>
    <t>45+12+12</t>
  </si>
  <si>
    <r>
      <t>60+12+</t>
    </r>
    <r>
      <rPr>
        <sz val="10"/>
        <rFont val="Calibri"/>
        <family val="2"/>
        <scheme val="minor"/>
      </rPr>
      <t>12</t>
    </r>
  </si>
  <si>
    <t>Insurance and Claims Management System (PMO Ref: 1587)
(currently EvoClaim, provided by DWF 360)</t>
  </si>
  <si>
    <t>DN406816</t>
  </si>
  <si>
    <t>Commercial Appliances in council accommodation (HBC)</t>
  </si>
  <si>
    <t>SDC2021 032</t>
  </si>
  <si>
    <t>Level Access Showers as part of the Disabled Facilities Grant (SDC)</t>
  </si>
  <si>
    <t>DN TBC</t>
  </si>
  <si>
    <t>Healthy Child Programme</t>
  </si>
  <si>
    <t>Education Case Management System 
Project Kairos (2020 PMO Ref: 1940)</t>
  </si>
  <si>
    <t>NYC Approved Provider List:
 - Supported Living 
 - Nursing &amp; Residential 
 - Home Based Support
 - Community Based Support</t>
  </si>
  <si>
    <t xml:space="preserve">HASLT: 25/11/2021 
HAS EX: 10/12/2021
Full Executive: 25/01/2022
HASLT: 07/07/2022 </t>
  </si>
  <si>
    <t>Purchase of Power (Electricity) for corporate, schools and streetlighting from 2028</t>
  </si>
  <si>
    <t>Jon Holden / Katherine Edge</t>
  </si>
  <si>
    <t>Trailblazer modules -  contract variation to Liquid Logic (HAS Funded)</t>
  </si>
  <si>
    <t>Liquid Logic</t>
  </si>
  <si>
    <t>Yes
(Decision Record also completed for LLA variation)</t>
  </si>
  <si>
    <t>13/05/2021
(17/03/23)</t>
  </si>
  <si>
    <t>Lorena Phillips / Emma Pemberton / Cath Ritchie</t>
  </si>
  <si>
    <t>Stonefall Replacement Cremators</t>
  </si>
  <si>
    <t>PRO154</t>
  </si>
  <si>
    <t>Cremator Inspection</t>
  </si>
  <si>
    <t>Allerton Waste Recovery Park</t>
  </si>
  <si>
    <t>potential for future requirement</t>
  </si>
  <si>
    <t>LC001</t>
  </si>
  <si>
    <t xml:space="preserve">CCTV services - confirm if can use S'Boro contract </t>
  </si>
  <si>
    <t>19/11/2024</t>
  </si>
  <si>
    <t>2023/03/16 all under one post LGR?  no longer required? to be confirmed</t>
  </si>
  <si>
    <t>Mobile Library</t>
  </si>
  <si>
    <t>Levelling Up Fund (LUF) Catterick Garrison - buildings &amp; civils/public realm</t>
  </si>
  <si>
    <t>Levelling Up Fund (LUF) Catterick Garrison - artist commissioning</t>
  </si>
  <si>
    <t>Levelling Up Fund (LUF) Catterick Garrison - building occupier</t>
  </si>
  <si>
    <t>Levelling Up Fund (LUF) Malton station and public realm between Malton and Norton</t>
  </si>
  <si>
    <t>Levelling Up Fund (LUF) Seamer Rail / Road Bridge</t>
  </si>
  <si>
    <t>Levelling Up Fund (LUF) Scarborough Transport Hub / public realm</t>
  </si>
  <si>
    <t>Levelling Up Fund (LUF) Thirsk Platform</t>
  </si>
  <si>
    <t>WS018</t>
  </si>
  <si>
    <t>Collection and In Cab software via Crown Comercials framework</t>
  </si>
  <si>
    <t>29/03/2025</t>
  </si>
  <si>
    <t>IC028</t>
  </si>
  <si>
    <t>Infrastructure 5th Node</t>
  </si>
  <si>
    <t>30/11/2025</t>
  </si>
  <si>
    <t>SH001</t>
  </si>
  <si>
    <t>Social Housing Properties for use as temporary accommodation (HDC)</t>
  </si>
  <si>
    <t>SH004</t>
  </si>
  <si>
    <t>Sub Regional Housing Partnership (including Rural Housing Enabler Network)</t>
  </si>
  <si>
    <t>HVAC Replacement Halls B&amp;C Heating &amp; Cooling units, Harrogate Convention Centre</t>
  </si>
  <si>
    <t>Lift Replacement, Harrogate Convention Centre
QS/1 Queen Suite</t>
  </si>
  <si>
    <t>West of Harrogate Consultancy</t>
  </si>
  <si>
    <t>Market Place/Abbey/Selby Park Threshold Improvements</t>
  </si>
  <si>
    <t>Future procurement</t>
  </si>
  <si>
    <t>poss £1m</t>
  </si>
  <si>
    <t>Sherburn Low St East/Wolsey Croft Pedestrian / Village Centre Improvements</t>
  </si>
  <si>
    <t>poss £500k</t>
  </si>
  <si>
    <t>Selby Park Improvements</t>
  </si>
  <si>
    <t>Leveling up Funding government grants</t>
  </si>
  <si>
    <t>UK prosperity Fund</t>
  </si>
  <si>
    <t>Priority Place Plan Delivery</t>
  </si>
  <si>
    <t>Spring 2023</t>
  </si>
  <si>
    <t>Project Sunshine</t>
  </si>
  <si>
    <t>Lynn Williams</t>
  </si>
  <si>
    <t>Fleet hire options appraisal</t>
  </si>
  <si>
    <t>SDC2017 121</t>
  </si>
  <si>
    <t>CCTV Monitoring, Maintenance, Alarm Monitoring &amp; Keyholding (SDC)</t>
  </si>
  <si>
    <t>Non Operated Plant Hire</t>
  </si>
  <si>
    <t>Harrogate Convention Centre Redevelopment / HCC
Venue Operators
Mechanical and Electrical Plant</t>
  </si>
  <si>
    <t>Fairfax Community Centre development</t>
  </si>
  <si>
    <t>Housing maintenance DPS</t>
  </si>
  <si>
    <t>UK Shared Prosperity Fund and Rural England Prosperity Fund 
(see also UKSPF - VCS Partnership Programmes) (see also Grow Yorkshire - UK Shared Prosperity Fund)</t>
  </si>
  <si>
    <t>Replacement bathroom programme</t>
  </si>
  <si>
    <t>ASHP Replacement heating</t>
  </si>
  <si>
    <t>Welburn Hall Maintenance Scheme
Heating, drainage attenuation and fire alarm works</t>
  </si>
  <si>
    <t>Chris Bourne</t>
  </si>
  <si>
    <t>Parking Machine Replacement Programme</t>
  </si>
  <si>
    <t>Area 3 F374 Museum Terrace, Scarborough Special
Grade II listed stone steps</t>
  </si>
  <si>
    <t>Langton Primary Kitchen extension and ancillary works and drainage scheme</t>
  </si>
  <si>
    <t>Air Conditioning (RDC)</t>
  </si>
  <si>
    <t>Cladding &amp; roof replacement (depot) (RDC)</t>
  </si>
  <si>
    <t>SDC2022 008</t>
  </si>
  <si>
    <t>Artist to devise and deliver a programme of participatory work on Tadcaster's 'High Street'.  Part 1 R&amp;D to define and develop larger project in progress, part 2 to be delivered by same artist cost dependant on findings of part 1</t>
  </si>
  <si>
    <t>Scarborough Public Art</t>
  </si>
  <si>
    <t xml:space="preserve">Assorted artist interventions for TCF/Place &amp; Movement/Selby town centre revitalisation work </t>
  </si>
  <si>
    <t>Art for TCF</t>
  </si>
  <si>
    <t>Scarborough Musuems Trust (Merger of SMT/CIC)</t>
  </si>
  <si>
    <t>Scarborough Towns Fund: Wild Eye</t>
  </si>
  <si>
    <t>Warden Call Phase 2</t>
  </si>
  <si>
    <t>Public Conveniences - cleaning and restocking</t>
  </si>
  <si>
    <t>County Hall Data Centre Servicing &amp; Maintenance Contract</t>
  </si>
  <si>
    <t xml:space="preserve">Active Travel Across the County A60011
A59 (Maple Close, Harrogate to Knaresborough)
Victoria Avenue, Harrogate                                                                                          
</t>
  </si>
  <si>
    <t>Homelessness provision in Scarborough</t>
  </si>
  <si>
    <t>Procurement of consultant team for Old Town Hall, Whitby</t>
  </si>
  <si>
    <t>County Hall - Alternative heating</t>
  </si>
  <si>
    <t>Property Level Resilience</t>
  </si>
  <si>
    <t xml:space="preserve">Multi-Agency Training - Domestic Abuse </t>
  </si>
  <si>
    <t xml:space="preserve">Professional </t>
  </si>
  <si>
    <t xml:space="preserve">Domestic Abuse - Strategic Needs Assessment </t>
  </si>
  <si>
    <t>Education other than in school (EOTAS)</t>
  </si>
  <si>
    <t>Whitby scheme 1 / Junction improvement</t>
  </si>
  <si>
    <t>Whitby scheme 2 / Public realm works</t>
  </si>
  <si>
    <t>Kingsley Farm Resurfacing s278
Bogs Lane, Harrogate</t>
  </si>
  <si>
    <t>Jasmin Gibson</t>
  </si>
  <si>
    <t>TP4 Thirsk Market Place Phase 1 Special A20014
Boltby Mill to Boltby
Crayke Road
Stillington Road</t>
  </si>
  <si>
    <t>SRF - A6108 Package 3 Skid resistance improvements A10020</t>
  </si>
  <si>
    <t>Westway - High Street, Eastfield
Area 3</t>
  </si>
  <si>
    <t>PSTN/Analogue phone shutdown replacement</t>
  </si>
  <si>
    <t>Music Service System (PMO: 3055)</t>
  </si>
  <si>
    <t>Paritor</t>
  </si>
  <si>
    <t>Scarborough Towns Fund: Cycling and Walking Improvements</t>
  </si>
  <si>
    <t>Whitby Towns Fund: Bloomfields Farm Net Zero Living</t>
  </si>
  <si>
    <t>Whitby Towns Fund: Harbourside Public Realm: Pedestrianisation of Whitby Bridge</t>
  </si>
  <si>
    <t>Framework Contract for Disabled Adapations</t>
  </si>
  <si>
    <t>Sands Water Park - Settlement of Outstanding Rent Proposals</t>
  </si>
  <si>
    <t>£1,452,000</t>
  </si>
  <si>
    <t>DFG bathroom adaptations and Minor works.  Multiple categories, several tenders required.
(Disability Support Grant)</t>
  </si>
  <si>
    <t>Carbon Zero Pilot Scheme for approx 85/100 properties in the Harrogate District / Improve Energy Efficiency of Council Houses</t>
  </si>
  <si>
    <t>DN287018</t>
  </si>
  <si>
    <t>Reactive Repairs &amp; Maintenance</t>
  </si>
  <si>
    <t>Scarborough Towns Fund - Scarborough Fair Project Delivery / Fayre / Fare</t>
  </si>
  <si>
    <t>Scarborough Spa &amp; Whitby Pavilion - Provision of Alcohol &amp; Soft Drinks</t>
  </si>
  <si>
    <t>Halls A-E Roofing repairs - allowance for repairs</t>
  </si>
  <si>
    <t>Pump Room Museum</t>
  </si>
  <si>
    <t>Extension to Council Property MA3876 (DDA)</t>
  </si>
  <si>
    <t>Extension to Council Property MA3806 (DDA)</t>
  </si>
  <si>
    <t>Extension to Council Property MA3782 (DDA)</t>
  </si>
  <si>
    <t>Extension Forest Drive (DDA)</t>
  </si>
  <si>
    <t xml:space="preserve">RLT Funding Agreement Contract </t>
  </si>
  <si>
    <t>Solar Panel Annual Servicing and Maintenance</t>
  </si>
  <si>
    <t>Flooding - Property Surveys</t>
  </si>
  <si>
    <t>Whitby Swing Bridge Painting and Surfacing</t>
  </si>
  <si>
    <t>Manned Guarding service - Aireview House, 56 Broughton Road, Skipton, BD23 1SS</t>
  </si>
  <si>
    <t>Paul Cole</t>
  </si>
  <si>
    <t>22/23 Approved Cap Programme</t>
  </si>
  <si>
    <t>FY2324Q2</t>
  </si>
  <si>
    <t>Trojan Consultants Ltd</t>
  </si>
  <si>
    <t>Date of Lead Officer update/review (DD/MM/YYYY)</t>
  </si>
  <si>
    <t xml:space="preserve">Days since FPP Last Updated
</t>
  </si>
  <si>
    <t>Initial Term/ Extension</t>
  </si>
  <si>
    <t>Cleaning and Janitorial (Currently YPO)</t>
  </si>
  <si>
    <t>Shaun Mancrief / Buying Team</t>
  </si>
  <si>
    <t>KL taking this forward under Covid-19 special variation / extension.  Michelle Martin and Kendra Nell happy to continue with current arrangement.  Work already ongoing between MM and Graham Millichap to establish a single core list ahead of next year's reprocurement, however, this has probably paused due to COVID-19.  YPO framework due to end 30 June 2020 - advice is that arrangements can be extended as long as this is done before the end of the current framework and subject to agreement with suppliers. Catch up with KN, GM, BN 28/04. Decision to be reviewed in June 2020.</t>
  </si>
  <si>
    <t>CLEAR Approach consultancy, Harrogate &amp; Rural Alliance</t>
  </si>
  <si>
    <t>Helena Turkington / Pam McCourt</t>
  </si>
  <si>
    <t>Deleted - not going ahead</t>
  </si>
  <si>
    <t>Moved to People</t>
  </si>
  <si>
    <t xml:space="preserve">Final 12 month extension to take in 2021. Gcloud. Business Area are not taking the extension for this. Sophie Midcalf working on the Procurement for this. </t>
  </si>
  <si>
    <t>Email from David confirming the license lapsed at the end of the last contract and was not renewed.  No further action required.</t>
  </si>
  <si>
    <t>SDC2021 023</t>
  </si>
  <si>
    <t>Workwear &amp; PPE</t>
  </si>
  <si>
    <t xml:space="preserve">Systemic Training </t>
  </si>
  <si>
    <t>Following pilot decision to be made</t>
  </si>
  <si>
    <t>Systemic Training Pilot</t>
  </si>
  <si>
    <t>Advised on best value process for pilot</t>
  </si>
  <si>
    <t xml:space="preserve">YPO unable to support with this procurement No framework til the end of the year no licence framework at this time. We need to sort this one ourself. Is this cost per year or per school.          </t>
  </si>
  <si>
    <t>Total spend to date £10,865.45 since 14/15. Total for 18/19 £1115.00. Best Value form covers until 31/03/2021. Need to check spend for 20/21 to ensure still under £25k threshold. Emailed Louise to find out update with extension and spend. Lifetime cost currently at £6786 so below 25k. CHased Louise 30/11/20 Chased Louise to find out if this needs renewing. Yortender states this does not have an option for an extension. Chased Louise again. Can they do their own BV as its only 25k. Stacey checking with SICT. Asked Stacey. The service no longer wish to continue and have let the supplier know</t>
  </si>
  <si>
    <t>Harrogate Smart Parking</t>
  </si>
  <si>
    <t>Jon Savage/Nick Leggot</t>
  </si>
  <si>
    <t>25/03/2021 Harrogate are going to take over the procurement as the G-Cloud agrement will be direct with Harrogate. Caught up with Jayne today to hand over.
11/03/2021 Jon informed that both HBC and NYCC are postponing their member sign-off by a month to the end of April and agreement has been made that HBC will be the Contracting Authority on the G-Cloud call-off.
25/02/2021 Jon informed Barrie and Robert of the urgent change to the business case based on yesterdays disussion with legal to move away from the tripartite agreement. THe final business case is due to be reviewed and signed off by BES MT on 8th March.
24/02/2021 Initial meeting with Katie (legal) to discussion tripartite agreement option through G-Cloud. Advised that it would be easier for Harrogate to contract directly with the supplier and have an SLA between NYCC and Harrogate.
05/01/2021 Shared the G-Cloud call-off contract document with the project team and talked Jon Savage through the various filter options which we will need to consider for the G Could desktop evalaution.
17/12/2020 A Summary of the discovery sessions, the current arrangement, HBC &amp; NYCC's requirements, and the available options for this service going forward was presented to the Harrogate Smart Board. It was recommended to the Board that we undertook option 4 (Procure via G Cloud 12) as this route allows us to secure a supplier without hardware capital costs and the incumbent is on the framework. This also aligns with greater aspirations for County wide roll out post the LGR and the impact of Covid-19 has reduced on town parking. The Board have approved this approach.
04/12/2020 Jon Savage has collected the groups notes on all the engagement sessions to formulate specification discussions between Harroagte BC and NYCC.
25/11/2020 Engagement sessions booked in with 5 suppliers from the RFI over 27 November to 01 December 2020.
22/10/2020 RFI published to hold market engagement sessions in November 2020. RFI closes 11/11/2020.
07.10.2020 Patricia is going to pick this up initallly with Laura's support to give advise on market engagement and the procurement timeline and routes to market. Depending on what the time line and procurement route look like, this may need to be reallocated due to Tricia's other work committments. Requested that Jon Savage speak to Tricia today to give her more details on the requirement</t>
  </si>
  <si>
    <t>Workshop system for Highways Teckal (1link)</t>
  </si>
  <si>
    <t>Not required - NYH only, to be done via BVF by them.</t>
  </si>
  <si>
    <r>
      <t>36+</t>
    </r>
    <r>
      <rPr>
        <sz val="11"/>
        <color rgb="FFFF0000"/>
        <rFont val="Calibri"/>
        <family val="2"/>
        <scheme val="minor"/>
      </rPr>
      <t>12</t>
    </r>
    <r>
      <rPr>
        <sz val="11"/>
        <rFont val="Calibri"/>
        <family val="2"/>
        <scheme val="minor"/>
      </rPr>
      <t>+</t>
    </r>
    <r>
      <rPr>
        <sz val="11"/>
        <color theme="1"/>
        <rFont val="Calibri"/>
        <family val="2"/>
      </rPr>
      <t>12</t>
    </r>
  </si>
  <si>
    <t>Improvement plan to be looked at in meeting Tuesday 1st June. Gateway 4 to be drafted. Framework is changing. We will need to either extend under lot 2 or get a new framework. Sarah to send Vicky details and Vicky to put meeting in with Katie to discuss this going forward. New framework to be put in place for this.</t>
  </si>
  <si>
    <t>Jon Tilley</t>
  </si>
  <si>
    <r>
      <t xml:space="preserve">Jon Tilley: Suggest that the service continues to 08/21, but is reviewed nearer the time to look at the possibility of other similar systems on the market, that could be a better product and service or more cost effective.
There is a discussion to be held around whether this continues to be funded through locality budgets, or whether provision is moved to the Assistive Technology contract with NRS (led by Michael Rudd). To pick up in Jan 21. </t>
    </r>
    <r>
      <rPr>
        <sz val="11"/>
        <color rgb="FFFF0000"/>
        <rFont val="Calibri"/>
        <family val="2"/>
        <scheme val="minor"/>
      </rPr>
      <t>Sophie to pick up.  Now speaking with Mike Rudd and Beckie Dukes to review their requirements 11/03.  The original agreement was a best value process as the value was under £25k.  If they choose to continue with Just Checking, they won't be able to reaward using Best Value again. The service area are about to trial a new service called Canary.  If this is successful it will be used through AT and their existing agreement. Booked in a meeting to review this at the start of June to see if the trial is proving successful or not.</t>
    </r>
  </si>
  <si>
    <t>Mobile Forensic Decryption tools</t>
  </si>
  <si>
    <t>We may need resourcing to assist with a large purchase – perhaps upwards of £60k.  Further information will follow when we know more detail -  we’ve just been told that this may need to happen by end of April.  Obtaining more details from Matt 25/02 - 12 month grace period?  Matt to send further details on this one. Might be direct award if only 1 supplier can offer full package of requirements 21/04: Matt wants to continue with Cellebrite, who they've used for past 10 years.  Looking at routes to market to arrange contract with them, previous costs have fallen under £25k. Needs to be in place by Sept/Oct 2021</t>
  </si>
  <si>
    <t>North Yorkshire Digital Infrastructure Programme (1) IOT Network for Health, tourism, agriculture and Highways.</t>
  </si>
  <si>
    <t>Programme is 3 projects - grant funded, further information to follow</t>
  </si>
  <si>
    <t>North Yorkshire Digital Infrastructure Programme (2) Town centre WIFI</t>
  </si>
  <si>
    <t>North Yorkshire Digital Infrastructure Programme (3) Business Park LLFN Investment</t>
  </si>
  <si>
    <t>Supply of Battery &amp; Mains Powered Real Time Technology Products &amp; Services
(new provision)</t>
  </si>
  <si>
    <t>Director's Recommendation was signed off and Cathy was liaising with Legal re T&amp;Cs to be used; however, this was then put on hold.</t>
  </si>
  <si>
    <t>Virtual Learning Platform</t>
  </si>
  <si>
    <t>Adrian Clarke</t>
  </si>
  <si>
    <t>Project can be closed, may no longer be required.</t>
  </si>
  <si>
    <t>Roger Fairholm / Andy McLay</t>
  </si>
  <si>
    <t>Abandoned in favour of Direct award via Framework.</t>
  </si>
  <si>
    <r>
      <t>12+9+</t>
    </r>
    <r>
      <rPr>
        <sz val="11"/>
        <color rgb="FFFF0000"/>
        <rFont val="Calibri"/>
        <family val="2"/>
        <scheme val="minor"/>
      </rPr>
      <t>12</t>
    </r>
  </si>
  <si>
    <t>Legal have advised no option to extend past 2022, SM to commence procurement</t>
  </si>
  <si>
    <t>Fresh Meat and Frozen Goods [Veg/Meat/Fruit/Fish/Bread/Desserts]
(currently supplied by Gilmoors) £10m</t>
  </si>
  <si>
    <t xml:space="preserve">Shaun Mancrief </t>
  </si>
  <si>
    <t>Update 24/09 - this is now to be re-procured.  KL to progress.</t>
  </si>
  <si>
    <t>No longer required.</t>
  </si>
  <si>
    <r>
      <t>13+</t>
    </r>
    <r>
      <rPr>
        <sz val="11"/>
        <color rgb="FFFF0000"/>
        <rFont val="Calibri"/>
        <family val="2"/>
        <scheme val="minor"/>
      </rPr>
      <t>12</t>
    </r>
  </si>
  <si>
    <t xml:space="preserve">20/10/21 - supplier advised the service isn't sustainable and wish to hand contract back.  
Currently investigating the option of a direct award through an ESPO framework (to the supplier that came 2nd in our original evaluation
</t>
  </si>
  <si>
    <t>Community Renewal Fund - Application 30
Food Supply Chain</t>
  </si>
  <si>
    <t>Mark Blakeston</t>
  </si>
  <si>
    <t xml:space="preserve">No CRF funding allocated to this project. </t>
  </si>
  <si>
    <t>Community Renewal Fund - Application 30
Farm Carbon Tool Kit</t>
  </si>
  <si>
    <t>Community Renewal Fund - Application 30
Bio Crop Development - Hemp Special Interest Group</t>
  </si>
  <si>
    <t>Fuel Tank Pump replacement</t>
  </si>
  <si>
    <t>06/10/2021 - Porject does not require procurement resource and decision with regards to contract sits with NY Highways. no action required for now. 
03/09/2021 - Client advised that this project is on hold forward to stacey for infromation. 
Emailed client 17/08/2021 to start inital discussions - awaitng response
Decision on if this falls within NYH or NYCC.
The replacement of the current fuel pumps and fuel infrastructure was discussed during the lead up to NYH going live on the 1st June but the only decision that was made was to keep the existing infrastructure for year one as a minimum, possibly longer. Since roughly March this year I’ve had no further updates so you will need to discuss this with Andrew Sharpin to confirm how they intend to proceed. I did do some work about the different options regarding fuel pumps and infrastructure if you need further info.</t>
  </si>
  <si>
    <t xml:space="preserve"> Track and trace Licences Microsoft </t>
  </si>
  <si>
    <t>Neil Bartram / Wendy Rowley/Christopher Taylor / Gordan Atkin</t>
  </si>
  <si>
    <t xml:space="preserve">Legal confirmed this does not need a specific extension- just renewal of payment. This is not for the full conract, only the licences </t>
  </si>
  <si>
    <t>Community Renewal Fund - Application 35
WP2: Feasibility Studies, Resource and Waste Audits</t>
  </si>
  <si>
    <t>x3 feasibility studies and x3 resource and waste audits.  2 separate ITB documents have been drafted.  Myself and Maria have added our comments in and returned to Katie T for her to review and update.  Aiming to get this out/published by 27/08
No submissions for the Resource &amp; Waste Audits.  Feasibility Studies received 2 bids - these have been evaluated and successful supplier selected.  Awaiting update on funding 
Funding not awarded but keeping this on here in case the LEP find some funding from elsewhere to move these forward</t>
  </si>
  <si>
    <t xml:space="preserve">Current contract 01/11/2011 to 31/10/2021, ~£3,000 maintainance, sporadic costs.  Contacted Karen who passed me over to Roger Fairholm to liaise with on this procurement.  Emailed Roger for info/arrange a call 21/04.  Awaiting response.  
Roger confirms that this is no longer a requirement as none of the equipment is supported/maintained so no further action required.  </t>
  </si>
  <si>
    <t>DN541488</t>
  </si>
  <si>
    <t>Passenger Transport System (PMO Ref: 1989)
(replacement of existing internal PARIS system)</t>
  </si>
  <si>
    <t>44+12+12</t>
  </si>
  <si>
    <t>Emma-Jane Lickiss (PM)</t>
  </si>
  <si>
    <t>Contract not awarded as all responses received failed to meet the functional requirement threshold.  Project to be put back on FPP and go back out to market.</t>
  </si>
  <si>
    <t>Pensions Fund Performance Measurements Advisor</t>
  </si>
  <si>
    <t>36 month + 36 months</t>
  </si>
  <si>
    <t>24/01/2022 - Tom advised that this requirement will be included within the custodian contract therefore there is no requirement and this will be de resourced.
14/01/2022 - Tom still working on Docs for release - Estimated release end of Jan
22/12/2021 - Tom working on spec for  docs to release under framework agreement
22/11/2021 - Chased up on project to obtain and update from the client - No response as of yet. 
20/10/2021 - Meeting held at the beginning of October to discuss requirements however waiting for Client department to develop specification to progress project. 
21/09/2021 - Inital meeting held with clients to discuss what is required under the framework agreement. Awaiting spec from client to start progressing documents. 
August 2021 - Framework documents paid for by client department.</t>
  </si>
  <si>
    <t>Duplicate request.  To be deleted</t>
  </si>
  <si>
    <t>VAT and Employment Tax advice</t>
  </si>
  <si>
    <t>Emails Paul to see if requirement it still there.
ER and SS chased Paul for update on the quotes.</t>
  </si>
  <si>
    <t>SSPR - support (not needed)</t>
  </si>
  <si>
    <t>IoT Programme: Smart Place (Smart Things)
Smart Parking</t>
  </si>
  <si>
    <t>IoT Programme: Smart Place
Technical Infrastructure</t>
  </si>
  <si>
    <t>IKEN - Legal Services Case Management System (PMO Ref: 2923)</t>
  </si>
  <si>
    <t xml:space="preserve">This has gone to Sarah for resource. They're using their own document. Barry will need to sign this. Cannot find original contract. Jennifer Curry. Pauline confirmed this is still under review at IKEN </t>
  </si>
  <si>
    <t xml:space="preserve">Change of name Capita ESS to Education Software Solutions Limited </t>
  </si>
  <si>
    <t xml:space="preserve">Company name change however, company number and address remain the same so no need for Deed of Novation. VM pulled together a variaiton to highlight name change and sent to Paul Metcalf. </t>
  </si>
  <si>
    <t>Merger between Capita ESS and ParentPay</t>
  </si>
  <si>
    <t xml:space="preserve">Keren Wild  </t>
  </si>
  <si>
    <t>Email from Keren Wild regarding merger between Capita ESS and ParentPay - variation or novation may be required - further information needed.</t>
  </si>
  <si>
    <t>Digital Forensic Faraday Room</t>
  </si>
  <si>
    <t>18/02:Matt said to cancel this as there is no space to accommodate this and no funding.
*recommended DR* Request to resource came in 11/02/2021. This is a very niche product and there may only be 1 UK based supplier of these custom-fabrications that we are aware of.  Current cost estimation is circa £30-40k.  We are having a site inspection on Feb 22nd so we will know the price range and a definitive specification from this point forwards.  This is expected to be finalised by end of April/May.  Template for DR sent to Matt to complete.  Chased Matt 21/04</t>
  </si>
  <si>
    <t>Sarah Morton initially</t>
  </si>
  <si>
    <t>The corporate agreement is already extended until December 2024. Extension completed in 2019 and in place until December 2024</t>
  </si>
  <si>
    <t>To be reviewed following rolling unofficial contract.  This will hopefully be incorporated into the new Telephony contract in 2022.  Once confirmed, we can delete this row.  17/02 Andy has confirmed that this has been included in the Telephony contract with Opus and we therefore not be required separately and can be closed.</t>
  </si>
  <si>
    <t>32+12+12</t>
  </si>
  <si>
    <t>Carol Watts / Daniel Harry / Christopher Taylor / Karen Wilson</t>
  </si>
  <si>
    <t>Dates changed on this contract not long after it was implemented. The new dates are as follows: 1st Feb 2021 - 31st Jan 2023 Extension 1st Feb 2023 - 31st Jan 2024 Extention 2 1st Feb 2024-31st Jan 2025</t>
  </si>
  <si>
    <t>Replacement of Oracle Periodics for Rents Income Management (PMO Ref: 3076)</t>
  </si>
  <si>
    <t>CURRENTLY ON HOLD
Only information contained within Project Brief known at this stage.  Cath has confirmed that this will not be required until after Oracle third-party support project has been finalised.</t>
  </si>
  <si>
    <t>Delete.</t>
  </si>
  <si>
    <t>Data Privacy - Information Asset Management Software</t>
  </si>
  <si>
    <t>15/03 - NO LONGER REQUIRED 
Potential to Direct award to MetaCompliance Ltd via GCloud.  17/02 chased Jon to check whether they want to go ahead with a 1 or a 3 yr agreement.  Jon to confirm ASAP.</t>
  </si>
  <si>
    <t>Kendra Nell / Amanda Manifield</t>
  </si>
  <si>
    <t>Duplicate row</t>
  </si>
  <si>
    <t>Community Renewal Fund - Application 34
External Programme Evaluation</t>
  </si>
  <si>
    <t>External programme evaluation needed for applications 20, 34 and 35. LEP checking whether the suppliers likely to be the same across the different areas. If so, will package the 3 requirements in to 1. LEP to confirm ASAP. If combined, spend is approx £40k.</t>
  </si>
  <si>
    <t>Community Renewal Fund - Application 35
WP4:  External Programme Evaluation</t>
  </si>
  <si>
    <t>Community Renewal Fund - Application 20
WP4: External Programme Evaluation</t>
  </si>
  <si>
    <r>
      <t>24+</t>
    </r>
    <r>
      <rPr>
        <sz val="11"/>
        <color rgb="FFFF0000"/>
        <rFont val="Calibri"/>
        <family val="2"/>
      </rPr>
      <t>24</t>
    </r>
  </si>
  <si>
    <t>Initial Term: 21/03/2022</t>
  </si>
  <si>
    <t>Demand Responsive Travel Project - Booking management system (PMO ref: 2930) (YORBUS)</t>
  </si>
  <si>
    <t>12 months + 12 Months (pilot)</t>
  </si>
  <si>
    <t>Catherine Price (IPT) / Emma Pemberton (PM)</t>
  </si>
  <si>
    <t>Antonia arranged for an extension and waiver to be comepleted. In place until 1st July 2023</t>
  </si>
  <si>
    <t>deleted duplicate record</t>
  </si>
  <si>
    <t>C-Track YPO  Framework</t>
  </si>
  <si>
    <r>
      <rPr>
        <sz val="10"/>
        <color rgb="FF000000"/>
        <rFont val="Calibri"/>
        <family val="2"/>
      </rPr>
      <t>NFS Tech Group -</t>
    </r>
    <r>
      <rPr>
        <sz val="9"/>
        <color rgb="FF000000"/>
        <rFont val="Calibri"/>
        <family val="2"/>
      </rPr>
      <t>SteveC@nfstechgroup.com</t>
    </r>
  </si>
  <si>
    <r>
      <t>12+12+</t>
    </r>
    <r>
      <rPr>
        <sz val="10"/>
        <color rgb="FFFF0000"/>
        <rFont val="Calibri"/>
        <family val="2"/>
        <scheme val="minor"/>
      </rPr>
      <t>12</t>
    </r>
  </si>
  <si>
    <t>Christopher Taylor  / Jon Holden (Room booking project?)</t>
  </si>
  <si>
    <r>
      <rPr>
        <sz val="10"/>
        <color rgb="FFFF0000"/>
        <rFont val="Calibri"/>
        <family val="2"/>
      </rPr>
      <t>File Path: Professional - T&amp;C - Business - Awarded - Desk Booking -</t>
    </r>
    <r>
      <rPr>
        <sz val="10"/>
        <color rgb="FF000000"/>
        <rFont val="Calibri"/>
        <family val="2"/>
      </rPr>
      <t xml:space="preserve"> DO NOT EXTEND. SERVICE MOVING AWAY FROM THIS. LIKELY TO BE TERMINATED . EMAILS IN EXTENSION FOLDER</t>
    </r>
  </si>
  <si>
    <t xml:space="preserve">Leaden Hall </t>
  </si>
  <si>
    <r>
      <t>36+1+1+1+</t>
    </r>
    <r>
      <rPr>
        <sz val="10"/>
        <color rgb="FFFF0000"/>
        <rFont val="Calibri"/>
        <family val="2"/>
        <scheme val="minor"/>
      </rPr>
      <t>1</t>
    </r>
    <r>
      <rPr>
        <sz val="10"/>
        <rFont val="Calibri"/>
        <family val="2"/>
        <scheme val="minor"/>
      </rPr>
      <t>+1+1+1</t>
    </r>
  </si>
  <si>
    <t>Qingzi Bu</t>
  </si>
  <si>
    <t>Legal confirmed that this is not required.</t>
  </si>
  <si>
    <t>Zoe Hide  / Jon Holden (Room booking project?)</t>
  </si>
  <si>
    <r>
      <rPr>
        <sz val="10"/>
        <color rgb="FFFF0000"/>
        <rFont val="Calibri"/>
        <family val="2"/>
      </rPr>
      <t>File Path: Professional - T&amp;C - Business - Awarded - Desk Booking -</t>
    </r>
    <r>
      <rPr>
        <sz val="10"/>
        <color rgb="FF000000"/>
        <rFont val="Calibri"/>
        <family val="2"/>
      </rPr>
      <t>Implemented as part of the Covid response.  ZH confirmed that the service is no longer required so final extension won't be utilised.</t>
    </r>
  </si>
  <si>
    <t>Managing Agent for Commercial Properties</t>
  </si>
  <si>
    <t>Philip Cowan</t>
  </si>
  <si>
    <t>13/09/2022 deresoruced from EWh until stakeholder confirms if to progress
*Support from Laura* SS chased PC for a decision update as option to award 1 year under Best Value then look at longer term strategy . Potential to use the CCS Framework RM6168 Estate Management Lot 2 (?)  26/10 Meeting held with Phillip Cowan to disscuss the CCS Framework. 18m contract considered, as this would be below BV limits and past LGR. Direct award through CCS Framework agreed upon. Contact made by EW to service area, not currently in a postion to tender, will contact when ready to progress</t>
  </si>
  <si>
    <t>To pass to Emma?
Not extending</t>
  </si>
  <si>
    <t>Map-Based Road Casualty Analysis System
(currently AccsMap, provided by Buchanan Computing) - PMO Ref: 3168</t>
  </si>
  <si>
    <t>David Kirkpatrick / Leanne Goodlad (PM)</t>
  </si>
  <si>
    <t>Advise that all comms quiet - resource removed.</t>
  </si>
  <si>
    <t>NY H LGR Provision</t>
  </si>
  <si>
    <t>LGR FPP Provisional NYH SLA 10 projects 9</t>
  </si>
  <si>
    <t>2022/10/11 Removed as no requirement presented
2022/05/09 Provisional item remains
2021/06/03 LGR Resourcing provisional line of 10, based on 2021 set-up est. costs split by 10 projects to be deleted once programme identified 9</t>
  </si>
  <si>
    <t>LGR FPP Provisional NYH SLA 10 projects 8</t>
  </si>
  <si>
    <t>2022/10/11 Removed as no requirement presented
2022/05/09 Provisional item remains
2021/06/03 LGR Resourcing provisional line of 10, based on 2021 set-up est. costs split by 10 projects to be deleted once programme identified 8</t>
  </si>
  <si>
    <t>LGR FPP Provisional NYH SLA 10 projects 7</t>
  </si>
  <si>
    <t>2022/10/11 Removed as no requirement presented
2022/05/09 Provisional item remains
2021/06/03 LGR Resourcing provisional line of 10, based on 2021 set-up est. costs split by 10 projects to be deleted once programme identified 7</t>
  </si>
  <si>
    <t>LGR FPP Provisional NYH SLA 10 projects 6</t>
  </si>
  <si>
    <t>2022/10/11 Removed as no requirement presented
2022/05/09 Provisional item remains
2021/06/03 LGR Resourcing provisional line of 10, based on 2021 set-up est. costs split by 10 projects to be deleted once programme identified 6</t>
  </si>
  <si>
    <t>LGR FPP Provisional NYH SLA 10 projects 5</t>
  </si>
  <si>
    <t>2022/10/11 Removed as no requirement presented
2022/05/09 Provisional item remains
2021/06/03 LGR Resourcing provisional line of 10, based on 2021 set-up est. costs split by 10 projects to be deleted once programme identified 5</t>
  </si>
  <si>
    <t>LGR FPP Provisional NYH SLA 10 projects 4</t>
  </si>
  <si>
    <t>2022/10/11 Removed as no requirement presented
2022/05/09 Provisional item remains
2021/06/03 LGR Resourcing provisional line of 10, based on 2021 set-up est. costs split by 10 projects to be deleted once programme identified 4</t>
  </si>
  <si>
    <t>LGR FPP Provisional NYH SLA 10 projects 3</t>
  </si>
  <si>
    <t>2022/10/11 Removed as no requirement presented
2022/05/09 Provisional item remains
2021/06/03 LGR Resourcing provisional line of 10, based on 2021 set-up est. costs split by 10 projects to be deleted once programme identified 3</t>
  </si>
  <si>
    <t>LGR FPP Provisional NYH SLA 10 projects 2</t>
  </si>
  <si>
    <t>2022/10/11 Removed as no requirement presented
2022/05/09 Provisional item remains
2021/06/03 LGR Resourcing provisional line of 10, based on 2021 set-up est. costs split by 10 projects to be deleted once programme identified 2</t>
  </si>
  <si>
    <t>LGR FPP Provisional NYH SLA 10 projects 10</t>
  </si>
  <si>
    <t>2022/10/11 Removed as no requirement presented
2022/05/09 Provisional item remains
2021/06/03 LGR Resourcing provisional line of 10, based on 2021 set-up est. costs split by 10 projects to be deleted once programme identified 10</t>
  </si>
  <si>
    <t>Accounts Payable Forensic Software
(creation of NYCC Framework Agreement)</t>
  </si>
  <si>
    <t>Fiscal</t>
  </si>
  <si>
    <t>No requirement for NYCC currently as have  contracted 2 years until 2024 via DAS framework. Decision to be made whether to progress as income generator</t>
  </si>
  <si>
    <r>
      <rPr>
        <sz val="10"/>
        <color rgb="FFFF0000"/>
        <rFont val="Calibri"/>
        <family val="2"/>
      </rPr>
      <t xml:space="preserve">File path:  Professional - T&amp;C - Education - Moderation Tools 
</t>
    </r>
    <r>
      <rPr>
        <sz val="10"/>
        <color rgb="FF000000"/>
        <rFont val="Calibri"/>
        <family val="2"/>
      </rPr>
      <t xml:space="preserve">Extension not required as a three year contract to August 2024 has been fully signed.
  </t>
    </r>
  </si>
  <si>
    <t xml:space="preserve">Bespoke Provision </t>
  </si>
  <si>
    <t>Cerys Townsend</t>
  </si>
  <si>
    <t xml:space="preserve">Options still being scoped.
</t>
  </si>
  <si>
    <t>Consultant for Decarbonising 30 Community Owned Richmond and Scarborough</t>
  </si>
  <si>
    <t xml:space="preserve">12/12 After liaising with Legal and Property Jos to contact Karen at Align as overarching agreement already in place no further action needed.
</t>
  </si>
  <si>
    <t>NYCC/BES - Integrated Passenger Transport</t>
  </si>
  <si>
    <t xml:space="preserve">2022/12/12 Confirmed ASh no immedaite need, MCh deresourced
2022/12/01  will be called on as required                                                                               2022/10/17  check if anything needed on this ..  last discussion was ok  would be avised if need                                                                                                        08/12/2022 last update Andrew advised no requirements will speak with Andrew again.                                                                                  04/04/2022  Emailed Andrew to see if an requirment for these yet 03/12/22  Had call with Andrew items are ordered on as needed basis need more deatils on if any current requirents will sscedule another call. Best value limit now exceeded. </t>
  </si>
  <si>
    <t>TP1 Cat 4’s and PSDP A40010</t>
  </si>
  <si>
    <t>09/12/2022 New scheme of 2023/24 programme, headline notification, tiering to be confirmed</t>
  </si>
  <si>
    <t>SRF - A6108 Package 9 Skeeby improvements</t>
  </si>
  <si>
    <t>2024/01/24 duplicate file
2022/11/01 Query raised to AGa
2022/04/29 New scheme highlevel notification, limited detail, tiering to be done</t>
  </si>
  <si>
    <t>SRF - A6108 Package 4 Leyburn improvements</t>
  </si>
  <si>
    <t>SRF - A6108 Package 8 Richmond School</t>
  </si>
  <si>
    <t>Area 2 Thirsk Market Place
A20014</t>
  </si>
  <si>
    <t>12/01/23 - Stuart Grimston has advised this scheme/package will not be going ahead in FY 23/24.
2022/09/06 New scheme for 2023/24 delivery, dates to be confirmed KRu</t>
  </si>
  <si>
    <t>TP2 Landslips A20017
Beakhills</t>
  </si>
  <si>
    <t>TP3 Sutton Bank A20018</t>
  </si>
  <si>
    <t>DN562108</t>
  </si>
  <si>
    <t>Area 1 Worton R&amp;R
A10006</t>
  </si>
  <si>
    <t>Neil Linfoot
WSP
  / Scott Parker</t>
  </si>
  <si>
    <t>2022/04/22 Dates to be determined
2021/09/09 - Project on hold - Procurement (ASm) to be deallocated. To be picked back up in 22/23
2021/09/03 - Chased document return from the client
2021/08/18 -  Waiting for documents to be returned
2021/08/12 - Documents sent to client for review.
2021/08/04 Documents delivered 
https://wsponline-my.sharepoint.com/:f:/g/personal/scott_parker_wsp_com/ElXKvQZxfCtIgaVm2HfxWFEB5wl64JxFWX4JZGIhgZRZ5A?email=Martin.Simpson%40northyorks.gov.uk&amp;e=wYQRjc
CPO to confirm back to SPa / WSP
2021/07/29 Chaser to WSP for documents
2021/07/09 No documents received to date, deresourced
2021/06/18 notionally resourced for period to 03/07
2021/06/11 No documents received, resourcing deferred
2021/05/2 Values changed again, check for documents.  Last email to Scott 02/2021.  Document dates
16/06/2021 publication brought fwd.
2021/04/29 Values confirmed, linked to Patrick Brompton &amp; Crakehall, KRu
2021/04/26 Data error on value, backup figure added
2020/12/10 KRu discussion update
2020/06/10 Discussion CDu, dates updated
2020/05/06 From CSU new scheme</t>
  </si>
  <si>
    <t>Safer Road Fund - Sharow Lane roundabout
A6108 
(Kerbing and surfacing works)</t>
  </si>
  <si>
    <t>Emily Ibbotson WSP
Neil Linfoot / 
Gordon Milne</t>
  </si>
  <si>
    <t>2022/04/22 Remains active, developer discussions continue, dates TBA
2022/04/12 Email from NLi indicating scheme is now designed, but waiting developer contribution
2021/12/09 Deresoruced as developer conflicts, client instruction to hold off, no dates.
09/12/2021 Informed Emily of resource allocation.
2021/12/06 Confirmed Planing, docs remain due 10/12.  CPO to make contact w. Emily &lt;Emily.Ibbotson@wsp.com&gt;
2021/12/02 Documents bwt fwd to 10/12/2021.  Query to WSP if Planing or Civils (assumed)
2021/11/26 Outline raised, query raised on value and scope and confirm of dates from GMi.  Tiering assumed values</t>
  </si>
  <si>
    <t>Area 1 Tender Package 7
Special
Cobbles to Newbiggin</t>
  </si>
  <si>
    <t>2022/04/22 Will go ahead, specailist works perhaps to framework?  Dates TBA
2022/02/21 New scheme MPl</t>
  </si>
  <si>
    <t>No longer required email from SC 15/12/2022</t>
  </si>
  <si>
    <t>Revenues and Benefits System (Northgate)</t>
  </si>
  <si>
    <t xml:space="preserve">Northgate </t>
  </si>
  <si>
    <t xml:space="preserve">Current </t>
  </si>
  <si>
    <t>Moved as covered by LGR project</t>
  </si>
  <si>
    <t>LGR FPP Provisional CYPS 20 projects 2022/23 1</t>
  </si>
  <si>
    <t>LGR FPP Provisional CYPS 20 projects 2022/23 2</t>
  </si>
  <si>
    <t>LGR FPP Provisional CYPS 20 projects 2022/23 3</t>
  </si>
  <si>
    <t>LGR FPP Provisional CYPS 20 projects 2022/23 4</t>
  </si>
  <si>
    <t>LGR FPP Provisional CYPS 20 projects 2022/23 5</t>
  </si>
  <si>
    <t>LGR FPP Provisional CYPS 20 projects 2022/23 6</t>
  </si>
  <si>
    <t>LGR FPP Provisional CYPS 20 projects 2022/23 7</t>
  </si>
  <si>
    <t>LGR FPP Provisional CYPS 20 projects 2022/23 8</t>
  </si>
  <si>
    <t>LGR FPP Provisional CYPS 20 projects 2022/23 9</t>
  </si>
  <si>
    <t>LGR FPP Provisional CYPS 20 projects 2022/23 10</t>
  </si>
  <si>
    <t>LGR FPP Provisional CYPS 20 projects 2022/23 11</t>
  </si>
  <si>
    <t>LGR FPP Provisional CYPS 20 projects 2022/23 12</t>
  </si>
  <si>
    <t>LGR FPP Provisional CYPS 20 projects 2022/23 13</t>
  </si>
  <si>
    <t>LGR FPP Provisional CYPS 20 projects 2022/23 14</t>
  </si>
  <si>
    <t>LGR FPP Provisional CYPS 20 projects 2022/23 15</t>
  </si>
  <si>
    <t>LGR FPP Provisional CYPS 20 projects 2022/23 16</t>
  </si>
  <si>
    <t>LGR FPP Provisional CYPS 20 projects 2022/23 17</t>
  </si>
  <si>
    <t>LGR FPP Provisional CYPS 20 projects 2022/23 18</t>
  </si>
  <si>
    <t>LGR FPP Provisional CYPS 20 projects 2022/23 19</t>
  </si>
  <si>
    <t>LGR FPP Provisional CYPS 20 projects 2022/23 20</t>
  </si>
  <si>
    <t>LGR FPP Provisional CYPS 20 projects 2023/24 15</t>
  </si>
  <si>
    <t>LGR FPP Provisional CYPS 20 projects 2023/24 16</t>
  </si>
  <si>
    <t>LGR FPP Provisional CYPS 20 projects 2023/24 17</t>
  </si>
  <si>
    <t>LGR FPP Provisional CYPS 20 projects 2023/24 18</t>
  </si>
  <si>
    <t>LGR FPP Provisional CYPS 20 projects 2023/24 19</t>
  </si>
  <si>
    <t>LGR FPP Provisional CYPS 20 projects 2023/24 20</t>
  </si>
  <si>
    <t>LGR FPP Provisional BES 60 projects 2022/23 60</t>
  </si>
  <si>
    <t>2022/09/06 57 provisional items used to date
2022/02/24 41 used to date
2021/06/01 LGR Resourcing provisional line of 60 2022/23 based on assumed volumes and costs, 16 silver (16% as 2021/22) to be deleted once programme identified 60</t>
  </si>
  <si>
    <t>LGR FPP Provisional BES 60 projects 2022/23 59</t>
  </si>
  <si>
    <t>2022/09/06 57 provisional items used to date
2022/02/24 41 used to date
2021/06/01 LGR Resourcing provisional line of 60 2022/23 based on assumed volumes and costs, 16 silver (16% as 2021/22) to be deleted once programme identified 59</t>
  </si>
  <si>
    <t>LGR FPP Provisional BES 60 projects 2022/23 58</t>
  </si>
  <si>
    <t>2022/09/06 57 provisional items used to date
2022/02/24 41 used to date
2021/06/01 LGR Resourcing provisional line of 60 2022/23 based on assumed volumes and costs, 16 silver (16% as 2021/22) to be deleted once programme identified 58</t>
  </si>
  <si>
    <t>LGR FPP Provisional BES S278 One Stop Shop 2022/23 5 projects 5</t>
  </si>
  <si>
    <t>2022/05/09 Provisional item remains
2021/06/10 LGR Resourcing provisional line for S278 commercial fee generation works, est. ave. value, 1 silver 2022/23, to be deleted once programme identified 5</t>
  </si>
  <si>
    <t>LGR FPP Provisional BES S278 One Stop Shop 2022/23 5 projects 4</t>
  </si>
  <si>
    <t>2022/05/09 Provisional item remains
2021/06/10 LGR Resourcing provisional line for S278 commercial fee generation works, est. ave. value, 4 bronze 2022/23, to be deleted once programme identified 4</t>
  </si>
  <si>
    <t>LGR FPP Provisional BES S278 One Stop Shop 2022/23 5 projects 3</t>
  </si>
  <si>
    <t>2022/05/09 Provisoinal item remains
2021/06/10 LGR Resourcing provisional line for S278 commercial fee generation works, est. ave. value, 4 bronze 2022/23, to be deleted once programme identified 3</t>
  </si>
  <si>
    <t>LGR FPP Provisional BES S278 One Stop Shop 2022/23 5 projects 2</t>
  </si>
  <si>
    <t>2022/05/09 Provisional item remains
2021/06/10 LGR Resourcing provisional line for S278 commercial fee generation works, est. ave. value, 4 bronze 2022/23, to be deleted once programme identified 2</t>
  </si>
  <si>
    <t>LGR FPP Provisional BES S278 One Stop Shop 2022/23 5 projects 1</t>
  </si>
  <si>
    <t>2022/05/09 Provisional item remains
2021/06/10 LGR Resourcing provisional line for S278 commercial fee generation works, est. ave. value, 4 bronze 2022/23, to be deleted once programme identified 1</t>
  </si>
  <si>
    <t>LGR FPP Provisional BES S278 One Stop Shop 2023/24 5 projects 5</t>
  </si>
  <si>
    <t>2022/05/09 Provisional item remains
2021/06/10 LGR Resourcing provisional line for S278 commercial fee generation works, est. ave. value, 1 silver 2023/24, to be deleted once programme identified 5</t>
  </si>
  <si>
    <t>LGR FPP Provisional BES S278 One Stop Shop 2023/24 5 projects 4</t>
  </si>
  <si>
    <t>2022/05/09 Provisionl item remains
2021/06/10 LGR Resourcing provisional line for S278 commercial fee generation works, est. ave. value, 4 bronze 2023/24, to be deleted once programme identified 4</t>
  </si>
  <si>
    <t>LGR FPP Provisional BES S278 One Stop Shop 2023/24 5 projects 3</t>
  </si>
  <si>
    <t>2022/05/09 Provisional item remains
2021/06/10 LGR Resourcing provisional line for S278 commercial fee generation works, est. ave. value, 4 bronze 2023/24, to be deleted once programme identified 3</t>
  </si>
  <si>
    <t>LGR FPP Provisional BES S278 One Stop Shop 2023/24 5 projects 2</t>
  </si>
  <si>
    <t>2022/05/09 Provisional item remains
2021/06/10 LGR Resourcing provisional line for S278 commercial fee generation works, est. ave. value, 4 bronze 2023/24, to be deleted once programme identified 2</t>
  </si>
  <si>
    <t>LGR FPP Provisional BES S278 One Stop Shop 2023/24 5 projects 1</t>
  </si>
  <si>
    <t>2022/05/09 Provisoinal item remains
2021/06/10 LGR Resourcing provisional line for S278 commercial fee generation works, est. ave. value, 4 bronze 2023/24, to be deleted once programme identified 1</t>
  </si>
  <si>
    <t>Moodle</t>
  </si>
  <si>
    <r>
      <t>12+12+12+</t>
    </r>
    <r>
      <rPr>
        <sz val="10"/>
        <color rgb="FFFF0000"/>
        <rFont val="Calibri"/>
        <family val="2"/>
        <scheme val="minor"/>
      </rPr>
      <t>12</t>
    </r>
    <r>
      <rPr>
        <sz val="10"/>
        <color theme="1"/>
        <rFont val="Calibri"/>
        <family val="2"/>
        <scheme val="minor"/>
      </rPr>
      <t>+12</t>
    </r>
  </si>
  <si>
    <t>Ann Featherstone/ Brian Woodburn/ Bev Thompson</t>
  </si>
  <si>
    <t>Deleted as moving to existing project - confirmed by Ann Featherstone. AF advised to serve notice as per contract</t>
  </si>
  <si>
    <t>Road marking equipment</t>
  </si>
  <si>
    <t xml:space="preserve">Nick Burgess /
Ross Bullerwell </t>
  </si>
  <si>
    <t>2022/11/11 - Value of the machine fits best value form rather than procurement.  Advised to gain 3 quotes for audit purposes.
2022/11/03 - Meeting arranged for 11.11.
2022/10/24 - BHu has reached out to NBu to arrange meeting to discuss. 
2022/10/12 New requirement.  Tiering to be completed once more detailed confirmed.  YPO Road Marking and Surfacing DPS - 772</t>
  </si>
  <si>
    <t>Appersett bridge wall repairs</t>
  </si>
  <si>
    <t>2023/02/28 Still waiting for BT, confirmed not March, Wil lbe below new BV threshold.  To deresoruce.  To omit from FPP workload
24/02/23 - Awaiting tender docs
2023/01/24 Docs def. Feb 2023
20/01/22 - Awaiting docs from bridges team
2022/11/29 Waiting for BT, and their design
24/11/22 - Still awaiting docs
2022/11/01 Documents shoudl be due by December at latest
27/10/22 - Email sent to Phil Richardson requesting an update.
2022/08/26 Back to Ocotober now JPWi
2022/07/29 September, WSP lead
2022/07/19 query rasied to PRi, not due until September now, deresourced from EWh
23/06/2022 Still awaiting Documents
2022/05/18 Remains
2022/04/29 Could be June, £30Kmin, WSP estimate awaited.  Could delay</t>
  </si>
  <si>
    <t>AHLC Solutions Ltd</t>
  </si>
  <si>
    <t xml:space="preserve">Neil Bartram confirmed will not extend further as recruitment underway for a permanent postholder. N:\fcs-data\Procurement\PROFESSIONAL\T and C\Miscellaneous\Digital Officer.  </t>
  </si>
  <si>
    <t>Pensions Administration/PARIS/eBS Database support</t>
  </si>
  <si>
    <r>
      <rPr>
        <sz val="10"/>
        <color rgb="FFFF0000"/>
        <rFont val="Calibri"/>
        <family val="2"/>
      </rPr>
      <t xml:space="preserve">N:\fcs-data\Procurement\PROFESSIONAL\T and C\Finance\2022-2023 Oracle Database support
</t>
    </r>
    <r>
      <rPr>
        <sz val="10"/>
        <color rgb="FF000000"/>
        <rFont val="Calibri"/>
        <family val="2"/>
      </rPr>
      <t>Variation for more hours - see line 362 - considering whether to vary or direct award new contract.
14/03/23 - update from CB - Silas has no recollection of the line on the FPP for this and thinks it has been changed from Simon's name to his and he is not aware of needing any extra hours adding. 
Line to be removed as CB progressing with re-procurement/</t>
    </r>
  </si>
  <si>
    <t>Highways Gangs (replacement of Lots, Areas3 &amp; 4)</t>
  </si>
  <si>
    <t>08/09/22 - Project shelved as the whole Highways Maintenance Gangs framework will be re-procured. 
26/05/22 - Updated spec received from Claire Smart. Still awaiting terms and conditions as Andrew Binner now wants to include a Works element.
05/05/22 Met with Clare Smart to discuss updated spec. Still waiting input from NYH legal
24/03/22 Still awaiting legal input on T&amp;C's from NYH
2021/10/12 Confirmed requirement with NBu / NYH</t>
  </si>
  <si>
    <t>DN518311</t>
  </si>
  <si>
    <t>Fuel Cards (RIX)</t>
  </si>
  <si>
    <t>Email from Amanda Dyson 16/03 - extension not needed as Richmond will use NYC fuel cards.</t>
  </si>
  <si>
    <t>e-Scheduling &amp; Care Records Management System (2020 Ref: 2261) LOT 2 CARE RECORDS MANAGEMENT</t>
  </si>
  <si>
    <t>duplicate line</t>
  </si>
  <si>
    <t xml:space="preserve">Purchase of 9 Minibuses - Outdoor Education </t>
  </si>
  <si>
    <t>Gary White / David Barker</t>
  </si>
  <si>
    <t xml:space="preserve">Project currently on hold. </t>
  </si>
  <si>
    <t>Learning Curve Group</t>
  </si>
  <si>
    <r>
      <t>24+12</t>
    </r>
    <r>
      <rPr>
        <sz val="10"/>
        <color rgb="FFFF0000"/>
        <rFont val="Calibri"/>
        <family val="2"/>
        <scheme val="minor"/>
      </rPr>
      <t>+12</t>
    </r>
  </si>
  <si>
    <r>
      <t>N:\fcs-data\Procurement\PROFESSIONAL\HR &amp; Training\Apprenticeships\Levy\4) Directors Recommendation\Associate Project Manager\Extension 2022 expires 31/8/23.   Extension won't be taken</t>
    </r>
    <r>
      <rPr>
        <b/>
        <sz val="10"/>
        <rFont val="Calibri"/>
        <family val="2"/>
      </rPr>
      <t>,</t>
    </r>
    <r>
      <rPr>
        <sz val="10"/>
        <rFont val="Calibri"/>
        <family val="2"/>
      </rPr>
      <t xml:space="preserve"> supplier have been informed, Laura Baxter is reprocuring an approved list arrangement going forward
</t>
    </r>
  </si>
  <si>
    <t>DN199746</t>
  </si>
  <si>
    <t>Corporate PPE Clothing Provider</t>
  </si>
  <si>
    <t>Arco</t>
  </si>
  <si>
    <t>Graeme Whitehouse</t>
  </si>
  <si>
    <t> Expired</t>
  </si>
  <si>
    <t>Spot purchasing - corporate process now.</t>
  </si>
  <si>
    <t>DN310197</t>
  </si>
  <si>
    <t>Pest Control Baits &amp; Poisons</t>
  </si>
  <si>
    <t>Killgerm</t>
  </si>
  <si>
    <t>Expired</t>
  </si>
  <si>
    <t>Planning</t>
  </si>
  <si>
    <t>Archaeological Services</t>
  </si>
  <si>
    <t>Bart Millburn</t>
  </si>
  <si>
    <t xml:space="preserve">Light Fleet - (Purchased) </t>
  </si>
  <si>
    <t>One off purchase</t>
  </si>
  <si>
    <t>Consultant for Hard FM Technical Specification and Pricing Model</t>
  </si>
  <si>
    <t>Appointment of consultant to review Tech Spec and pricing for  Lot 2 reprocurement and Alarms. Trevor is speaking to known consultants anticipated under £25K spend as Best Value</t>
  </si>
  <si>
    <t>HAS car purchase scheme - key workers retention package</t>
  </si>
  <si>
    <t xml:space="preserve">2023/01/06 Deresourced from MCh as no progress until April 2023 at earliest.  RBowes confirmed highly unlikley, HASLT 23/03/23.  To be reconsidered in 2023/24 for NYC
2023/01/06  maybe not going ahead decison at meeting 23rd March                                                                                                                                                          2022/12/08  - chased for update to see if going ahead                                                  2022/11/28  no update as yet if going ahead or not .                                                              2022/10/11  update due shortly  may not go ahead money may be used on other things TBC shortly                                                         2022/09/16  obtaining details for Gateway                                                                                                                                                           2022/08/26 New scheme as notified KBa </t>
  </si>
  <si>
    <t>Insurance</t>
  </si>
  <si>
    <t xml:space="preserve">Zurich </t>
  </si>
  <si>
    <t>Katy Riley</t>
  </si>
  <si>
    <t>Microsoft Enterprise Agreement</t>
  </si>
  <si>
    <t>contract expired 31 October 2022 - rolling contract - not sure if this will be required as NYC</t>
  </si>
  <si>
    <t xml:space="preserve"> Provision of Payroll Services</t>
  </si>
  <si>
    <t>DN201446</t>
  </si>
  <si>
    <t>Council Wide</t>
  </si>
  <si>
    <t>Website Design and Implementation RDC</t>
  </si>
  <si>
    <t>Contract expired 30 November 2022- service still been provided</t>
  </si>
  <si>
    <t>DN409969</t>
  </si>
  <si>
    <t>Gas - Total Gas and Power</t>
  </si>
  <si>
    <t>Total Gas and Power</t>
  </si>
  <si>
    <t>Alan Bewick has been working with the Utility property workstream.</t>
  </si>
  <si>
    <t xml:space="preserve">Legal Services </t>
  </si>
  <si>
    <t>Darlington Borough Council</t>
  </si>
  <si>
    <r>
      <t>48+</t>
    </r>
    <r>
      <rPr>
        <sz val="10"/>
        <color rgb="FFFF0000"/>
        <rFont val="Calibri"/>
        <family val="2"/>
      </rPr>
      <t>12</t>
    </r>
    <r>
      <rPr>
        <sz val="10"/>
        <color rgb="FF000000"/>
        <rFont val="Calibri"/>
        <family val="2"/>
      </rPr>
      <t>+12</t>
    </r>
  </si>
  <si>
    <t>Callum McKeon</t>
  </si>
  <si>
    <t>Electricity Provider to Council Buildings and Street Lights </t>
  </si>
  <si>
    <t>Alan Bewick emailed - this is being picked up with NYC requirements</t>
  </si>
  <si>
    <t>DN545579</t>
  </si>
  <si>
    <t xml:space="preserve">Electoral Management System Xpress </t>
  </si>
  <si>
    <t>Civica UK Ltd</t>
  </si>
  <si>
    <t>Occupational Health</t>
  </si>
  <si>
    <t>DN201771</t>
  </si>
  <si>
    <t>Microsoft Licences</t>
  </si>
  <si>
    <t>Water, Wastewater and Ancillary Services</t>
  </si>
  <si>
    <t>Alan Bewick emailed - this is getting picked up with NYC requirements</t>
  </si>
  <si>
    <t> Supply of Liquid Fuels for depot vehicles</t>
  </si>
  <si>
    <t>2023/03/01 See also NYC and NY H projects for heating fuels and road fuels</t>
  </si>
  <si>
    <t>DN363676</t>
  </si>
  <si>
    <t>Committee Document Management System</t>
  </si>
  <si>
    <t>Katie Cullum</t>
  </si>
  <si>
    <t>Office Supplies and Equipment</t>
  </si>
  <si>
    <t>DN190588</t>
  </si>
  <si>
    <t>Provision of Quantity Surveying and Construction Design Management Co-ordinator Services</t>
  </si>
  <si>
    <t>60+12+12+24</t>
  </si>
  <si>
    <t>Exception approved. Contract variation to extend until 31/03/2024.</t>
  </si>
  <si>
    <t>DN308217</t>
  </si>
  <si>
    <t>Fire Fighting Safety Equipment Maintenance</t>
  </si>
  <si>
    <t>Peterlee Fire Company Ltd</t>
  </si>
  <si>
    <t>Exception approved to vary contract to include another 15months from 10/12/2022</t>
  </si>
  <si>
    <t>DN394209</t>
  </si>
  <si>
    <t>Eco Flex Energy Improvement Scheme (Grants)</t>
  </si>
  <si>
    <t>Yes Energy Solutions</t>
  </si>
  <si>
    <t>Paul Green / Gill Andrews</t>
  </si>
  <si>
    <t>CCS</t>
  </si>
  <si>
    <t>iTrent system RM3821</t>
  </si>
  <si>
    <t xml:space="preserve">Treasury Services </t>
  </si>
  <si>
    <t xml:space="preserve">Link Asset Services </t>
  </si>
  <si>
    <t>Katy Riley/Helen Raw</t>
  </si>
  <si>
    <t xml:space="preserve">Finance System </t>
  </si>
  <si>
    <t>Eye Tests</t>
  </si>
  <si>
    <t>TR21/16</t>
  </si>
  <si>
    <t>Large Sweeper - (Purchase)</t>
  </si>
  <si>
    <t>Agency Staff (Professional)</t>
  </si>
  <si>
    <t>Purchase Cards</t>
  </si>
  <si>
    <t>Postage</t>
  </si>
  <si>
    <t>DN285698</t>
  </si>
  <si>
    <t>Mini Road Sweeper (Purchase)</t>
  </si>
  <si>
    <t>Advertisements in local Press</t>
  </si>
  <si>
    <t>Solar Panels</t>
  </si>
  <si>
    <t>Keiran informed we are to take the extension, Lloyds signed extension letter 01.12.22, confirmed with workstream.  Direct Award to Lloyds via CIPFA</t>
  </si>
  <si>
    <t>Victoria Forms</t>
  </si>
  <si>
    <t>18.11.22 To be extended for further 12 months, Tim to send renewal docs to NK. Tim informed upgrade being planned currently, likely to be undertaken Sept/Oct 2022, no changes planned or possible on that basis.</t>
  </si>
  <si>
    <t xml:space="preserve">5 years </t>
  </si>
  <si>
    <t>Stacey Speakman going to check if renewal is required following procurement of new NYC system. Exemption in place until December 2022. To be reviewed. Contract renewed on annual basis Apr - Mar. One final renewal to take from Feb 2023. Jo to see requirements for LGR</t>
  </si>
  <si>
    <t>Depot Improvement Programme</t>
  </si>
  <si>
    <t>BB - We are still working with NYCC regarding the feasibility of a potential shared workshop facility so no further action on the depot improvement programme as yet.</t>
  </si>
  <si>
    <t>Building Project Management</t>
  </si>
  <si>
    <t>Align Property Partners</t>
  </si>
  <si>
    <t>15/2/23 New council should superseed this agreement, confirm. Signed SLA in place, ad hoc based on requirements. Andy Bardon is the contact</t>
  </si>
  <si>
    <t>2023/03/01 See also NYC and NY H projects for heating fuels and road fuels
08.11.22 - Signed extension letter to Certas for 1 year to 20/11/23. Sent to Andrew Sharpin and Beckie Bennett and Chris Granger</t>
  </si>
  <si>
    <t>Operations Workshop Support</t>
  </si>
  <si>
    <t>RD Snowden</t>
  </si>
  <si>
    <t>15.07.21 Looked at spend data and still high value spending on parts. CG aware this is to be reviewed</t>
  </si>
  <si>
    <t>Refuse Vehicle (Trade Waste)</t>
  </si>
  <si>
    <t>CP Davidson and Sons Ltd</t>
  </si>
  <si>
    <t>15.07.21 Looked at spend data and still high value spending on parts. Spent approx 190k since 2016. CG aware this is to be reviewed</t>
  </si>
  <si>
    <t>PRO102</t>
  </si>
  <si>
    <t>Liquid Fuel</t>
  </si>
  <si>
    <t>YPO 301 framework</t>
  </si>
  <si>
    <t>01/06/2022 - 31/5/2024 - Call off via YPO framework - supplierCertas</t>
  </si>
  <si>
    <t>PRO081</t>
  </si>
  <si>
    <t>Vehicle Parts</t>
  </si>
  <si>
    <t>EU Tender 9RWCXC74LZ</t>
  </si>
  <si>
    <r>
      <rPr>
        <sz val="11"/>
        <color rgb="FF000000"/>
        <rFont val="Calibri"/>
        <family val="2"/>
      </rPr>
      <t xml:space="preserve">Expired in 2019 - attempts to restart procurement have not progressed beyond an initial stage. </t>
    </r>
    <r>
      <rPr>
        <sz val="11"/>
        <color rgb="FFFF0000"/>
        <rFont val="Calibri"/>
        <family val="2"/>
      </rPr>
      <t>No formal extension issued - continue to use framework - using Denise E on informal basis</t>
    </r>
  </si>
  <si>
    <t>PRO111</t>
  </si>
  <si>
    <r>
      <rPr>
        <sz val="11"/>
        <color rgb="FF000000"/>
        <rFont val="Calibri"/>
        <family val="2"/>
      </rPr>
      <t xml:space="preserve">Gas - </t>
    </r>
    <r>
      <rPr>
        <sz val="11"/>
        <color rgb="FFFF0000"/>
        <rFont val="Calibri"/>
        <family val="2"/>
      </rPr>
      <t>one procurement for new LA</t>
    </r>
  </si>
  <si>
    <t>Service Manager - Property Services</t>
  </si>
  <si>
    <t>CDC0003</t>
  </si>
  <si>
    <t>Software - ICON Hosted Annual Subscription and Transaction Charges</t>
  </si>
  <si>
    <t>LASA Framework - 5 Year Contract</t>
  </si>
  <si>
    <r>
      <rPr>
        <sz val="11"/>
        <color rgb="FF000000"/>
        <rFont val="Calibri"/>
        <family val="2"/>
      </rPr>
      <t xml:space="preserve">Information Services Contract (Craven) - </t>
    </r>
    <r>
      <rPr>
        <sz val="11"/>
        <color rgb="FFFF0000"/>
        <rFont val="Calibri"/>
        <family val="2"/>
      </rPr>
      <t>Tashi checking with Jim as no details</t>
    </r>
  </si>
  <si>
    <t>CDC0122</t>
  </si>
  <si>
    <t>Hardware - Production &amp; DR SAN including 7 year hardware support</t>
  </si>
  <si>
    <t>CCS Framework Agreement - mini-competition - Upfront Capital Cost</t>
  </si>
  <si>
    <r>
      <rPr>
        <sz val="11"/>
        <color rgb="FF000000"/>
        <rFont val="Calibri"/>
        <family val="2"/>
      </rPr>
      <t xml:space="preserve">Information Services Contract (Craven) - </t>
    </r>
    <r>
      <rPr>
        <sz val="11"/>
        <color rgb="FFFF0000"/>
        <rFont val="Calibri"/>
        <family val="2"/>
      </rPr>
      <t>7 yr term from 1/4/2017 - 31/3/2024 - mini comp via CCS - supplier Insight</t>
    </r>
  </si>
  <si>
    <t>PRO125</t>
  </si>
  <si>
    <t>Recruitment Agency Waste Management</t>
  </si>
  <si>
    <t>£200,000</t>
  </si>
  <si>
    <t>Tender (Joint procurement led by Pendle BC)</t>
  </si>
  <si>
    <r>
      <rPr>
        <sz val="11"/>
        <color rgb="FF000000"/>
        <rFont val="Calibri"/>
        <family val="2"/>
      </rPr>
      <t xml:space="preserve">Local framework - joint procurement with Pendle, currently in extension period - </t>
    </r>
    <r>
      <rPr>
        <sz val="11"/>
        <color rgb="FFFF0000"/>
        <rFont val="Calibri"/>
        <family val="2"/>
      </rPr>
      <t xml:space="preserve">use NW recruitment - contract expired Sept 2022 continue with same agency - no extension issued running informally. </t>
    </r>
  </si>
  <si>
    <t>PRO157</t>
  </si>
  <si>
    <t>Waste Disposal (recycling / garden only)</t>
  </si>
  <si>
    <r>
      <rPr>
        <sz val="11"/>
        <color rgb="FF000000"/>
        <rFont val="Calibri"/>
        <family val="2"/>
      </rPr>
      <t xml:space="preserve">Ongoing agreement with Yorwaste - assume this will continue through LGR transition - </t>
    </r>
    <r>
      <rPr>
        <sz val="11"/>
        <color rgb="FFFF0000"/>
        <rFont val="Calibri"/>
        <family val="2"/>
      </rPr>
      <t>expired 6/12/2022</t>
    </r>
  </si>
  <si>
    <t>CDC0131</t>
  </si>
  <si>
    <t xml:space="preserve">Services:
SIP Trunking </t>
  </si>
  <si>
    <r>
      <rPr>
        <sz val="11"/>
        <color rgb="FF000000"/>
        <rFont val="Calibri"/>
        <family val="2"/>
      </rPr>
      <t xml:space="preserve">Information Services Contract (Craven) - </t>
    </r>
    <r>
      <rPr>
        <sz val="11"/>
        <color rgb="FFFF0000"/>
        <rFont val="Calibri"/>
        <family val="2"/>
      </rPr>
      <t>no info</t>
    </r>
  </si>
  <si>
    <t>DM025</t>
  </si>
  <si>
    <t>Landscape Maintenance - HDC</t>
  </si>
  <si>
    <t>CS004</t>
  </si>
  <si>
    <t>Website Support</t>
  </si>
  <si>
    <t>Spacecraft Creative Limited</t>
  </si>
  <si>
    <t>23/10/2023</t>
  </si>
  <si>
    <t>FN003</t>
  </si>
  <si>
    <t>Income Management System</t>
  </si>
  <si>
    <t>29/06/2024</t>
  </si>
  <si>
    <t>DM062</t>
  </si>
  <si>
    <t>Electricity - half hourly</t>
  </si>
  <si>
    <t>2023/03/15 query raised to KPeat if dicussion w. CThornton on boarding complete and included this element?</t>
  </si>
  <si>
    <t>LG008</t>
  </si>
  <si>
    <t>Asset Valuation Services</t>
  </si>
  <si>
    <t>Align Property Partners Ltrd</t>
  </si>
  <si>
    <t>29/11/2023</t>
  </si>
  <si>
    <t>2023/03/15 all under one post LGR?  no longer required? to be confirmed continuation with APP</t>
  </si>
  <si>
    <t>CS008B</t>
  </si>
  <si>
    <t xml:space="preserve">CRM Customer Service Hub </t>
  </si>
  <si>
    <t>FN010</t>
  </si>
  <si>
    <t>Banking services</t>
  </si>
  <si>
    <t>CS003</t>
  </si>
  <si>
    <t>Website Hosting</t>
  </si>
  <si>
    <t>IC006</t>
  </si>
  <si>
    <t>Office Landline Telephone calls and minutes</t>
  </si>
  <si>
    <t>27/03/2024</t>
  </si>
  <si>
    <t>2023/03/16 all under one post LGR?  no longer required? to be confirmed.</t>
  </si>
  <si>
    <t>EH009</t>
  </si>
  <si>
    <t>Cx Regulatory Services</t>
  </si>
  <si>
    <t>2023/03/16 all under one post LGR?  no longer required? to be confirmed. Is this the same as Civica Finance System</t>
  </si>
  <si>
    <t>CS008A</t>
  </si>
  <si>
    <t xml:space="preserve">CRM Service Designer/Customer Portal/Staff Portal </t>
  </si>
  <si>
    <t>FN013</t>
  </si>
  <si>
    <t>Civica Finance System</t>
  </si>
  <si>
    <t>29/08/2024</t>
  </si>
  <si>
    <t>2023/03/16 all under one post LGR?  no longer required? to be confirmed.  Is this the same as Cx Regulatory Services</t>
  </si>
  <si>
    <t>DM005</t>
  </si>
  <si>
    <t xml:space="preserve">Electricity (non half hourly sub 100kw) </t>
  </si>
  <si>
    <t>FN011</t>
  </si>
  <si>
    <t>Merchant Services</t>
  </si>
  <si>
    <t>30/04/2023</t>
  </si>
  <si>
    <t>DM008</t>
  </si>
  <si>
    <t xml:space="preserve">Electricity - Un-metered supply (public lighting) </t>
  </si>
  <si>
    <t>HR002</t>
  </si>
  <si>
    <t>HR and Payroll System</t>
  </si>
  <si>
    <t>Midland HR</t>
  </si>
  <si>
    <t>LG003</t>
  </si>
  <si>
    <t>Decision Management System</t>
  </si>
  <si>
    <t>Modern Mindset Limited</t>
  </si>
  <si>
    <t>28/02/2024</t>
  </si>
  <si>
    <t>DM049</t>
  </si>
  <si>
    <t>Parking Enforcement Agent</t>
  </si>
  <si>
    <t>IC020</t>
  </si>
  <si>
    <t>CRM - Customer Experience Platform</t>
  </si>
  <si>
    <t>WS016</t>
  </si>
  <si>
    <t>Tyres via ESPO framework</t>
  </si>
  <si>
    <t>DTM</t>
  </si>
  <si>
    <t>30/09/2025</t>
  </si>
  <si>
    <t>2023/03/15 all under one post LGR?  no longer required? to be part of NY H or broader fleet arrangements</t>
  </si>
  <si>
    <t>IC027</t>
  </si>
  <si>
    <t>Microsoft EAS License</t>
  </si>
  <si>
    <t>Phoenix Software</t>
  </si>
  <si>
    <t>LS027</t>
  </si>
  <si>
    <t>Gym Equipment and Maintenance</t>
  </si>
  <si>
    <t>Technogym</t>
  </si>
  <si>
    <t>29/10/2023</t>
  </si>
  <si>
    <t>DM003</t>
  </si>
  <si>
    <t xml:space="preserve">Gas </t>
  </si>
  <si>
    <t>2023/03/15 query raised to KPeat if dicussion w. CThornton around gas?</t>
  </si>
  <si>
    <t>IC023</t>
  </si>
  <si>
    <t>Wide Area Network Solution</t>
  </si>
  <si>
    <t>Nynet Ltd</t>
  </si>
  <si>
    <t>31/08/2024</t>
  </si>
  <si>
    <t>WS010</t>
  </si>
  <si>
    <t>Certas Energy UK Ltd</t>
  </si>
  <si>
    <t>21/11/2023</t>
  </si>
  <si>
    <t>DM006</t>
  </si>
  <si>
    <t xml:space="preserve">Electricity: (half hourly +100kw) </t>
  </si>
  <si>
    <t>WS012</t>
  </si>
  <si>
    <t>Supply and Maintenance of Municipal Vehicles</t>
  </si>
  <si>
    <t>SFS sub con to Dennis Eagle</t>
  </si>
  <si>
    <t>OJEU Tender</t>
  </si>
  <si>
    <t>2023/03/15 Confirmation of extension deed requested 13/03.  Copy of contract held.  Value to be confirmed and which line to remain</t>
  </si>
  <si>
    <t>Framework: Supply of Cleaning Materials, Clothing &amp; PPE</t>
  </si>
  <si>
    <t>Ongoing dialogue with YPO - Michelle Woods.  Would expect to migrate on to YPO agreement post vesting day. Link in with Martyn Chesworth re wider project. Road fuels due June 23, heating fuels due November 23.</t>
  </si>
  <si>
    <t>Refuse Sacks</t>
  </si>
  <si>
    <t>Tyres (HGV)</t>
  </si>
  <si>
    <t>Event &amp; Safety Services</t>
  </si>
  <si>
    <t>£300,000</t>
  </si>
  <si>
    <t>Framework Contract for Portable Toilets</t>
  </si>
  <si>
    <t>£60,000</t>
  </si>
  <si>
    <t>Framework Contract for Medical Provision</t>
  </si>
  <si>
    <t>Provision of Electronic Payment Systems</t>
  </si>
  <si>
    <t>£100,000</t>
  </si>
  <si>
    <t>Kathy Davis</t>
  </si>
  <si>
    <t>Framework: Supply of Vehicle Spares</t>
  </si>
  <si>
    <t>SDC 064</t>
  </si>
  <si>
    <t>NY Network Broadband &amp; Internet High Speed Fibres</t>
  </si>
  <si>
    <t>??</t>
  </si>
  <si>
    <t>Chris Smith</t>
  </si>
  <si>
    <t>SDC2022 010</t>
  </si>
  <si>
    <t>Microsoft Enterprise Agreement - Licenses 2022</t>
  </si>
  <si>
    <t>Direct award thru KCS Procurement Services - Software Products  &amp; Associated Services 2 Y20011</t>
  </si>
  <si>
    <t>SDC2019 039</t>
  </si>
  <si>
    <t>Vehicle Lease</t>
  </si>
  <si>
    <t>Phil HIscott</t>
  </si>
  <si>
    <t>27/06/22</t>
  </si>
  <si>
    <t>SDC2022 004</t>
  </si>
  <si>
    <t>Public Notices Advertising</t>
  </si>
  <si>
    <t>Ad hoc</t>
  </si>
  <si>
    <t>Photographer for a residency with food &amp; drink producers/businesses - artist</t>
  </si>
  <si>
    <t>DN509310</t>
  </si>
  <si>
    <t>Gas Supply Agreement 2021</t>
  </si>
  <si>
    <t>Other (Part of YPO Gas Utilities Framework, ref. 621)</t>
  </si>
  <si>
    <t>Mr Graham Wadsworth</t>
  </si>
  <si>
    <r>
      <rPr>
        <sz val="11"/>
        <color rgb="FF000000"/>
        <rFont val="Calibri"/>
        <family val="2"/>
      </rPr>
      <t xml:space="preserve">Ends 2025. - </t>
    </r>
    <r>
      <rPr>
        <sz val="11"/>
        <color rgb="FFFF0000"/>
        <rFont val="Calibri"/>
        <family val="2"/>
      </rPr>
      <t>Will be completed by new LA - suggest delete line and have one line for new LA</t>
    </r>
  </si>
  <si>
    <t>Open Tender</t>
  </si>
  <si>
    <t>HCC - Confidential Procurement relating to AV</t>
  </si>
  <si>
    <r>
      <rPr>
        <sz val="11"/>
        <color rgb="FF000000"/>
        <rFont val="Calibri"/>
        <family val="2"/>
      </rPr>
      <t xml:space="preserve">The procurement documents for this are with Michael constantine this will be a multi lot framework.
Nothing back as at April, May, June, July, August, September, October - </t>
    </r>
    <r>
      <rPr>
        <sz val="11"/>
        <color rgb="FFFF0000"/>
        <rFont val="Calibri"/>
        <family val="2"/>
      </rPr>
      <t>no info</t>
    </r>
  </si>
  <si>
    <t>Supply of liquid fuels</t>
  </si>
  <si>
    <t>Awarded through ESPO framework - 1/9/2022 - 31/8/2027</t>
  </si>
  <si>
    <t>DN481844</t>
  </si>
  <si>
    <t>Other (Direct award via HTE ComIT2 (Complete IT Solutions) Framewrok 2019.)</t>
  </si>
  <si>
    <t>Mrs Claire Warren</t>
  </si>
  <si>
    <t xml:space="preserve">Delivered via Insight - trent will end 2023. LGR to be made aware. Can be extended and then lead authority NYCC are organising this as part of a wider contract </t>
  </si>
  <si>
    <t>DN411211</t>
  </si>
  <si>
    <t>Uniform Software</t>
  </si>
  <si>
    <t>Other (Call off contract under Lot 3 CCS RM1059 framework)</t>
  </si>
  <si>
    <r>
      <rPr>
        <sz val="11"/>
        <color rgb="FF000000"/>
        <rFont val="Calibri"/>
        <family val="2"/>
      </rPr>
      <t>Will be extended to 2025. -</t>
    </r>
    <r>
      <rPr>
        <sz val="11"/>
        <color rgb="FFFF0000"/>
        <rFont val="Calibri"/>
        <family val="2"/>
      </rPr>
      <t>no info</t>
    </r>
  </si>
  <si>
    <t>DN528281</t>
  </si>
  <si>
    <t>Database End to End Support Services for World applications.</t>
  </si>
  <si>
    <t>Other (G-Cloud)</t>
  </si>
  <si>
    <t>Mr AN Procurement</t>
  </si>
  <si>
    <r>
      <rPr>
        <sz val="11"/>
        <color rgb="FF000000"/>
        <rFont val="Calibri"/>
        <family val="2"/>
      </rPr>
      <t>Direct award will end.</t>
    </r>
    <r>
      <rPr>
        <sz val="11"/>
        <color rgb="FFFF0000"/>
        <rFont val="Calibri"/>
        <family val="2"/>
      </rPr>
      <t>-no info</t>
    </r>
  </si>
  <si>
    <t>DN483628</t>
  </si>
  <si>
    <t>Other (Direct award via G Cloud 11 Framework.)</t>
  </si>
  <si>
    <r>
      <rPr>
        <sz val="11"/>
        <color rgb="FF000000"/>
        <rFont val="Calibri"/>
        <family val="2"/>
      </rPr>
      <t xml:space="preserve">To end - </t>
    </r>
    <r>
      <rPr>
        <sz val="11"/>
        <color rgb="FFFF0000"/>
        <rFont val="Calibri"/>
        <family val="2"/>
      </rPr>
      <t>flag to Stuart Langston HGate contract ends July 2023</t>
    </r>
  </si>
  <si>
    <t>Langton Primary Drainage</t>
  </si>
  <si>
    <t>2023/04/13 now merged with main project. PMcL</t>
  </si>
  <si>
    <t>BE043</t>
  </si>
  <si>
    <t>BE044</t>
  </si>
  <si>
    <t>LH033</t>
  </si>
  <si>
    <t>WS017</t>
  </si>
  <si>
    <t>Pest Control Poisons and disposal of waste</t>
  </si>
  <si>
    <t>PRO143</t>
  </si>
  <si>
    <t>Garden waste licence tags</t>
  </si>
  <si>
    <r>
      <rPr>
        <sz val="11"/>
        <color rgb="FF000000"/>
        <rFont val="Calibri"/>
        <family val="2"/>
      </rPr>
      <t xml:space="preserve">Information Services contract (Craven) - </t>
    </r>
    <r>
      <rPr>
        <sz val="11"/>
        <color rgb="FFFF0000"/>
        <rFont val="Calibri"/>
        <family val="2"/>
      </rPr>
      <t xml:space="preserve">contract ceased 28/2/2020 - rolled on since this time - Supplier Euclid Ltd - </t>
    </r>
  </si>
  <si>
    <t>Printed Garden Waste Licence Stickers</t>
  </si>
  <si>
    <t>Permiserv Ltd</t>
  </si>
  <si>
    <t>23.01.23 Contract awarded to Permiserv ltd, contract executed.</t>
  </si>
  <si>
    <r>
      <t>60+36+</t>
    </r>
    <r>
      <rPr>
        <sz val="10"/>
        <color rgb="FFFF0000"/>
        <rFont val="Calibri"/>
        <family val="2"/>
        <scheme val="minor"/>
      </rPr>
      <t>24</t>
    </r>
  </si>
  <si>
    <t>Terminated</t>
  </si>
  <si>
    <t>External Audit - NYCC - Third Party Auditor on Veritau</t>
  </si>
  <si>
    <t>Max Thomas / Stuart Cutts</t>
  </si>
  <si>
    <t>best value completed as under £50k</t>
  </si>
  <si>
    <t>already completed</t>
  </si>
  <si>
    <t>Vehicle Replacement Programme - x2 Vehicles</t>
  </si>
  <si>
    <t>No longer required</t>
  </si>
  <si>
    <t>Local Engagement</t>
  </si>
  <si>
    <t>LEP Growth Fund - Screening Locations around NYorks</t>
  </si>
  <si>
    <t>Joseph Midgley</t>
  </si>
  <si>
    <t>2023/04/27 Original enquiry to see if project oculd be delivered in tight timeline to deliver in 22/23 financial year.  Waiting to hear if a budget will be allocated for 23/24 financial year.  Not currently required.
Added to FPP</t>
  </si>
  <si>
    <t>Previously taken 11/04/2023</t>
  </si>
  <si>
    <t>Graeme Thisthlethwaite</t>
  </si>
  <si>
    <t>Graeme confirmed not required</t>
  </si>
  <si>
    <t>A60015 Area 6 R&amp;R</t>
  </si>
  <si>
    <t>Framework - Call off</t>
  </si>
  <si>
    <t>Resourcing Request</t>
  </si>
  <si>
    <t>2023/05/10  completed under TP1 R&amp;R and PSDP - A40010
A60015</t>
  </si>
  <si>
    <t>This will go through ICT hardware</t>
  </si>
  <si>
    <t>Commercial Real Estate (Property) Debt</t>
  </si>
  <si>
    <t>Tom Morrison / Jo Foster-Wade</t>
  </si>
  <si>
    <t>This is exempt from PCRs just row for reminder that contract awarded 5yrs + 5x1yr comes to an end</t>
  </si>
  <si>
    <t>2023/04/26 CYPS agree to abandonment</t>
  </si>
  <si>
    <t>Carbon Zero Pilot Scheme for approx 85 properties in the Harrogate District.  Works contract, to be procured following delivery of consultancy requirements.</t>
  </si>
  <si>
    <t>PFH DPS framework</t>
  </si>
  <si>
    <r>
      <t xml:space="preserve">Duplicate entry, see </t>
    </r>
    <r>
      <rPr>
        <i/>
        <sz val="10"/>
        <color rgb="FFFF0000"/>
        <rFont val="Calibri"/>
        <family val="2"/>
      </rPr>
      <t>Carbon Zero Pilot Scheme for approx 85/100 properties in the Harrogate District</t>
    </r>
  </si>
  <si>
    <t>Scarborough West Pier Works</t>
  </si>
  <si>
    <t xml:space="preserve">Duplicated entry, see </t>
  </si>
  <si>
    <t>Area 3 Whitby R&amp;R Tender Package 1</t>
  </si>
  <si>
    <t>This is a duplicate of "TP1 R&amp;R A30013"</t>
  </si>
  <si>
    <t>confrimed as not needed by Vincy as only one off.</t>
  </si>
  <si>
    <r>
      <rPr>
        <sz val="10"/>
        <color rgb="FF000000"/>
        <rFont val="Calibri"/>
        <family val="2"/>
      </rPr>
      <t>36+12+12+12+12+</t>
    </r>
    <r>
      <rPr>
        <sz val="10"/>
        <color rgb="FFFF0000"/>
        <rFont val="Calibri"/>
        <family val="2"/>
      </rPr>
      <t>12</t>
    </r>
    <r>
      <rPr>
        <sz val="10"/>
        <color rgb="FF000000"/>
        <rFont val="Calibri"/>
        <family val="2"/>
      </rPr>
      <t>+12+12</t>
    </r>
  </si>
  <si>
    <t xml:space="preserve">08/06 confirmed with Tom Morrison that the contract was previously terminated  - Remove from FPP. N:\fcs-data\Procurement\PROFESSIONAL\Pensions\Awarded\2018 - 2027 Pensions Insurance Linked Security.  Initial 3 Years plus 7 x 12 month with 4 taken.  </t>
  </si>
  <si>
    <r>
      <rPr>
        <sz val="10"/>
        <color rgb="FF000000"/>
        <rFont val="Calibri"/>
        <family val="2"/>
      </rPr>
      <t>10+</t>
    </r>
    <r>
      <rPr>
        <sz val="10"/>
        <color rgb="FFFF0000"/>
        <rFont val="Calibri"/>
        <family val="2"/>
      </rPr>
      <t>24</t>
    </r>
  </si>
  <si>
    <t>N:\fcs-data\Procurement\PROFESSIONAL\Fleet Management\1. AWARDED - LIVE\Fuel Cards DN544710. Advised  GW and AS 12/4 to advise back if they consider a Variation needed on spend.  Copied on a email 26/4 asking a colleague to send spend data along  - not received at 31/5</t>
  </si>
  <si>
    <t>Extension taken as 24 months</t>
  </si>
  <si>
    <t>Bevan Brittain</t>
  </si>
  <si>
    <t>Sarah Morton</t>
  </si>
  <si>
    <t>14/06 Spend with Ashfords is currently at £26k, this can be removed as legal use compliant frameworks for all spend however, I have suggested it would be best practice to complete a Gateway on the current process. SM agreed this can be done in the Autumn when her new manager is in post.  05/04 Best value form has been completed form for this, current spend at £10k 02/03 SM had to reshedule this so a catch up is due. 19/01 Meeting booked in with SM to discuss trial on Ashfords and her opinion on suggested procurement routes. 10/11 SM Currently direct awarded some work (via BV form) to Ashfords as a part of a trial. 02/11 Potential process to be outlined regarding use of CCS/EMLawshare following 6 months trial period via direct award to Asfords (CCS). 31/10 Update meeting arranged with SM.20/09/22 Discussed framework options with SM and explained how to comission via legal rather than individual customers. 01/09/2022 Evaluating  current framework options, gathering ideas on how we would like to evaluate or potntially lot.</t>
  </si>
  <si>
    <t>Consultant for Land Audit</t>
  </si>
  <si>
    <t>Please delete row, no information has been provided from client teams following several chasing emails/calls. (They are aware I think their resource should be removed due to lack of their input.)</t>
  </si>
  <si>
    <t>Highway maintenance gangs</t>
  </si>
  <si>
    <t>Nick Burgess / Claire Smart</t>
  </si>
  <si>
    <t>15/06/23 - Project paused as the scope of requirements may be changing. Awaiting decision on NYH DPS  •	Highway maintenance gangs: to be de-resourced as this procurement will be undertaken by an external consultant when NYH finalise the engagement of said consultant.
*Can this be de-resourced?</t>
  </si>
  <si>
    <t>15/06/23 - Nick Burgess confirmed this is going to be extended and not re-tendered.
Do be de-resourced.  •	Rural grass cutting: to be de-resourced as NYH have confirmed the existing contract will be extended and not re-procured. There is a separate row on the FPP for the extension.</t>
  </si>
  <si>
    <t>DN471834</t>
  </si>
  <si>
    <t>Lift and Escalator  Maintenance</t>
  </si>
  <si>
    <t>Other (Awarded via the Northern Housing Consortium Supply of Services under the Passenger Lifts Framework Lot 3)</t>
  </si>
  <si>
    <t xml:space="preserve">Questionning if this should go via Hard FM or not. </t>
  </si>
  <si>
    <t>Asbestos - Removal</t>
  </si>
  <si>
    <t>Tolent Solutions</t>
  </si>
  <si>
    <t>Supplier in administration legal advice - contract termination</t>
  </si>
  <si>
    <t>Whitby Towns Fund - Whitby Old Town Hall 
[&amp; Market Place Project Delivery]</t>
  </si>
  <si>
    <t>Alex Richards / Kerry Levit</t>
  </si>
  <si>
    <t>2023/06/18 Duplicate entry</t>
  </si>
  <si>
    <t>Hot box</t>
  </si>
  <si>
    <t>2023/06/21 Not required, contract initial term is up to 2026</t>
  </si>
  <si>
    <r>
      <rPr>
        <sz val="10"/>
        <color rgb="FF000000"/>
        <rFont val="Calibri"/>
        <family val="2"/>
      </rPr>
      <t>24</t>
    </r>
    <r>
      <rPr>
        <sz val="10"/>
        <color rgb="FFFF0000"/>
        <rFont val="Calibri"/>
        <family val="2"/>
      </rPr>
      <t>+24</t>
    </r>
  </si>
  <si>
    <t>SRF Package 4 Richmond and Skeeby A10026
Richmond Town Centre
Richmond School
Skeeby</t>
  </si>
  <si>
    <t>Duplicate as Chris W was given the same project with a different name. Asked Martin to remove one of the projects from the FPP.</t>
  </si>
  <si>
    <t>advised no longer required.</t>
  </si>
  <si>
    <t>In-Cab Technology and wider Waste logistic systems</t>
  </si>
  <si>
    <t>James Atthews / Claire Warren (IT)</t>
  </si>
  <si>
    <t>Training provision: retrofit coordinators for 30</t>
  </si>
  <si>
    <t>Delivered in house</t>
  </si>
  <si>
    <t>Training provision: renewables installer training (30 ASHP, 20 Solar PV, 10 Solar Thermal, 20 Battery Storage, 10 F Gas)</t>
  </si>
  <si>
    <t>RiDC</t>
  </si>
  <si>
    <t>Damp Proofing</t>
  </si>
  <si>
    <t>Allerton All Damp</t>
  </si>
  <si>
    <r>
      <rPr>
        <sz val="10"/>
        <color rgb="FF000000"/>
        <rFont val="Calibri"/>
        <family val="2"/>
      </rPr>
      <t xml:space="preserve">24 + </t>
    </r>
    <r>
      <rPr>
        <sz val="10"/>
        <color rgb="FFFF0000"/>
        <rFont val="Calibri"/>
        <family val="2"/>
      </rPr>
      <t>12</t>
    </r>
    <r>
      <rPr>
        <sz val="10"/>
        <color rgb="FF000000"/>
        <rFont val="Calibri"/>
        <family val="2"/>
      </rPr>
      <t xml:space="preserve"> + 12</t>
    </r>
  </si>
  <si>
    <t>Sarah Smith?</t>
  </si>
  <si>
    <r>
      <rPr>
        <sz val="10"/>
        <color rgb="FFFF0000"/>
        <rFont val="Calibri"/>
        <family val="2"/>
      </rPr>
      <t xml:space="preserve">N:\fcs-data\Procurement\Traded Service\Richmondshire District Council\Damp Proofing and Condensation
</t>
    </r>
    <r>
      <rPr>
        <sz val="10"/>
        <color rgb="FF000000"/>
        <rFont val="Calibri"/>
        <family val="2"/>
      </rPr>
      <t>Should be below threshold extension but may be subject to price increase which is a variation.  Awaiting confirmation from service area re price increase.</t>
    </r>
  </si>
  <si>
    <t>TP3 Drainage and Specials - A60016</t>
  </si>
  <si>
    <t>2023/07/17 Cancell as delivered by NYH , Bhu</t>
  </si>
  <si>
    <t>DFG Works - property, area Welburn - Extension, Specialist Bath
(Disability Support Grant)</t>
  </si>
  <si>
    <t>2023.07/17 covered by waiver</t>
  </si>
  <si>
    <t>Alarms - Contract variation via Lot 1</t>
  </si>
  <si>
    <t>Shaun Tunney / Michael Goddard</t>
  </si>
  <si>
    <t xml:space="preserve">Not required anymore, Lot 1 has been extended for 12 months, which also includes alarms services. </t>
  </si>
  <si>
    <t>Alverton and Bedale Primaries – roofing works combined package</t>
  </si>
  <si>
    <t>19/07/23 - Contract issued to Dufell Roofing following Directors Recommendation.</t>
  </si>
  <si>
    <t>SRF Package 2 Leyburn A10025</t>
  </si>
  <si>
    <t xml:space="preserve">19/07/23 - This project will not be going ahead in the current financial year. </t>
  </si>
  <si>
    <t>Client money and case management system for Court of Protection Team (Replacement of CASPAR)</t>
  </si>
  <si>
    <r>
      <rPr>
        <sz val="10"/>
        <color rgb="FF000000"/>
        <rFont val="Calibri"/>
        <family val="2"/>
      </rPr>
      <t>24</t>
    </r>
    <r>
      <rPr>
        <sz val="10"/>
        <color rgb="FFFF0000"/>
        <rFont val="Calibri"/>
        <family val="2"/>
      </rPr>
      <t>+12</t>
    </r>
  </si>
  <si>
    <t>Direct Award via Framework</t>
  </si>
  <si>
    <t>Sophie Watson / Julie.6.Thompson / Lorena Phillips</t>
  </si>
  <si>
    <t>Lorena confirmed not required as replacement contract</t>
  </si>
  <si>
    <t>DN518455</t>
  </si>
  <si>
    <t>DestinationCore (Tourism System)</t>
  </si>
  <si>
    <t>John Light</t>
  </si>
  <si>
    <r>
      <rPr>
        <sz val="10"/>
        <color rgb="FF000000"/>
        <rFont val="Calibri"/>
        <family val="2"/>
      </rPr>
      <t xml:space="preserve">Contract in place until 2024 then will need procurement - </t>
    </r>
    <r>
      <rPr>
        <sz val="10"/>
        <color rgb="FFFF0000"/>
        <rFont val="Calibri"/>
        <family val="2"/>
      </rPr>
      <t xml:space="preserve">no info
</t>
    </r>
    <r>
      <rPr>
        <sz val="10"/>
        <color rgb="FF000000"/>
        <rFont val="Calibri"/>
        <family val="2"/>
      </rPr>
      <t>25/07 - John Light has advised not needed as extending current arrangement 
19/07 - Graeme T advised not him think it may be John Light, have sent John an email</t>
    </r>
  </si>
  <si>
    <t>A30015 Area 3 TP3 Civils / Landslips
Hunters Sty Westerdale
C221
Brompton Ings</t>
  </si>
  <si>
    <t>2023/07/26 Email PHo 11/07/2023 cancel
27/06/2023 - Potential for sheme to be cancelled, one scheme potentially to be self delivered by NH Y, remaining two could be postponded into 23/24 delivery 
11/07/2023 (PH) Emailed Helen asking for a response to my email on 08/06/2023. Helen advised this would not be coming to procurement in the foreseeable future. I forwarded the email to Martin and requested the project be removed from the FPP.</t>
  </si>
  <si>
    <t>DFG Works - property, area Eastfield - Extension, Driveway, Carriage Crossing
(Disability Support Grant)</t>
  </si>
  <si>
    <t>2023/07/27 Covered by waiver</t>
  </si>
  <si>
    <t>DFG Works - property, area Filey - Extension, Safe Outdoor Area
(Disability Support Grant)</t>
  </si>
  <si>
    <t>SH006</t>
  </si>
  <si>
    <t>Disabled Facilities Grant adaptations and discretionary works</t>
  </si>
  <si>
    <t>DFG Works - property, area Arkendale
(Disability Support Grant)</t>
  </si>
  <si>
    <t>Paula Donachy</t>
  </si>
  <si>
    <t>2023/05/11 defered due to landlord issues, PDo.  Replaced by urgent HG2 project</t>
  </si>
  <si>
    <t>DFG Works - property, area Scarborough - Extension, Internal Reconfig
(Disability Support Grant)</t>
  </si>
  <si>
    <t>DFG Works - property, area Scarborough - Bedroom Extension &amp; Int. Reconfig
(Disability Support Grant)</t>
  </si>
  <si>
    <t>DFG Works - property, area Whitby - Bedroom and Shower Extension
(Disability Support Grant)</t>
  </si>
  <si>
    <t>DFG Works - property, area Whitby - Shower Extension
(Disability Support Grant)</t>
  </si>
  <si>
    <t>DFG Works - property, area Whitby - Extension, Door Widening
(Disability Support Grant)</t>
  </si>
  <si>
    <t>DFG Works - property, area Thorton Dale - Extension
(Disability Support Grant)</t>
  </si>
  <si>
    <t>Settrington All Saint's Intervention space</t>
  </si>
  <si>
    <t xml:space="preserve">2023/07/27 cancelled PMcl
</t>
  </si>
  <si>
    <t>CyPS</t>
  </si>
  <si>
    <t xml:space="preserve">Norton Lodge (Malton) New Primary School </t>
  </si>
  <si>
    <t>The Ghyll Children's Resource Centre, Skipton - reinstate residential centre</t>
  </si>
  <si>
    <t>Summerbridge - 19030 internal adaptations - 2022</t>
  </si>
  <si>
    <t>Bedale High School - TBC changing room refurbishment
21022</t>
  </si>
  <si>
    <t>Risedale School Bus parking</t>
  </si>
  <si>
    <t>County Hall - the Grand Ceiling Repairs
20047</t>
  </si>
  <si>
    <t>2022/10/21 Phase 1 endign, pause until post LGR
2022/08/15 Pending more asbestos removals
2022/05/19 Possible
2022/03/08 2023 possible, asb to complete by Sept 2022 first
2022/01/25 Due August, no other update yet
2021/11/15 Scaffolding in Dec, Jan 2022 review dates
2021/10/11 Remains target
2021/06/12 New scheme, anticipated dates, 2022 delivery</t>
  </si>
  <si>
    <t xml:space="preserve">Closed and amalgamated into the other 2 projects - Procurement only requires 2 projects oppossed to the 3 originally allocated </t>
  </si>
  <si>
    <t>Green Waste composting / processing (Scarborough locality)</t>
  </si>
  <si>
    <t>Broadings Farm</t>
  </si>
  <si>
    <t>2023/10/03 CSPa confirmed no longer required Discussion w. CSPa 08/09 - on hold to end of  Sept / beginning of Oct, while establishing whether this can be included in wider arrangements (Jo Kearney).</t>
  </si>
  <si>
    <t xml:space="preserve">Spend category </t>
  </si>
  <si>
    <t>DN370993</t>
  </si>
  <si>
    <t>Maintenance and service of Hand Wash Units in public toilets</t>
  </si>
  <si>
    <t xml:space="preserve">Wallgate </t>
  </si>
  <si>
    <t>signed a 3 year service contract and due to covid servicing didn’t continue. Service area is in talks with Wallgate</t>
  </si>
  <si>
    <t>WAN and Internet - Main Connection to Mercury House - WAN and Internet - Connection to all external sites</t>
  </si>
  <si>
    <t>contract expired 30 September 2022 - rolling contract - not sure if this will be required as NYC</t>
  </si>
  <si>
    <t>DN555468</t>
  </si>
  <si>
    <t>Contract Hire Agreement of Specialist Vehicles</t>
  </si>
  <si>
    <t>Specialist Fleet Services Ltd</t>
  </si>
  <si>
    <t>H&amp;S (Consultancy)</t>
  </si>
  <si>
    <t>GIS - ArcGIS and Local View Fusion</t>
  </si>
  <si>
    <t>Leon Spencer</t>
  </si>
  <si>
    <t>DN320908</t>
  </si>
  <si>
    <t>Electoral Registration Printing (Canvassing)</t>
  </si>
  <si>
    <t xml:space="preserve">Print UK </t>
  </si>
  <si>
    <t xml:space="preserve">Tender </t>
  </si>
  <si>
    <t>Valuation Services</t>
  </si>
  <si>
    <t>DN368858</t>
  </si>
  <si>
    <t>Mobile Phones</t>
  </si>
  <si>
    <t>DN486892</t>
  </si>
  <si>
    <t>High Level Support &amp; Consultancy for ICT Infrastructure</t>
  </si>
  <si>
    <t>Razor Blue</t>
  </si>
  <si>
    <t>DN314403</t>
  </si>
  <si>
    <t>Multi Function Devices Equipment</t>
  </si>
  <si>
    <t>DN290876</t>
  </si>
  <si>
    <t>Street Lighting Technician (Stainton)</t>
  </si>
  <si>
    <t xml:space="preserve">Stainton Lighting Design Services Ltd </t>
  </si>
  <si>
    <t>7 Water Cooler Maintenance ESPO Framework 900W</t>
  </si>
  <si>
    <t>Drainage Maintenance Services</t>
  </si>
  <si>
    <t>Lanes Group Plc</t>
  </si>
  <si>
    <t>tender</t>
  </si>
  <si>
    <t xml:space="preserve">Maintenance of Light Fleet </t>
  </si>
  <si>
    <t>Truck Technics</t>
  </si>
  <si>
    <t>DN502507</t>
  </si>
  <si>
    <t>Alarm Call Monitoring</t>
  </si>
  <si>
    <t>Ryedale District Council</t>
  </si>
  <si>
    <t>Webaspexs</t>
  </si>
  <si>
    <t>TR18/16</t>
  </si>
  <si>
    <t xml:space="preserve">IDOX Uniform (Bldg Control, Licensing, EH) </t>
  </si>
  <si>
    <t>Efficiency North Procure ReAllies (supply of materials to depot e.g. basins, sinks etc.)</t>
  </si>
  <si>
    <t>Storage and Servers</t>
  </si>
  <si>
    <t>European Electonique Limited</t>
  </si>
  <si>
    <t>Electrical Vehicle Charging Units Installation and 4 year maintenance</t>
  </si>
  <si>
    <t>TWM Traffic</t>
  </si>
  <si>
    <t>Risk Valuation Work</t>
  </si>
  <si>
    <t xml:space="preserve">CIPFA Business Limited </t>
  </si>
  <si>
    <t>DN199741</t>
  </si>
  <si>
    <t>Cleaning Contractor</t>
  </si>
  <si>
    <t xml:space="preserve">PMB Services </t>
  </si>
  <si>
    <t>Revenues, Benefits &amp; Housing Management System</t>
  </si>
  <si>
    <t>RATING ADVICE SERVICE (Property Valuation)</t>
  </si>
  <si>
    <t>Dry Recycling Collaboration Agreement</t>
  </si>
  <si>
    <t>NYCC/Yorwaste</t>
  </si>
  <si>
    <t xml:space="preserve">income generated in addition to cost </t>
  </si>
  <si>
    <t>DN235063</t>
  </si>
  <si>
    <t>Merchant Acquiring Card Service</t>
  </si>
  <si>
    <t>Emergency Building Suppliers</t>
  </si>
  <si>
    <t>Timber Supplies</t>
  </si>
  <si>
    <t>Procurement of security (SIEM) Software</t>
  </si>
  <si>
    <t>Window Cleaning</t>
  </si>
  <si>
    <t>Extended to 30.06.2023. Tim informed this is to continue on rolling annual until LGR, upgrades being discussed with Razorblue currently, to be scheduled Oct/Nov 22</t>
  </si>
  <si>
    <t>UPS maintenance</t>
  </si>
  <si>
    <t>26.01.2023 emailed Tim for update. To be renewed. Tim informed no changes planned until UPS is replaced as hardware support is via manufacturer, due 2024/25 (though LGR is likely to dictate)</t>
  </si>
  <si>
    <t>Extended to 31.07.2023. Tim informed there are no plans for change with LGR and ‘New ways of working’ approach (fewer people in the building and usage dropped as a result) in mind.  Printers are overdue for renewal but difficult to scope requirements with so many unknowns in mind currently.  Has been raised during LGR workshops as is relevant to other Councils in a similar position. Annual rolling contract currently.</t>
  </si>
  <si>
    <t>External Audit</t>
  </si>
  <si>
    <t>Grant Thornton UK LLP</t>
  </si>
  <si>
    <t>Anton Hodge</t>
  </si>
  <si>
    <t> Emailed AH for Requirements going forward. Updated agreement required as auditor appointed by PSAA</t>
  </si>
  <si>
    <t>26.01.2023 emailed Tim for update. Check T&amp;Cs for notice period. Tim informed this requirement is likely to wind down very quickly once we reach 01/04/23, I don’t envisage changes before then.</t>
  </si>
  <si>
    <t>Processing of Housing Benefit and Council Tax Claims</t>
  </si>
  <si>
    <t>Meritec</t>
  </si>
  <si>
    <t>01.02.23 Emailed ML for update. Service area need to advise intentions going forward.</t>
  </si>
  <si>
    <t xml:space="preserve">Two optional extension avaialble </t>
  </si>
  <si>
    <t>Grass Cutting</t>
  </si>
  <si>
    <t>Lowther Forestry Group Ltd</t>
  </si>
  <si>
    <t>4+1</t>
  </si>
  <si>
    <t>15/02/23 NK not looked at this as no requirements during this period</t>
  </si>
  <si>
    <t>Northgate Revenues &amp; Benefits System</t>
  </si>
  <si>
    <t>Northgate</t>
  </si>
  <si>
    <t>Marcus Lee sent copy of contract, this was agreed prior to NYCC procurement service. No procurement or approval granted</t>
  </si>
  <si>
    <t>Malton Livestock Market Professional  Fees</t>
  </si>
  <si>
    <t>Project still going through approval for next stage. Align have been appointed under the collaboration agreement for the initial stage. Further legal advice needed as to whether Align can be appointed at over FTS value for next stages</t>
  </si>
  <si>
    <t>Malton Livestock Market Works</t>
  </si>
  <si>
    <t>16/2 This has not been approved, this will be a decision for the new council as complex. Legal are looking at offer for land at Eden Camp from Fitzwilliam Trust Corporation (FTC) with caveats to be agreed. If agreed this will be a new construction.</t>
  </si>
  <si>
    <t>Council Tax Single Person Discount Review</t>
  </si>
  <si>
    <t>Datatank Ltd</t>
  </si>
  <si>
    <t>01.02.23 Emailed ML for update. This contract is waiting to be signed by NYCC to agree to the recharges, Scarborough Borough Council are the lead authority for this contract.Looks like this has expired so needs picking up, no idea how this has been called off G-Cloud but looks like we signed the suppliers terms.</t>
  </si>
  <si>
    <t>27.01.2023 Tim still needs to send renewal information and upgrade details, upgrade needs to go on contracts register. 18.11.22. Tim to update NK with renewal. Civica uprade aprox £53k needed, no compliant route. Informed Tim/Alison that they need approval, procurement risk but no other options, need to link in with LGR workstream. Exemption approved untill 31.08.22, due integration into other systems. Rolling contracts cant see value</t>
  </si>
  <si>
    <t>Malton Livestock Market Management</t>
  </si>
  <si>
    <t>Requirements and timescales to be confirmed. Only needed if a service contract is chosen rather than a property lease agreement. Stacey Speakman is aware of this and legal has been providing advice.</t>
  </si>
  <si>
    <t>Management of Sponsorship Programme for Roundabouts and Landscaped Areas in the Harrogate District</t>
  </si>
  <si>
    <t>Advised this is a Kate Dawson project.  Chasing discussion with a view to progressing.</t>
  </si>
  <si>
    <t>DN348135</t>
  </si>
  <si>
    <t>ROUTINE MAINTENANCE, CALL OUT AND REPAIRS TO GENERATORS AT COUNCIL OWNED PROPERTIES IN THE HARROGATE DISTRICT</t>
  </si>
  <si>
    <t>This one is in contract until 31/07/2023 DN348135 WB Power Services</t>
  </si>
  <si>
    <t>Purchase of Building (Electrical) Materials</t>
  </si>
  <si>
    <t>Washroom Services at Harrogate Borough Council Public Buildings</t>
  </si>
  <si>
    <t>Looking to appoint through ESPO framework.  Currently bechmarking pricing, if all is well then we just need to finalise direct award.  Worth c£22k</t>
  </si>
  <si>
    <t>Direct award via DAS Framework REF: RM3821 - Lot 2a Environmental and Planning</t>
  </si>
  <si>
    <t>Current contract extended to 2025.</t>
  </si>
  <si>
    <t>Harrogate Borough Council Integrated Workplace Management Solutions</t>
  </si>
  <si>
    <t>Chris Houghton</t>
  </si>
  <si>
    <t>Meeting with Chris Houghton 21/07/22.  Project is still ongoing, likely to need at least a 12 month extension which is allowed for in the current contract.  To pick up again in Oct / Nov 22.  DG 22/07/22</t>
  </si>
  <si>
    <t>PRO168</t>
  </si>
  <si>
    <t>Technical Services for Housing Adaptation</t>
  </si>
  <si>
    <t>Extended to 31/8/2023 -supplier Bowman Riley</t>
  </si>
  <si>
    <t>CDC0028</t>
  </si>
  <si>
    <t>Council Tax, NNDR, Housing Benefits, Council Tax Benefit, Replacement Benefits periods, Addacs &amp; Auddis plus QueryView licences (Business Objects) - info @ work interface, DIP integration, scan application, local housing allowance, BIDS, IB/ESA &amp; MKS</t>
  </si>
  <si>
    <t>16/3/2024</t>
  </si>
  <si>
    <t>Negotiation and exemption report</t>
  </si>
  <si>
    <r>
      <rPr>
        <sz val="11"/>
        <color rgb="FF000000"/>
        <rFont val="Calibri"/>
        <family val="2"/>
      </rPr>
      <t xml:space="preserve">Information Services Contract (Craven) - </t>
    </r>
    <r>
      <rPr>
        <sz val="11"/>
        <color rgb="FFFF0000"/>
        <rFont val="Calibri"/>
        <family val="2"/>
      </rPr>
      <t xml:space="preserve"> Rachel Waddington service lead - extended to 15/3/2024 - Northgate supplier</t>
    </r>
  </si>
  <si>
    <t>CDC0121</t>
  </si>
  <si>
    <t>Software - IDOX Solution for DC,BC,EH,GIS,LLPG,Licensing,Waste.</t>
  </si>
  <si>
    <t>31/3/2022</t>
  </si>
  <si>
    <r>
      <rPr>
        <sz val="11"/>
        <color rgb="FF000000"/>
        <rFont val="Calibri"/>
        <family val="2"/>
      </rPr>
      <t xml:space="preserve">Information Services Contract (Craven) - </t>
    </r>
    <r>
      <rPr>
        <sz val="11"/>
        <color rgb="FFFF0000"/>
        <rFont val="Calibri"/>
        <family val="2"/>
      </rPr>
      <t xml:space="preserve">Tashi checking with service </t>
    </r>
  </si>
  <si>
    <t>PRO064</t>
  </si>
  <si>
    <t>EU tender</t>
  </si>
  <si>
    <t>Head of Assets/CIO</t>
  </si>
  <si>
    <t>Supplier - Tivoli Expires 31/3/2024</t>
  </si>
  <si>
    <t>CDC0059</t>
  </si>
  <si>
    <t>Software - Veeam Backup and Replication</t>
  </si>
  <si>
    <t>17/12/2023</t>
  </si>
  <si>
    <r>
      <rPr>
        <sz val="11"/>
        <color rgb="FF000000"/>
        <rFont val="Calibri"/>
        <family val="2"/>
      </rPr>
      <t xml:space="preserve">CIO / Head of Assets - </t>
    </r>
    <r>
      <rPr>
        <sz val="11"/>
        <color rgb="FFFF0000"/>
        <rFont val="Calibri"/>
        <family val="2"/>
      </rPr>
      <t>Jim McCulloch</t>
    </r>
  </si>
  <si>
    <r>
      <rPr>
        <sz val="11"/>
        <color rgb="FF000000"/>
        <rFont val="Calibri"/>
        <family val="2"/>
      </rPr>
      <t xml:space="preserve">Information Services Contract (Craven) - </t>
    </r>
    <r>
      <rPr>
        <sz val="11"/>
        <color rgb="FFFF0000"/>
        <rFont val="Calibri"/>
        <family val="2"/>
      </rPr>
      <t xml:space="preserve">rolling 16/12/2023 - theroy can roll on </t>
    </r>
  </si>
  <si>
    <t>DM009</t>
  </si>
  <si>
    <t>Office Cleaning</t>
  </si>
  <si>
    <t>Maxim Facilities Management Ltd</t>
  </si>
  <si>
    <t>RB009</t>
  </si>
  <si>
    <t xml:space="preserve">Bespoke Interfaces for C Tax/NNDR &amp; Benefits System </t>
  </si>
  <si>
    <t>2023/03/15 Is this continuing, if so what has been put in place?</t>
  </si>
  <si>
    <t>DM028</t>
  </si>
  <si>
    <t>Public Lighting - Consultant - HDC</t>
  </si>
  <si>
    <t>Stainton Lighting Design Services</t>
  </si>
  <si>
    <t>2023/03/16 all under one post LGR?  no longer required? to be confirmed.  Is this APP design?</t>
  </si>
  <si>
    <t>CS005</t>
  </si>
  <si>
    <t>Print Room &amp; MFDs</t>
  </si>
  <si>
    <t>XMA Ltd</t>
  </si>
  <si>
    <t>DM024</t>
  </si>
  <si>
    <t>Grass Cutting - HDC</t>
  </si>
  <si>
    <t>2023/03/16 all under one post LGR?  no longer required? NY H?</t>
  </si>
  <si>
    <t>WS014</t>
  </si>
  <si>
    <t>Green Waste Labels</t>
  </si>
  <si>
    <t xml:space="preserve">2023/03/16 all under one post LGR?  no longer required? to be confirmed. </t>
  </si>
  <si>
    <t>LG007</t>
  </si>
  <si>
    <t>Elections Print Service Contract</t>
  </si>
  <si>
    <t>Print for Business Ltd</t>
  </si>
  <si>
    <t>31/01/2024</t>
  </si>
  <si>
    <t>RB001</t>
  </si>
  <si>
    <t xml:space="preserve">Jacobs </t>
  </si>
  <si>
    <t>WS013</t>
  </si>
  <si>
    <t>Recycling of Co-mingled and Dry Recyclates</t>
  </si>
  <si>
    <t>YORwaste / Erin</t>
  </si>
  <si>
    <t>2023/03/15 has this been confirmed as YORwaste.  Final extension period</t>
  </si>
  <si>
    <t>DM029</t>
  </si>
  <si>
    <t>Public Lighting – Services Contractor - HDC</t>
  </si>
  <si>
    <t>Acorn Lighting</t>
  </si>
  <si>
    <t>2023/03/15 NY H?</t>
  </si>
  <si>
    <t>IC029</t>
  </si>
  <si>
    <t>Infrastructure Renew</t>
  </si>
  <si>
    <t>Insight Direct (UK) Ltd</t>
  </si>
  <si>
    <t>WS003</t>
  </si>
  <si>
    <t>Green Waste composting</t>
  </si>
  <si>
    <t>2023/03/15 has this been confirmed as YORwaste.  Tied into YORwaste 2025</t>
  </si>
  <si>
    <t>WS011</t>
  </si>
  <si>
    <t>Planned and Reactive maintenance and civil engineering works</t>
  </si>
  <si>
    <t>£1,000,000</t>
  </si>
  <si>
    <t>possibly duplicated with line 612 - Scarborough to clarify</t>
  </si>
  <si>
    <t>MFDS and Printers</t>
  </si>
  <si>
    <t>Wheelie Bins</t>
  </si>
  <si>
    <t>No contract/framework in place - quote exercises only when required</t>
  </si>
  <si>
    <t>DN359317</t>
  </si>
  <si>
    <t>942-19 Highways Materials</t>
  </si>
  <si>
    <t>DN207719 (CONTRACT-YORE-994FXV)</t>
  </si>
  <si>
    <t>Processing of Dry Recyclables</t>
  </si>
  <si>
    <t>ERIN</t>
  </si>
  <si>
    <t>Not provided</t>
  </si>
  <si>
    <t>2023/04/24 potential for a single ten year extension, which must not be taken without reference to Kerry Green / Peter Jeffries.  Contract archive information requested from YORtender records</t>
  </si>
  <si>
    <t>Coastal and Flood Maintenance Works Term Contract 2017 - 2021</t>
  </si>
  <si>
    <t>SDC2021 036</t>
  </si>
  <si>
    <t>Supply of Wheeled Bins</t>
  </si>
  <si>
    <t>4 years</t>
  </si>
  <si>
    <t>SDC2017 120</t>
  </si>
  <si>
    <t>Benefits Annual Billing</t>
  </si>
  <si>
    <t>Live</t>
  </si>
  <si>
    <t>SDC2019 017</t>
  </si>
  <si>
    <t>QS Services</t>
  </si>
  <si>
    <t>Framework direct award</t>
  </si>
  <si>
    <t>BWA (Europe) Ltd</t>
  </si>
  <si>
    <t>SDC2017 14</t>
  </si>
  <si>
    <t>Fencing</t>
  </si>
  <si>
    <t>Document Management Software for Planning</t>
  </si>
  <si>
    <r>
      <rPr>
        <sz val="11"/>
        <color rgb="FF000000"/>
        <rFont val="Calibri"/>
        <family val="2"/>
      </rPr>
      <t xml:space="preserve">Can be extended for 24 months. </t>
    </r>
    <r>
      <rPr>
        <sz val="11"/>
        <color rgb="FFFF0000"/>
        <rFont val="Calibri"/>
        <family val="2"/>
      </rPr>
      <t>contract to 31/3/2025</t>
    </r>
  </si>
  <si>
    <r>
      <t xml:space="preserve">2 x 12 month extensions available. - </t>
    </r>
    <r>
      <rPr>
        <sz val="11"/>
        <color rgb="FFFF0000"/>
        <rFont val="Calibri"/>
        <family val="2"/>
      </rPr>
      <t xml:space="preserve">extended  to 28/2/2024 then one FOTE to 28/2/2025 - supplier PLANON ltd </t>
    </r>
  </si>
  <si>
    <t>DN470045</t>
  </si>
  <si>
    <t>Implementation, Support and Maintenance of the IDOX Planning System</t>
  </si>
  <si>
    <t>Other (Direct award from the CCS Local Authority Services Framework.)</t>
  </si>
  <si>
    <r>
      <rPr>
        <sz val="11"/>
        <color rgb="FF000000"/>
        <rFont val="Calibri"/>
        <family val="2"/>
      </rPr>
      <t xml:space="preserve">Extended to 2025 then will need to be procured.  </t>
    </r>
    <r>
      <rPr>
        <sz val="11"/>
        <color rgb="FFFF0000"/>
        <rFont val="Calibri"/>
        <family val="2"/>
      </rPr>
      <t xml:space="preserve">Contract ends 31/3/2025 </t>
    </r>
  </si>
  <si>
    <t>DN474664</t>
  </si>
  <si>
    <t>Document Management System for Housing</t>
  </si>
  <si>
    <t>Other (Direct Award from the CCS DAS Framework Ref RM3821)</t>
  </si>
  <si>
    <r>
      <rPr>
        <sz val="11"/>
        <color rgb="FF000000"/>
        <rFont val="Calibri"/>
        <family val="2"/>
      </rPr>
      <t>This is part of the wider northgate contract which ends in 2025 and will need ongoing procurement. -</t>
    </r>
    <r>
      <rPr>
        <sz val="11"/>
        <color rgb="FFFF0000"/>
        <rFont val="Calibri"/>
        <family val="2"/>
      </rPr>
      <t>no info</t>
    </r>
  </si>
  <si>
    <t>DN384715</t>
  </si>
  <si>
    <t>Digital process automation services for Revenues and Benefits.</t>
  </si>
  <si>
    <t>Other (GCloud10 Call Off)</t>
  </si>
  <si>
    <r>
      <rPr>
        <sz val="11"/>
        <color rgb="FF000000"/>
        <rFont val="Calibri"/>
        <family val="2"/>
      </rPr>
      <t xml:space="preserve">To be delivered under best value should this need to continue - </t>
    </r>
    <r>
      <rPr>
        <sz val="11"/>
        <color rgb="FFFF0000"/>
        <rFont val="Calibri"/>
        <family val="2"/>
      </rPr>
      <t>no info</t>
    </r>
  </si>
  <si>
    <t>Job Evaluation</t>
  </si>
  <si>
    <t xml:space="preserve">Pilat </t>
  </si>
  <si>
    <t xml:space="preserve">Agency staff </t>
  </si>
  <si>
    <t>Exemption (professional services)</t>
  </si>
  <si>
    <t>Strategic Director, Planning and Regeneration</t>
  </si>
  <si>
    <r>
      <rPr>
        <sz val="11"/>
        <color rgb="FF000000"/>
        <rFont val="Calibri"/>
        <family val="2"/>
      </rPr>
      <t xml:space="preserve">Exemption has expired - will be included in any procurement activity for agency staff - </t>
    </r>
    <r>
      <rPr>
        <sz val="11"/>
        <color rgb="FFFF0000"/>
        <rFont val="Calibri"/>
        <family val="2"/>
      </rPr>
      <t>Tashi checking this can be deleted</t>
    </r>
  </si>
  <si>
    <t>Contract executed 10.03.22. No imminent needs</t>
  </si>
  <si>
    <t>Waste management services</t>
  </si>
  <si>
    <t>YORWaste</t>
  </si>
  <si>
    <t>Claire Smart
Andrew Binner</t>
  </si>
  <si>
    <t>19/04 Client team have requested this is removed from FPP - have updated MS. 05/04 Chased CS for T&amp;Cs from Mark and further infotion on a technical specification. 14/12 Requested Framework Agreement to review details of call offs as currently unaccpetable.24/11/ Requested a meeting with Legal to discuss the agreement drafted for this as call off requirements are unclear.10/11 Started Stage 1 alongside Claire. 2022/09/14 New project requirement from NY H for November</t>
  </si>
  <si>
    <t>Eavestone Forestry Track</t>
  </si>
  <si>
    <t>RS Church</t>
  </si>
  <si>
    <t>Awarded - live potentially complete</t>
  </si>
  <si>
    <t>26.01.2023 emailed Tim for update. To be extended for further 12 months, Keiran leading on this.</t>
  </si>
  <si>
    <t>18.11.22. Tim informed to be extended, send renewal docs to NK. Tim Informed a series of Idox upgrades scheduled into July/August 2022, no changes planned or possible on that basis, aside from the fact that Idox is massively embedded and common to all districts, is being looked at collectively as part of LGR. Found compliant CCS framework but min 3 year term. Exception to be reviewed prior to renewal. Renewal received 23/02/23. Estimated cost for 22/23 £54k need to confirm with Tim</t>
  </si>
  <si>
    <t>Refurbishment of 5 Vine Street</t>
  </si>
  <si>
    <t xml:space="preserve">Lesley Fargher </t>
  </si>
  <si>
    <t>Lesley emailed to inform more funds are required or need to agree reduced specification.Lesley emailed enquiring routes to market, potential project lead by LHL consultants. Current budget approved in £75k + £20k contingency</t>
  </si>
  <si>
    <t>Marion Wrightson</t>
  </si>
  <si>
    <r>
      <rPr>
        <sz val="10"/>
        <color rgb="FF000000"/>
        <rFont val="Calibri"/>
        <family val="2"/>
      </rPr>
      <t xml:space="preserve">The supply and installation of a Pay on Foot parking solution for its Jubilee and Victoria Multi Storey Car Parks in the Harrogate Town Centre. May need future procurements to replace or maintain existing. Scheidt &amp; Bachmann UK Ltd. Parking Services Team to advise? - </t>
    </r>
    <r>
      <rPr>
        <sz val="10"/>
        <color rgb="FFFF0000"/>
        <rFont val="Calibri"/>
        <family val="2"/>
      </rPr>
      <t>nothing started</t>
    </r>
    <r>
      <rPr>
        <sz val="10"/>
        <color rgb="FF000000"/>
        <rFont val="Calibri"/>
        <family val="2"/>
      </rPr>
      <t xml:space="preserve"> </t>
    </r>
  </si>
  <si>
    <t>DN445703</t>
  </si>
  <si>
    <t>Libby Kirkley-Brian</t>
  </si>
  <si>
    <r>
      <rPr>
        <sz val="10"/>
        <color rgb="FF000000"/>
        <rFont val="Calibri"/>
        <family val="2"/>
      </rPr>
      <t xml:space="preserve">Concession contract below threshold, not clear if this will continue or not. - </t>
    </r>
    <r>
      <rPr>
        <sz val="10"/>
        <color rgb="FFFF0000"/>
        <rFont val="Calibri"/>
        <family val="2"/>
      </rPr>
      <t>nothing started</t>
    </r>
  </si>
  <si>
    <t>Contract to manage a cultural grants scheme for arts/heritage community activity, venues (e.g. village halls buying staging/lighting etc.)</t>
  </si>
  <si>
    <t>poss £30k 3 years</t>
  </si>
  <si>
    <t>Practitioner for street projections</t>
  </si>
  <si>
    <t>poss £8k</t>
  </si>
  <si>
    <t>Arcdade to devise and deliver a programme of participatory work on Tadcaster's 'High Street'.  R&amp;D to define and develop larger project</t>
  </si>
  <si>
    <t>Tadcaster Development Agreement</t>
  </si>
  <si>
    <t>Martin Grainger</t>
  </si>
  <si>
    <t>Creative Sector Development</t>
  </si>
  <si>
    <t>automated call out system for  customer contact for council tax and other debt recovery</t>
  </si>
  <si>
    <t>Richard Spittlehouse</t>
  </si>
  <si>
    <t>completed extended to 17/12/2023 no more OTE</t>
  </si>
  <si>
    <t>Framework: Supply of Plants</t>
  </si>
  <si>
    <t>remove</t>
  </si>
  <si>
    <t>DN444034</t>
  </si>
  <si>
    <t>Electronic Payment Services</t>
  </si>
  <si>
    <t>Other (CCS direct Award Framework)</t>
  </si>
  <si>
    <t>Access Pay contract extended to 12/11/2023</t>
  </si>
  <si>
    <t>SDC 069</t>
  </si>
  <si>
    <t>Choice Based Lettings Software (all districts except Harrogate use this)</t>
  </si>
  <si>
    <t>Dominic Richardson</t>
  </si>
  <si>
    <t>Supplier Arbitas - Housing bidding &amp; Allocation software</t>
  </si>
  <si>
    <t>NYCC Dell / EMC Storage</t>
  </si>
  <si>
    <t>24/06 - Chased Steve for an update - this needs following up
29/04 Steve has advised that they are undecided on how to proceed due to LGR complications.  May extend 12 months to buy more time.  Awaiting a quote from existing provider. 
06/04 chased Steve again for update
Chased Steve for some feedback on this project and how he would like to move it forward.  Is more storage required or just maintenance of existing storage?  Will update once I get a response and work on next steps.</t>
  </si>
  <si>
    <t>Ecological Datacentre Agreement renewal</t>
  </si>
  <si>
    <t>North and East Yorkshire Ecological Datacentre</t>
  </si>
  <si>
    <t>Awaiting completed DR</t>
  </si>
  <si>
    <t>Cleaning Services for Hostels</t>
  </si>
  <si>
    <t>Tender pack being reviewed by service team.  To be issued via YPO DPS solution.</t>
  </si>
  <si>
    <t>Above £50k</t>
  </si>
  <si>
    <t>Below £50k</t>
  </si>
  <si>
    <t>No. of Active Projects</t>
  </si>
  <si>
    <t>Active Projects updated within the last week</t>
  </si>
  <si>
    <t>% Updated in the last 7 days</t>
  </si>
  <si>
    <t>No. of Non Active Projects</t>
  </si>
  <si>
    <t>8 - 14 Days</t>
  </si>
  <si>
    <t>15 - 21 Days</t>
  </si>
  <si>
    <t>22 - 28 Days</t>
  </si>
  <si>
    <t>Over 28 Days</t>
  </si>
  <si>
    <t>PROCUREMENT</t>
  </si>
  <si>
    <t>CONTRACT MANAGEMENT</t>
  </si>
  <si>
    <t>Directorates</t>
  </si>
  <si>
    <t>Process</t>
  </si>
  <si>
    <t>Months</t>
  </si>
  <si>
    <t>Market Engagement</t>
  </si>
  <si>
    <t>Document Development</t>
  </si>
  <si>
    <t>Competition / Market Offer</t>
  </si>
  <si>
    <t>Evaluation</t>
  </si>
  <si>
    <t>Procurement lead</t>
  </si>
  <si>
    <t>Activity</t>
  </si>
  <si>
    <t>Method</t>
  </si>
  <si>
    <t>SLAs</t>
  </si>
  <si>
    <t>Brimhams</t>
  </si>
  <si>
    <t>Central Services</t>
  </si>
  <si>
    <t xml:space="preserve">Transformation </t>
  </si>
  <si>
    <t>Emergency Planning</t>
  </si>
  <si>
    <t>CS Legal and Democratic</t>
  </si>
  <si>
    <t>Member Support</t>
  </si>
  <si>
    <t xml:space="preserve">P1 Master category </t>
  </si>
  <si>
    <t>Underway</t>
  </si>
  <si>
    <t>DPS - NYCC</t>
  </si>
  <si>
    <t>DPS - Establish</t>
  </si>
  <si>
    <t>Accelerate</t>
  </si>
  <si>
    <t xml:space="preserve">DPS - Internal call off </t>
  </si>
  <si>
    <t>Out of Exclusion</t>
  </si>
  <si>
    <t>Domestic Goods</t>
  </si>
  <si>
    <t>Contract Management Targeted Support</t>
  </si>
  <si>
    <t>Further Comp NY H</t>
  </si>
  <si>
    <t>New list - process type</t>
  </si>
  <si>
    <t>Vicky Murray</t>
  </si>
  <si>
    <t>Framework - Establish</t>
  </si>
  <si>
    <t>Grant Process</t>
  </si>
  <si>
    <t xml:space="preserve">Whole Life Cost (inc VAT) assumed 20% </t>
  </si>
  <si>
    <t>Annual Cost of Contract (ex VAT)</t>
  </si>
  <si>
    <t>St Leonards Close Retaining Wall</t>
  </si>
  <si>
    <t>Exception of CSO signed by S151 officer and Head of Corporate Governance. Contract to be JCT. Procurement and legal provided advice on the risk of going direct. Project lead needs to provide update and send details so this can be added to contracts register, they are aware they have to do this.</t>
  </si>
  <si>
    <r>
      <t>12+</t>
    </r>
    <r>
      <rPr>
        <sz val="10"/>
        <color rgb="FFFF0000"/>
        <rFont val="Calibri"/>
        <family val="2"/>
      </rPr>
      <t>12</t>
    </r>
    <r>
      <rPr>
        <sz val="10"/>
        <color rgb="FF000000"/>
        <rFont val="Calibri"/>
        <family val="2"/>
      </rPr>
      <t>+12+12</t>
    </r>
  </si>
  <si>
    <t>Consortium procurement have advised that Morgan Lambert are requiestingg a CPI increase and will forward prices on when they have submitted them.</t>
  </si>
  <si>
    <t>Music Service System (Currently Paritor - PMO Ref: 3055)</t>
  </si>
  <si>
    <r>
      <rPr>
        <sz val="10"/>
        <color rgb="FFFF0000"/>
        <rFont val="Calibri"/>
        <family val="2"/>
      </rPr>
      <t>12</t>
    </r>
    <r>
      <rPr>
        <sz val="10"/>
        <color rgb="FF000000"/>
        <rFont val="Calibri"/>
        <family val="2"/>
      </rPr>
      <t>+12</t>
    </r>
  </si>
  <si>
    <t>Complete and records updated</t>
  </si>
  <si>
    <r>
      <rPr>
        <sz val="10"/>
        <color rgb="FFFF0000"/>
        <rFont val="Calibri"/>
        <family val="2"/>
      </rPr>
      <t>60</t>
    </r>
    <r>
      <rPr>
        <sz val="10"/>
        <color rgb="FF000000"/>
        <rFont val="Calibri"/>
        <family val="2"/>
      </rPr>
      <t>+24</t>
    </r>
  </si>
  <si>
    <r>
      <rPr>
        <sz val="10"/>
        <color rgb="FFFF0000"/>
        <rFont val="Calibri"/>
        <family val="2"/>
      </rPr>
      <t xml:space="preserve">File path: N:\fcs-data\Procurement\PROFESSIONAL\T and C\Case Management\Trailblazer
</t>
    </r>
    <r>
      <rPr>
        <sz val="10"/>
        <color rgb="FF000000"/>
        <rFont val="Calibri"/>
        <family val="2"/>
      </rPr>
      <t>Contract variation fully signed.</t>
    </r>
  </si>
  <si>
    <t xml:space="preserve">31/03 - contract signed  completed contract register/finder etc
Procurement\PROFESSIONAL\Fleet Management\1. AWARDED - LIVE\ISAM &amp; Portal Fees 2020-23 DN503801\Portal Fees
</t>
  </si>
  <si>
    <t>Dignicare</t>
  </si>
  <si>
    <t>Invalid proposed procurement method</t>
  </si>
  <si>
    <t>Original KD taken for procurement - 04/12/2018</t>
  </si>
  <si>
    <t xml:space="preserve"> Now signed </t>
  </si>
  <si>
    <t xml:space="preserve">Household Support Fund (HSF 3) - DWP Voucher Scheme </t>
  </si>
  <si>
    <r>
      <rPr>
        <sz val="10"/>
        <color rgb="FF000000"/>
        <rFont val="Calibri"/>
        <family val="2"/>
      </rPr>
      <t xml:space="preserve">DR Approved - Adele will issue invoices to citizens advice variation doc pulled together - waiting on cofirmation of signatories - </t>
    </r>
    <r>
      <rPr>
        <b/>
        <sz val="10"/>
        <color rgb="FF000000"/>
        <rFont val="Calibri"/>
        <family val="2"/>
      </rPr>
      <t xml:space="preserve">Complete </t>
    </r>
  </si>
  <si>
    <t>Reeth project</t>
  </si>
  <si>
    <t xml:space="preserve">NORTH YORKSHIRE 
HOSPICE CARE LIMITED </t>
  </si>
  <si>
    <t>HASLT: 18/08/2022</t>
  </si>
  <si>
    <t>Variation agreed for remainder of contract (being finalised). No intention to reprocure (will use APL moving forward)</t>
  </si>
  <si>
    <t xml:space="preserve">complete signed off </t>
  </si>
  <si>
    <t>Welburn Hall SEN 
Temporary Accommodation</t>
  </si>
  <si>
    <t>Paula McLean /
Stephen Cooke</t>
  </si>
  <si>
    <t>13/04/23 - Contract issued and signed. Project completed on Yortender. To be archived.</t>
  </si>
  <si>
    <t xml:space="preserve">A20015 Area 2 &amp; Area 7 Joint R&amp;R Package 22/23              </t>
  </si>
  <si>
    <t>Stuart Grimston
Sam Dickinson
Ross Waters
Rob Cook</t>
  </si>
  <si>
    <t>13/04/23 - Signed contract received, Completed on Yortender. This can now be archived.</t>
  </si>
  <si>
    <t>TP2 Cat 2’s and cat3’s A40011</t>
  </si>
  <si>
    <t>2023/03/27 awarded contract issued                                                                                12/01/23  - docs ready and sent out for tender                                                                                                                                                                09/12/2022 New scheme of 2023/24 programme, headline notification, tiering to be confirmed</t>
  </si>
  <si>
    <t>2023/01/31 Extension Notice Signed - COMPLETE</t>
  </si>
  <si>
    <t xml:space="preserve">2023/03/15 - Call off contract is for 4 years ending in 2025, so don't need to extend - COMPLETE
</t>
  </si>
  <si>
    <t>47834 (DN551610)</t>
  </si>
  <si>
    <t>A59 Kex Gill Improvement (2021)
Advanced works element of main contract</t>
  </si>
  <si>
    <t>J Sisk &amp; Son</t>
  </si>
  <si>
    <r>
      <rPr>
        <sz val="10"/>
        <color rgb="FFFF0000"/>
        <rFont val="Calibri"/>
        <family val="2"/>
      </rPr>
      <t xml:space="preserve">N:\fcs-data\Procurement\PLACE\3 Environmental &amp; Engineering\47834 (DN551610) A59 Kex Gill (2021)
</t>
    </r>
    <r>
      <rPr>
        <sz val="10"/>
        <color rgb="FF000000"/>
        <rFont val="Calibri"/>
        <family val="2"/>
      </rPr>
      <t>17/01/23 - fully approved.
Advance works have been delayed and DfT approvals and grant funding secured so plan is to move from advance works to main contract on 03/04/23.  CM support provided by WSP.</t>
    </r>
  </si>
  <si>
    <t>In house system</t>
  </si>
  <si>
    <r>
      <rPr>
        <b/>
        <sz val="10"/>
        <color rgb="FF000000"/>
        <rFont val="Calibri"/>
        <family val="2"/>
      </rPr>
      <t xml:space="preserve">PROJECT COMPLETE: </t>
    </r>
    <r>
      <rPr>
        <sz val="10"/>
        <color rgb="FF000000"/>
        <rFont val="Calibri"/>
        <family val="2"/>
      </rPr>
      <t xml:space="preserve"> 07/03/23: </t>
    </r>
  </si>
  <si>
    <t xml:space="preserve">Complete. </t>
  </si>
  <si>
    <t>Contract complete. POs sent.</t>
  </si>
  <si>
    <r>
      <rPr>
        <sz val="10"/>
        <color rgb="FF000000"/>
        <rFont val="Calibri"/>
        <family val="2"/>
      </rPr>
      <t>36+</t>
    </r>
    <r>
      <rPr>
        <sz val="10"/>
        <color rgb="FFFF0000"/>
        <rFont val="Calibri"/>
        <family val="2"/>
      </rPr>
      <t>12+12</t>
    </r>
  </si>
  <si>
    <r>
      <rPr>
        <sz val="10"/>
        <color rgb="FFFF0000"/>
        <rFont val="Calibri"/>
        <family val="2"/>
      </rPr>
      <t>File Path: Professional - T&amp;C - Business - Awarded- Fleet Management</t>
    </r>
    <r>
      <rPr>
        <sz val="10"/>
        <color rgb="FF000000"/>
        <rFont val="Calibri"/>
        <family val="2"/>
      </rPr>
      <t xml:space="preserve"> OTE 1 of 2
</t>
    </r>
    <r>
      <rPr>
        <b/>
        <sz val="10"/>
        <color rgb="FF000000"/>
        <rFont val="Calibri"/>
        <family val="2"/>
      </rPr>
      <t>G4 fully approved for both extensions to be taken together</t>
    </r>
    <r>
      <rPr>
        <sz val="10"/>
        <color rgb="FF000000"/>
        <rFont val="Calibri"/>
        <family val="2"/>
      </rPr>
      <t>.  Contract extension drafted but not being uploaded onto Signing Hub until after vesting day - awaiting signatory details from service area.</t>
    </r>
  </si>
  <si>
    <t>Extension notice fully signed</t>
  </si>
  <si>
    <t xml:space="preserve">N:\fcs-data\Procurement\PROFESSIONAL\T and C\HR\1. Awarded\2022-2024 Recruitment Admin (DBS System) 30219
Duplicate record see row 163
</t>
  </si>
  <si>
    <t xml:space="preserve">Direct Award </t>
  </si>
  <si>
    <t>2023/04/13 - now complete set up with Livewell through HBC as just prior to vesting day</t>
  </si>
  <si>
    <t>Bell End Landslip
A40008</t>
  </si>
  <si>
    <t>Approved capital programme 22/23</t>
  </si>
  <si>
    <t>Tim Coynes</t>
  </si>
  <si>
    <t>2023/03/31  - awarded  contract iissued</t>
  </si>
  <si>
    <t>HASLT: 12/2022 
HAS EX: 13/01/2023</t>
  </si>
  <si>
    <t>Rebecca Dukes</t>
  </si>
  <si>
    <t>Contracts signed. Decision Record checked by legal and submitted. Updating systems and then can close</t>
  </si>
  <si>
    <t>DOMESTIC ABUSE - Domestic Abuse Victims Community-Based Services in North Yorkshire &amp; City of York</t>
  </si>
  <si>
    <r>
      <t>48+</t>
    </r>
    <r>
      <rPr>
        <sz val="10"/>
        <color rgb="FFFF0000"/>
        <rFont val="Calibri"/>
        <family val="2"/>
        <scheme val="minor"/>
      </rPr>
      <t>12</t>
    </r>
  </si>
  <si>
    <t>Contracts Signed. . Sent contract to legal on 18th</t>
  </si>
  <si>
    <r>
      <t>48+</t>
    </r>
    <r>
      <rPr>
        <sz val="10"/>
        <color rgb="FFFF0000"/>
        <rFont val="Calibri"/>
        <family val="2"/>
        <scheme val="minor"/>
      </rPr>
      <t>24</t>
    </r>
    <r>
      <rPr>
        <sz val="10"/>
        <rFont val="Calibri"/>
        <family val="2"/>
        <scheme val="minor"/>
      </rPr>
      <t>+24+24</t>
    </r>
  </si>
  <si>
    <t>Completed and signed - needs removing from FPP</t>
  </si>
  <si>
    <t>North Northallerton New Primary School 
Re tender</t>
  </si>
  <si>
    <t xml:space="preserve">28/04/23 - Signed contract received. Project completed on Yortender. To be archived.
</t>
  </si>
  <si>
    <t xml:space="preserve"> File path: N:\fcs-data\Procurement\PROFESSIONAL\Marketing &amp; Communications\1. AWARDED - LIVE\2022-2024 Multidisciplinary Media Services DN562841
29/11/2022 VG agreed to extend to 1.1.24.  01/12/2022 Dependable signed 12/1/23 Jemison signed 12/12/22, copy saved into folder 
                                                                                                                                                                                                                                                                                                                                                                                                                                                          </t>
  </si>
  <si>
    <t xml:space="preserve">Both contracts now signed and complete. No award for Lot 3. Lot 1 started 1 Feb 2023 still ends 31/12/24. </t>
  </si>
  <si>
    <t xml:space="preserve">Contract signed and complete. Existing contract still to be terminated. </t>
  </si>
  <si>
    <t>Contract signed and complete. Ends 30/04/2026 (36 months and 1 day)</t>
  </si>
  <si>
    <t>Fleet Management System
(currently provided by AssetWorks)</t>
  </si>
  <si>
    <r>
      <rPr>
        <sz val="10"/>
        <color rgb="FFFF0000"/>
        <rFont val="Calibri"/>
        <family val="2"/>
      </rPr>
      <t xml:space="preserve">File Path: Professional - T&amp;C - Business - Awarded- Fleet Management
</t>
    </r>
    <r>
      <rPr>
        <sz val="10"/>
        <color rgb="FF000000"/>
        <rFont val="Calibri"/>
        <family val="2"/>
      </rPr>
      <t>OTE 2 of 2
OTE 2 approved at same time as OTE 1.  Contract doc fully signed.</t>
    </r>
  </si>
  <si>
    <t>Purchase of Power (Electricity) (including UMS for street)</t>
  </si>
  <si>
    <t>2023/04/14 Main contract completeion.  to close following final on baording discussion</t>
  </si>
  <si>
    <t>28/02/23: All responses received for second chance offers. Service area to provide finalised agreed costs for Ctts Finder/Register etc. 07/03/23: Service area to provide final cost/value figures this week. 15/03/23: Notices being prepared (FTS/Ctts Finder). 23/03/2023: FTS Notice being published today. 30/03/23: FTS Notice published - PROJECT COMPLETE</t>
  </si>
  <si>
    <t>Building Signage for Vesting day</t>
  </si>
  <si>
    <t>PM Ken Waller</t>
  </si>
  <si>
    <t xml:space="preserve">2023/04/26 - Checked with KWa if procurement input is still required - value has dropped into BVF.
</t>
  </si>
  <si>
    <t>File Path: Professional - Policy &amp; Partnerships- VCS Infrastructure Support Grant 2020 Gateway 4 approved by PAB 28/07. 
Jan 23 NI agrees the KD  decision, 19 Jan - no call in
1/3/23 Signed copy received. 
13.3.23 Supplier want to countersign the amended date in the contract.  
12/04/23 Countersigned contract not received, file closed, client updated</t>
  </si>
  <si>
    <t xml:space="preserve">N:\fcs-data\Procurement\PROFESSIONAL\T and C\Miscellaneous\1. Awarded\School and Pupil Data Analysis -FFT
contract signed, records created
</t>
  </si>
  <si>
    <t>AONB Skell Ponds</t>
  </si>
  <si>
    <t>Awarded to Maydencroft Ltf for 2 months only. - Confrm with Kathy if one-off so can be removed - completed</t>
  </si>
  <si>
    <r>
      <t xml:space="preserve">Current contract with Vizsec. Ends 31/03/2023. Updated PID received - query re value of new contract as service is to be extended. In discussion with JS- </t>
    </r>
    <r>
      <rPr>
        <sz val="10"/>
        <color rgb="FFFF0000"/>
        <rFont val="Calibri"/>
        <family val="2"/>
      </rPr>
      <t xml:space="preserve">Awarded to Vizsec - 1/4/2023 - 31/3/2025 FOTE to 31/3/2026 </t>
    </r>
  </si>
  <si>
    <t>Inititial Term</t>
  </si>
  <si>
    <t>Garden Waste Stickers / Tags</t>
  </si>
  <si>
    <t>Estimated spend based on Craven spend of £35k and Ryedale spend of £15k.
Supplier in Craven is Eucid Ltd, Ryedale Permiserv Ltd.</t>
  </si>
  <si>
    <t xml:space="preserve">A100021 Tender Package 8 
Fremmington
Cotterdale
?A684 drainage?
</t>
  </si>
  <si>
    <t>Thomas Bow</t>
  </si>
  <si>
    <t>2023/05/09 - Signed contract received - updated on YT nd pushed to CF</t>
  </si>
  <si>
    <t>SRF Package 5 Laybys A10027
A6108</t>
  </si>
  <si>
    <t>Lane Rental Services</t>
  </si>
  <si>
    <t>2023/05/10 - Signed contract received - updated on YT and pushed to CF</t>
  </si>
  <si>
    <t>Scarborough Library - internal refurb</t>
  </si>
  <si>
    <t>10/05/2023 - Contract uploaded and project closed down on YORtender</t>
  </si>
  <si>
    <t>Development of Light-industrial Starter Units - Thornton Rd, Pickering</t>
  </si>
  <si>
    <t xml:space="preserve">Howard Wallis howard.wallis@ryedale.gov.uk </t>
  </si>
  <si>
    <t>2023/04/05 - Completed order form sent with developer agreement to Pagabo.  Completes Procurement input but will keep open to monitor.  CF Notice to be published</t>
  </si>
  <si>
    <t>Additional PBCS Licences (New District Licences)</t>
  </si>
  <si>
    <t>Insight UK Ltd</t>
  </si>
  <si>
    <t>2023/04/27 Variation signed - COMPLETE</t>
  </si>
  <si>
    <t>River Foss Catchment Project</t>
  </si>
  <si>
    <t>11/05 Complete. 27/04 Contract sent to YWT - David Caulfield internal signature. 19/04 Panel are reviewing the bid, consensus next week. 13/04 Tender closes tomorrow with evaluation and consensus following next week. 05/04 Timeline changed to 14/03 tender deadline due to new EA report publication (in agreement with funding). 09/03 Published, LB supporting whilst i'm on AL - Emails saved within folder regarding specification. 16/02 Completed contract checklist and reviewed funding details alongside Hugh. 09/02 Updated PP alongside Hugh/Maria are drafting contract checklist 02/02 Hugh has met with legal to draft T&amp;Cs alongside Maria. 26/01 Has reviewed areas of Hugh's spec and has added comments to discuss as a 3.19/01 Requested grant agreement for Maria, currently waiting on Hugh's review of ITB. 05/01 Pricing and SQ updated for Hugh to review. 08/12 Updating ITB with intention to publish 18/01. 24/11/2022 No suitable frameworks so this will be an ITB currently have sent a first draft ITB and project plan to Hugh for updates.17/11 Timescales within Agreement have been edited for an additional year meeing with Hugh to discuss. 26/09 Original project awarded to Yorkshire Wildlife Trust in 2019, the remaining £180k is required to be spent by March 2025 the project will require a contractor to engineer and manage a system to spread flooding across areed patches of farmland and reduce silt to improve water quality in the Foss. Hugh creating short brief to send to frameworks.  
13/09 Contacted Hugh for a catch up on the background and requirements of this project. 
2022/08/23 Works involve physcial bund creration and also farmer and landower liasion
2022/08/03 New project as part of the wider Foss catchment EA work.  Tiering to be confirmed once detials understood and confirmed by HC-H.  KIT meeting 23/08</t>
  </si>
  <si>
    <t xml:space="preserve">65372	</t>
  </si>
  <si>
    <t xml:space="preserve">Ouse Swing Bridge Run on Slab/joints </t>
  </si>
  <si>
    <t>PBS Construction Limited</t>
  </si>
  <si>
    <t>Philip Richardson (Bridges) / 
James Walker</t>
  </si>
  <si>
    <t>05/04 Completed. 23/02/2023 Suppliers notified of outcome and contract sent. 16/02 Currently evaluating.</t>
  </si>
  <si>
    <t>North Yorkshire Economic Growth Strategy</t>
  </si>
  <si>
    <t>Steer Davies &amp; Gleave Ltd</t>
  </si>
  <si>
    <r>
      <rPr>
        <sz val="10"/>
        <color rgb="FFFF0000"/>
        <rFont val="Calibri"/>
        <family val="2"/>
      </rPr>
      <t xml:space="preserve">N:\FCS-DATA\Procurement\PROFESSIONAL\LEP\LGR Economic Growth Strategy
</t>
    </r>
    <r>
      <rPr>
        <sz val="10"/>
        <color rgb="FF000000"/>
        <rFont val="Calibri"/>
        <family val="2"/>
      </rPr>
      <t>Contract variation fully signed.</t>
    </r>
  </si>
  <si>
    <t>16/05 - Contract signed need to complete contracts register etc</t>
  </si>
  <si>
    <t>Stuart Langston / Jennifer Lagan</t>
  </si>
  <si>
    <t>Supply of Products and/or Services under the Stairlift and Lifting Equipment</t>
  </si>
  <si>
    <t>Maintenance £7000 per annum install for DFG Average £40000 per annum
Extension agreed by both parties - Consortium notified
17/03 emailed consortium asking them to extend for a further year.</t>
  </si>
  <si>
    <t>See Above</t>
  </si>
  <si>
    <t>Contracts will generally run between April 2023 and April 2025, with an option to extend for two further periods of 12 months, .  Total possible Contract duration is four years (2+1+1).</t>
  </si>
  <si>
    <t>PROJECT COMPLETE: Gateway 3 signed off. Contracts awarded, and re-awarded to next in line bidders where applicable. Final publcation of award info 06/03/23. Line 80 &amp; Line 81 Tender requirements were combined into one tender 56062. Scarborough, Selby &amp; Misc Local Bus Services and Hambleton, Scarborough, Selby Mainstream, &amp; Misc</t>
  </si>
  <si>
    <t>Selby Town Swing Bridge – fibre reinforced polymer (FRP) composite deck replacement.
Design, manufactuer and install</t>
  </si>
  <si>
    <t>Key Decision required?</t>
  </si>
  <si>
    <t xml:space="preserve">2022/12/06 EOI closed 2/12.  3 responses to the questions - all positive and can supply.  There were 6 further suppliers who accepted the EOI but didn't answer the questions.  Responses sent to JWa on 01/12.  </t>
  </si>
  <si>
    <t>Craven area dry mixed recycling</t>
  </si>
  <si>
    <t>J&amp;B Recycling</t>
  </si>
  <si>
    <t xml:space="preserve">2023/05/28 - Contract signed by all parties on signinghub.  Collections and processing to commence 02/05.
2023/04/25 - S/Still ended with no challenge.  Contract has been sent to relevant parties via signinghub, however YW have been unable to get in contact with CWM to arrange prompt signing.   </t>
  </si>
  <si>
    <t>Harlow Nursery boiler replacement</t>
  </si>
  <si>
    <t>Sally Dickinson</t>
  </si>
  <si>
    <t xml:space="preserve">2023/04/27 Approval to proceed using lowest quote from 3 previously submitted prior to vesting day.  Urgency and business critical replacement.  Lowest priced bidder to be appointed. </t>
  </si>
  <si>
    <t>2023/04/28  energy team working to onbaord all sites  
2023/04/13   contract started with Smarta on 1st Apr  check on final paperwork to complete.                                                                                                                                       2023/03/09 Approval for G3 given, mobilisation commenced</t>
  </si>
  <si>
    <t>Supply of PPE and Workwear</t>
  </si>
  <si>
    <t>2023/02/23  check with Nick if can be closed off now.                                                   2022/12/15  NYH can access second ranked just have to quote NEPO F/N number informed Nick 
2022/12/08  looking to access 2nd ranked supplier on NEPO f/w will contact nepo 2022/12/01   call booked in earlier this week with Nick for w/c 05/12/22                            2022/11/17  will set up call with Nick to discuss  w/c  20/11                                               2022/11/02 Confirmed requirement to find a secondary supplier 
2022/05/09 No update
2021/06/23 find dates</t>
  </si>
  <si>
    <t>Marage Path Footbridge – Design and Build Replacement</t>
  </si>
  <si>
    <t>20203/05/05  job awardrd  contract to be created .                                                           2023/04/28 tender issued and awarded contract to issue asap 
2023/03/14 documents have been promised for April PRi</t>
  </si>
  <si>
    <t>Grow Yorkshire - UK Shared Prosperity Fund</t>
  </si>
  <si>
    <t>Proposal to use the YPO Consultancy Framework. BVF signed for initial 6 month pilot. Awaiting authorisation of year 2 and 3 funding - Gateway 1 and 3 initially drafted.</t>
  </si>
  <si>
    <t>HASLT: 05/10/2023
HASEX: 10/11/2023</t>
  </si>
  <si>
    <r>
      <rPr>
        <sz val="10"/>
        <color rgb="FF000000"/>
        <rFont val="Calibri"/>
        <family val="2"/>
      </rPr>
      <t xml:space="preserve">Current contract was a direct award to the district/ borough councils for 5 yrs.
Collboration agreement naturally expires 5 years from commencement date (ends 30/9/2024).No procurement requirement to be delivered in house - </t>
    </r>
    <r>
      <rPr>
        <b/>
        <sz val="10"/>
        <color rgb="FF000000"/>
        <rFont val="Calibri"/>
        <family val="2"/>
      </rPr>
      <t>Completed</t>
    </r>
  </si>
  <si>
    <r>
      <t>33+</t>
    </r>
    <r>
      <rPr>
        <sz val="10"/>
        <color rgb="FFFF0000"/>
        <rFont val="Calibri"/>
        <family val="2"/>
        <scheme val="minor"/>
      </rPr>
      <t>36</t>
    </r>
    <r>
      <rPr>
        <sz val="10"/>
        <rFont val="Calibri"/>
        <family val="2"/>
        <scheme val="minor"/>
      </rPr>
      <t>+24+24</t>
    </r>
  </si>
  <si>
    <t>Contracts signed. Reminded Service area about decision record 04/05/2023</t>
  </si>
  <si>
    <t>Arranging meeting with Louise Heaps 28/02/2023 - still collating Boroigh/District Data to COP 3/3/2023.</t>
  </si>
  <si>
    <t>NYNET</t>
  </si>
  <si>
    <t xml:space="preserve">NYC </t>
  </si>
  <si>
    <t xml:space="preserve">Project Gigabit - Social Value </t>
  </si>
  <si>
    <t>alastair.taylor@nynet.co.uk</t>
  </si>
  <si>
    <t xml:space="preserve">Information submitted to Alastair. Complete (until evaluation later in the year). </t>
  </si>
  <si>
    <t xml:space="preserve">Contract now signed and complete. </t>
  </si>
  <si>
    <r>
      <t>32+12+</t>
    </r>
    <r>
      <rPr>
        <sz val="10"/>
        <color rgb="FFFF0000"/>
        <rFont val="Calibri"/>
        <family val="2"/>
        <scheme val="minor"/>
      </rPr>
      <t>12</t>
    </r>
  </si>
  <si>
    <t xml:space="preserve">File path: N:\fcs-data\Procurement\PROFESSIONAL\T and C\Business\1. Awarded\e-Democracy DN460974
2 x 12 month extenions 1st Feb 2023-31st Jan 2024 &amp; 1st Feb 2024-31st Jan 2025
Emma Richards is dealing with the 23-24 extension and will let me know when this is done and the 24-25 extension needs picking up
ER has extended this contract from Feb 2023 to 31 January 2024.
</t>
  </si>
  <si>
    <r>
      <rPr>
        <sz val="10"/>
        <color rgb="FF000000"/>
        <rFont val="Calibri"/>
        <family val="2"/>
      </rPr>
      <t>24+</t>
    </r>
    <r>
      <rPr>
        <sz val="10"/>
        <color rgb="FFFF0000"/>
        <rFont val="Calibri"/>
        <family val="2"/>
      </rPr>
      <t>24</t>
    </r>
  </si>
  <si>
    <r>
      <rPr>
        <sz val="10"/>
        <color rgb="FFFF0000"/>
        <rFont val="Calibri"/>
        <family val="2"/>
      </rPr>
      <t xml:space="preserve">N:\fcs-data\Procurement\PROFESSIONAL\HR &amp; Training\1. AWARDED - LIVE\2022-2026 End Point Assessments (33185)
</t>
    </r>
    <r>
      <rPr>
        <sz val="10"/>
        <color rgb="FF000000"/>
        <rFont val="Calibri"/>
        <family val="2"/>
      </rPr>
      <t>Minimum 3 months notice required to extend.</t>
    </r>
    <r>
      <rPr>
        <sz val="10"/>
        <color theme="1"/>
        <rFont val="Calibri"/>
        <family val="2"/>
      </rPr>
      <t xml:space="preserve">
27/4 email to client 28/4 Wendy notes wish to extend
2/6/2023 extension letter agreed by WD and sent out via Signing Hub
5/6/23 signed copy of contract saved, YorTender updated</t>
    </r>
  </si>
  <si>
    <t xml:space="preserve">65690	</t>
  </si>
  <si>
    <t>Foston C of E VC Primary School – Classroom Extension</t>
  </si>
  <si>
    <t>08/06/23 - Tender completed on Yortender. This project can now be archived.</t>
  </si>
  <si>
    <t>Beyond Carbon Consultant - Land Audit</t>
  </si>
  <si>
    <t>Contract signed, contract finder and register published</t>
  </si>
  <si>
    <r>
      <rPr>
        <sz val="11"/>
        <color rgb="FF000000"/>
        <rFont val="Calibri"/>
        <family val="2"/>
      </rPr>
      <t>36+</t>
    </r>
    <r>
      <rPr>
        <sz val="11"/>
        <color rgb="FFFF0000"/>
        <rFont val="Calibri"/>
        <family val="2"/>
      </rPr>
      <t>12</t>
    </r>
  </si>
  <si>
    <t>Rosie Sanderson / Brian Mullins</t>
  </si>
  <si>
    <t>Variation doc fully signed off.</t>
  </si>
  <si>
    <r>
      <rPr>
        <b/>
        <sz val="10"/>
        <color rgb="FF000000"/>
        <rFont val="Calibri"/>
        <family val="2"/>
      </rPr>
      <t xml:space="preserve">To be re-resourced. </t>
    </r>
    <r>
      <rPr>
        <sz val="10"/>
        <color rgb="FF000000"/>
        <rFont val="Calibri"/>
        <family val="2"/>
      </rPr>
      <t xml:space="preserve">Desktop evaluation for G-Cloud to be undertaken. New iteration of G-Cloud from Sept 22. Email sent to service area (Jon Holden) to request further information on requirements. Meeting held 09/09/2022. Further meeting to be held with Zoe Hide w/c 19/09/22. 29/09/2022: Zoe Hide seeking further information from colleagues and will contact CH when she has done so.11/10/2022: No update from Service Area. 18/10/2022: Zoe Hide has advised that she will contact Procurement following stakeholder meeting on 21st October. 27/10/2022: No update. 03/11/2022: No update. 10/11/2022: Chase email sent to Zoe Hide. 17/11/2022: CH has arranged progress meeting with John Holden. 22/11/22: Zoe Hilde has advised that she is chasing supplier for quotation infomation. Update passed to JH for info. 30/11/2022: JH to check latest with Zoe. 08/12/22: ZH has received high quotes. Now considering length of potential contract. 14/12/22: CH to do desktop analysis on G-Cloud 13. 22/12/22: Insufficient time to get into contract pre-Christmas due to other prioritised projects. 06/01/2023: G Cloud 13 search done. Outcome to be sent to ZH to assess. CH awaiting conf with SS. 12/01/23: Ch has liaised with PM over G-Cloud 13 analysis, and passed pricing to ZH to review. 19/01/23: Awaiting feedback from ZH. 26/01/23: No update from ZH. 08/02/23: Meeting with ZH on 8th Feb. 15/02/23: ALternative G-Cloud 13 search undertaken. Issues with website saving searches. Ticket raised with CCS to resolve. ZH updated with this info. 21/02/23: CH has asked CCS to escalate the issue as a priority. 28/02/23: Held Conf call with CCS, and chased response. Have created a copy spreadsheet for results until CCS can resolve. Pricing /Service Desc and spreadsheet sent to Zoe H to evaluate. 07/03/23: CCS advise hot fix to be tried this week. Draft Call-off sent to Service Area. 23/03/23: CCS Working on search issue. Service Area doing desk-top eval. 30/03/2023: Gateway 1-3 being written for a 3+1 Direct Award to Concerto. 04/04/23: Awaiting feedback from ZH. 13/04/2023: Gateway and call-off nearing completion. Awaiting feedback re-Legal resource. 18/04/23: Gateway 1-3 at PAB this week. 27/04/23: Call-off with Legal for review. 04/05/23: Term of contract now being reviewed, in line with examination of other systems in use. Subject to change of number of years contracted. 10/05/23: Awaiting budget sign-off and conf of final agreed term. Call-off ready for upload subject to any change advised by Legal. 17/05/23: Contract uploaded. Gateway Approved. 25/05/23: CH to finish off Benefits Form/Contracts Finder/Register updates when contract signed - ZH chasing Concerto for signature (signer is away in USA). 08/06/23: Contract signed. Benefits Form/Contracts Finder/Register updates to do. 14/06/23: All Benefits Form/Contracts Finder/Register updates done. </t>
    </r>
    <r>
      <rPr>
        <b/>
        <sz val="10"/>
        <color rgb="FF000000"/>
        <rFont val="Calibri"/>
        <family val="2"/>
      </rPr>
      <t>PROJECT COMPLETE</t>
    </r>
  </si>
  <si>
    <t>Completed needs removing - all signed on the signing hub</t>
  </si>
  <si>
    <t>IT Hardware Partner (corporate)</t>
  </si>
  <si>
    <t>Caitlin Bell / Paul Lofthouse</t>
  </si>
  <si>
    <t>Please delete row, this will be one contract with two lots.</t>
  </si>
  <si>
    <t>Area 5 Storiths Lane Landslips
A50006</t>
  </si>
  <si>
    <t>15/06/23 - Signed contract received. Project completed on Yortender.
Project to be moved to completed.
Correct Project title is "Area 5 Carriageway Surfacing Package 2023/2024"</t>
  </si>
  <si>
    <r>
      <rPr>
        <sz val="10"/>
        <color rgb="FF000000"/>
        <rFont val="Calibri"/>
        <family val="2"/>
      </rPr>
      <t xml:space="preserve">Extension taken with notifcation letter issued 23/2/23 for 2 years as the contract allowed for one extension of up to 2 years </t>
    </r>
    <r>
      <rPr>
        <sz val="10"/>
        <color rgb="FFFF0000"/>
        <rFont val="Calibri"/>
        <family val="2"/>
      </rPr>
      <t>N:\fcs-data\Procurement\PROFESSIONAL\Pensions\Awarded\2021 - 2025 Pensions Independent Investment Advisor</t>
    </r>
  </si>
  <si>
    <t>DN546003</t>
  </si>
  <si>
    <t>N:\fcs-data\Procurement\PEOPLE\OT Inclusion Hubs and Tribunal Work. Neil Murray confirmed 12 m extension.  Notification letter uploaded to signing hub 17/5 and signed version shared 30/5.  Yortender updated.  Decision Record proforma emailed 15/6</t>
  </si>
  <si>
    <t>Metdesk (Forecasting)
Vaisala (Bureau)</t>
  </si>
  <si>
    <t>2023/06/14 Both extensions signed, updated Yortender - COMPLETE</t>
  </si>
  <si>
    <r>
      <rPr>
        <sz val="10"/>
        <color rgb="FF000000"/>
        <rFont val="Calibri"/>
        <family val="2"/>
      </rPr>
      <t>36+36+</t>
    </r>
    <r>
      <rPr>
        <sz val="10"/>
        <color rgb="FFFF0000"/>
        <rFont val="Calibri"/>
        <family val="2"/>
      </rPr>
      <t>24 (actual varied and 12 months taken)</t>
    </r>
  </si>
  <si>
    <t>Request update early March. N:\fcs-data\Procurement\PROFESSIONAL\T and C\Case Management\1. Awarded\Registrars Management System.  Legal surgery 17/4 to Jennifer Cook - draft contract returned to legal for review 19/04 (chased 04/05)/ received back 30/5.  Uploaded to Signing Hub 01/06 - t Yortender updated.  Decision Record proforma sent to Governance 20/6</t>
  </si>
  <si>
    <t>Highway and Transportation, Parking Services, 
Street Scene, Parks and Grounds</t>
  </si>
  <si>
    <t>Lane Rental consultancy and advice</t>
  </si>
  <si>
    <t>Brighton Traffic Manangement</t>
  </si>
  <si>
    <t xml:space="preserve">A60014 Area 6 &amp; Area 5 Joint R&amp;R Package 22/23              </t>
  </si>
  <si>
    <t>29/06/23 - Copy of signed contract received. Project completed on Yortender. To be archived.</t>
  </si>
  <si>
    <t>Bishop Monkton Replace PCU with traditional build</t>
  </si>
  <si>
    <t>Richmond Methodists - Hygiene Room</t>
  </si>
  <si>
    <t>Great Ouseburn Classroom remodel plus ancillary
Hire or purchase of prefab</t>
  </si>
  <si>
    <t>£2,444,497 (NET IPT)</t>
  </si>
  <si>
    <t>29/06 Completed.</t>
  </si>
  <si>
    <t>Household Registration Service - Elections Management System Add-On</t>
  </si>
  <si>
    <t>Christopher Taylor / Ben Natrass</t>
  </si>
  <si>
    <t>Further variation for additional licences.    Beth in legal reviewed.  Signed copy and Decision Record sent to Chris Taylor 27/06</t>
  </si>
  <si>
    <t>Flexigrant</t>
  </si>
  <si>
    <t>Strategic Leisure Review - Asset Condition Surveys</t>
  </si>
  <si>
    <t>APP to be utilised, therefore no procurement requirement</t>
  </si>
  <si>
    <t>NYCC Approved Provider List:
 - Supported Living 
 - Nursing &amp; Residential 
 - Home Based Support
 - Community Based Support</t>
  </si>
  <si>
    <t>Schools, Adult Education &amp; Outdoor Education Services</t>
  </si>
  <si>
    <t>MFD Extension</t>
  </si>
  <si>
    <t>United Carlton</t>
  </si>
  <si>
    <r>
      <rPr>
        <sz val="10"/>
        <color rgb="FF000000"/>
        <rFont val="Calibri"/>
        <family val="2"/>
      </rPr>
      <t>60</t>
    </r>
    <r>
      <rPr>
        <sz val="10"/>
        <color rgb="FFFF0000"/>
        <rFont val="Calibri"/>
        <family val="2"/>
      </rPr>
      <t>+24</t>
    </r>
  </si>
  <si>
    <t>Dave Hancock / Sheila Cantrell</t>
  </si>
  <si>
    <r>
      <rPr>
        <sz val="10"/>
        <color rgb="FF000000"/>
        <rFont val="Calibri"/>
        <family val="2"/>
      </rPr>
      <t xml:space="preserve">This extension is outside of the contract.  
</t>
    </r>
    <r>
      <rPr>
        <sz val="10"/>
        <color rgb="FFFF0000"/>
        <rFont val="Calibri"/>
        <family val="2"/>
      </rPr>
      <t xml:space="preserve">N:\FCS-DATA\Procurement\PROFESSIONAL\Corporate Contracts\MFDs Richmondshire Extension </t>
    </r>
    <r>
      <rPr>
        <sz val="10"/>
        <color rgb="FF000000"/>
        <rFont val="Calibri"/>
        <family val="2"/>
      </rPr>
      <t xml:space="preserve">or
</t>
    </r>
    <r>
      <rPr>
        <sz val="10"/>
        <color rgb="FFFF0000"/>
        <rFont val="Calibri"/>
        <family val="2"/>
      </rPr>
      <t xml:space="preserve">N:\fcs-data\Procurement\Traded Service\Richmondshire District Council\MFD
</t>
    </r>
    <r>
      <rPr>
        <sz val="10"/>
        <color rgb="FF000000"/>
        <rFont val="Calibri"/>
        <family val="2"/>
      </rPr>
      <t xml:space="preserve">Legal advice from GW is for BVF to be completed - no option to extend original contract and supplier dissolved in 2022 with no evidence of contract novation.  GW has drafted T&amp;Cs and BVF has been forwarded to service area.
</t>
    </r>
    <r>
      <rPr>
        <sz val="10"/>
        <color rgb="FFFF0000"/>
        <rFont val="Calibri"/>
        <family val="2"/>
      </rPr>
      <t xml:space="preserve"> 
</t>
    </r>
    <r>
      <rPr>
        <sz val="10"/>
        <color rgb="FF000000"/>
        <rFont val="Calibri"/>
        <family val="2"/>
      </rPr>
      <t xml:space="preserve">
</t>
    </r>
  </si>
  <si>
    <t>Grant Management Software</t>
  </si>
  <si>
    <t>Contracts records updated, project complete</t>
  </si>
  <si>
    <t>06/07 Complete.</t>
  </si>
  <si>
    <t>Miller Foods</t>
  </si>
  <si>
    <r>
      <t>24</t>
    </r>
    <r>
      <rPr>
        <sz val="10"/>
        <color rgb="FFFF0000"/>
        <rFont val="Calibri"/>
        <family val="2"/>
        <scheme val="minor"/>
      </rPr>
      <t>+24</t>
    </r>
  </si>
  <si>
    <r>
      <rPr>
        <sz val="10"/>
        <color rgb="FFFF0000"/>
        <rFont val="Calibri"/>
        <family val="2"/>
      </rPr>
      <t xml:space="preserve">N:\fcs-data\Procurement\PROFESSIONAL\Catering\1. AWARDED - LIVE\Fresh Meat &amp; Frozen 2022-26 36403
</t>
    </r>
    <r>
      <rPr>
        <b/>
        <sz val="10"/>
        <color rgb="FF000000"/>
        <rFont val="Calibri"/>
        <family val="2"/>
      </rPr>
      <t>Complete.</t>
    </r>
  </si>
  <si>
    <r>
      <rPr>
        <sz val="10"/>
        <color rgb="FF000000"/>
        <rFont val="Calibri"/>
        <family val="2"/>
      </rPr>
      <t>24+12</t>
    </r>
    <r>
      <rPr>
        <sz val="10"/>
        <color rgb="FFFF0000"/>
        <rFont val="Calibri"/>
        <family val="2"/>
      </rPr>
      <t>+12</t>
    </r>
  </si>
  <si>
    <t>N:\fcs-data\Procurement\PROFESSIONAL\HR &amp; Training\Apprenticeships\Levy\4) Directors Recommendation\Children, Young People and Families - Residential extended to 31st March 2024.Available extension 01 April 2024 – 31 March 2025. Is for Children, Young
People and Families Practitioner, Level 4 and Manager, Level 5 Apprenticeship.Residential pathway.
Check the extension is for Level 4 Residential 
21.6.23 email to AMG to ask for her intensions. 29.6/29 - not intending to extend, procurement already underwy (Laura Baxter) - email to LB to confirm. NS inform SS</t>
  </si>
  <si>
    <t>Housing Options</t>
  </si>
  <si>
    <r>
      <t>12+12+</t>
    </r>
    <r>
      <rPr>
        <sz val="10"/>
        <color rgb="FFFF0000"/>
        <rFont val="Calibri"/>
        <family val="2"/>
      </rPr>
      <t>12</t>
    </r>
    <r>
      <rPr>
        <sz val="10"/>
        <color rgb="FF000000"/>
        <rFont val="Calibri"/>
        <family val="2"/>
      </rPr>
      <t>+12</t>
    </r>
  </si>
  <si>
    <t>2023/07/07 Sent signed extension notice to supplier and service area COMPLETE</t>
  </si>
  <si>
    <r>
      <rPr>
        <sz val="10"/>
        <color rgb="FFFF0000"/>
        <rFont val="Calibri"/>
        <family val="2"/>
      </rPr>
      <t xml:space="preserve">N:\fcs-data\Procurement\PROFESSIONAL\Corporate Contracts\1. AWARDED - LIVE\Confidential Shredding 2021 FC10510
</t>
    </r>
    <r>
      <rPr>
        <sz val="10"/>
        <color rgb="FF000000"/>
        <rFont val="Calibri"/>
        <family val="2"/>
      </rPr>
      <t xml:space="preserve">Notice to Extend fully signed. </t>
    </r>
  </si>
  <si>
    <t>A20020 Area 2 23/24 Tender Package 5 Sutton Bank Annual Maintenance
A170</t>
  </si>
  <si>
    <t>2023/07/06  Intention to award to iBex subject to confirmation from HIghways.
2023/06/29 Tender issued on Yortender 10/5.  DC to evaluate tender returns this week, iBex to be confirmed as nominated supplier subject to clarifications due back on 30th June</t>
  </si>
  <si>
    <t>Advocacy Services :
- CYPS Advocacy</t>
  </si>
  <si>
    <t xml:space="preserve"> NYAS</t>
  </si>
  <si>
    <t>Stuart Williams</t>
  </si>
  <si>
    <t>This is now complete and needs removing from the FPP</t>
  </si>
  <si>
    <t>Technology Enable Care System</t>
  </si>
  <si>
    <r>
      <rPr>
        <sz val="10"/>
        <color rgb="FF000000"/>
        <rFont val="Calibri"/>
        <family val="2"/>
      </rPr>
      <t xml:space="preserve">N:\fcs-data\Procurement\Traded Service\Richmondshire District Council\Technology Enabled Care\Richmond DN504236.  Call monitoring system for 7 Sheltered Housing  incorporating 2 </t>
    </r>
    <r>
      <rPr>
        <sz val="10"/>
        <color rgb="FFFF0000"/>
        <rFont val="Calibri"/>
        <family val="2"/>
      </rPr>
      <t>Community centres. Extension already signed.</t>
    </r>
    <r>
      <rPr>
        <sz val="10"/>
        <color rgb="FF000000"/>
        <rFont val="Calibri"/>
        <family val="2"/>
      </rPr>
      <t xml:space="preserve">  Gateway drafted 16/6 and sent to CM with meeting sheduled 21/6.  PAB 13/7 uploaded and agreed - awaiting signed Gateway.  Decision record advice sent and advised completed</t>
    </r>
  </si>
  <si>
    <t>Dredger novation and extension
the Sandsend</t>
  </si>
  <si>
    <t>Dalby Offshore Services</t>
  </si>
  <si>
    <t>Captain Chris Burrows</t>
  </si>
  <si>
    <t xml:space="preserve">2023/07/19 no further action requested closed.
</t>
  </si>
  <si>
    <t>No further action.</t>
  </si>
  <si>
    <t>Commercial Lifting Equipment Maintenance, Service and Repair Contract</t>
  </si>
  <si>
    <t>2023/07/24 Confirmed requirement covered by new Hard FM contract</t>
  </si>
  <si>
    <t>Security of new build sites (housing)</t>
  </si>
  <si>
    <t>Can this be moved to deleted? To be included in the New Contractor DPS.</t>
  </si>
  <si>
    <t>Leisure Management Software as a Service (SAAS) for Brimham's Active</t>
  </si>
  <si>
    <t xml:space="preserve">2 x 12 month extensions available. Supplier - Bramble Hub initial term ends - 11/7/2023 OTE available.  
Supplier happy to ext outside notice period. LGR - no impact. 1x12 month ext. 29.6.23 contract value above threshold  BA contract 24/07/23 Signed contract saved, Yortender updated. Decision record sent to client. HBC PCRs do not include requirement for a gateway
</t>
  </si>
  <si>
    <t>Emailed Phillippa 07/06 requesting contract and confirmation of planned extension.  12 month first extension required with 3 month notice to be given (by 04/08/23).   N:\fcs-data\Procurement\PROFESSIONAL\T and C\Miscellaneous\1. Awarded\Crematorium Plotbox.  Notification letter to extend sent 19/6 for P to check and confirm sign - on holiday until 26th.  Uploaded to signing hub 29/6 - Signed 06/07.  Entered on Yortender.  Assume Decision Record not required re VAT not included on threshold  - requested clarification but not gained</t>
  </si>
  <si>
    <t>The Wensleydale School - 20017 Design technology refurbishment - 2022</t>
  </si>
  <si>
    <t>28/07/23 - Signed contract received. Project completed. To be archived.</t>
  </si>
  <si>
    <t>TP1 R&amp;R A30013</t>
  </si>
  <si>
    <t>2023/07/13 Received signed extension notices from GAP and Sunbelt, but Hire Station and Building Supplies were non responsive. NY Highways stated those contracts weren't used anyway - COMPLETE</t>
  </si>
  <si>
    <t>Special Educational Needs Home to School Transport - x2 schools (Brompton Hall, Forest Moor)</t>
  </si>
  <si>
    <t xml:space="preserve">G4 approved by PAB on 23/06.  G4 fully signed off.  Service area to draft extension docs and share signed copies.
</t>
  </si>
  <si>
    <t>DN561987</t>
  </si>
  <si>
    <t>Yellow Line Parking Limited T/A AppyWay</t>
  </si>
  <si>
    <t>Steve Brown / Charlotte Grayshon</t>
  </si>
  <si>
    <t>2023/07/24 Contract extension signed, copies sent to supplier and service area - COMPLETE</t>
  </si>
  <si>
    <t>DN476794</t>
  </si>
  <si>
    <t>Damp Proofing, Condensation and Radon</t>
  </si>
  <si>
    <t>Allerton Damp Proofing Ltd</t>
  </si>
  <si>
    <t>Colin Eales / Sara Smith</t>
  </si>
  <si>
    <t>2023/07/25 - Service area have confirmed now price rise required and contract has already been extended by Richmondshire DC with a signed extension notice in line with contract terms prior to LGR - COMPLETE</t>
  </si>
  <si>
    <t>Cowling Primary School - Playing Field Works</t>
  </si>
  <si>
    <t>R H Fullwood &amp; Co Ltd</t>
  </si>
  <si>
    <t>2023/08/04 - YT Record updated - Can be closed down.</t>
  </si>
  <si>
    <t>Cornforth Hill Retaining Wall</t>
  </si>
  <si>
    <t>James Walker (Bridges) / Matthew</t>
  </si>
  <si>
    <t xml:space="preserve">2023/07/26 slipped into 24/25
</t>
  </si>
  <si>
    <t>Expression of Interest (EOI) via the HAS APL</t>
  </si>
  <si>
    <t>Completed - meeting in place to finalise process from HAS side</t>
  </si>
  <si>
    <t>Strategic Leisure Review - Consultancy</t>
  </si>
  <si>
    <t>Order form signed, contract records updated</t>
  </si>
  <si>
    <t>Contracts records updated</t>
  </si>
  <si>
    <t>Link</t>
  </si>
  <si>
    <t>Call off agreement signed - contract records and call-off form completed</t>
  </si>
  <si>
    <r>
      <rPr>
        <sz val="10"/>
        <color rgb="FF000000"/>
        <rFont val="Calibri"/>
        <family val="2"/>
      </rPr>
      <t xml:space="preserve">24+12+12 </t>
    </r>
    <r>
      <rPr>
        <sz val="10"/>
        <color rgb="FFFF0000"/>
        <rFont val="Calibri"/>
        <family val="2"/>
      </rPr>
      <t>(+3mths)</t>
    </r>
  </si>
  <si>
    <r>
      <rPr>
        <sz val="10"/>
        <color rgb="FFFF0000"/>
        <rFont val="Calibri"/>
        <family val="2"/>
      </rPr>
      <t xml:space="preserve">N:\FCS-DATA\Procurement\PROFESSIONAL\Corporate Contracts\1. AWARDED - LIVE\2019 - 2024 Removals services
</t>
    </r>
    <r>
      <rPr>
        <sz val="10"/>
        <color rgb="FF000000"/>
        <rFont val="Calibri"/>
        <family val="2"/>
      </rPr>
      <t>Extension fully signed.</t>
    </r>
  </si>
  <si>
    <r>
      <rPr>
        <sz val="10"/>
        <color rgb="FF000000"/>
        <rFont val="Calibri"/>
        <family val="2"/>
        <scheme val="minor"/>
      </rPr>
      <t>36+12+</t>
    </r>
    <r>
      <rPr>
        <sz val="10"/>
        <color rgb="FFFF0000"/>
        <rFont val="Calibri"/>
        <family val="2"/>
        <scheme val="minor"/>
      </rPr>
      <t>12</t>
    </r>
    <r>
      <rPr>
        <sz val="10"/>
        <color rgb="FF000000"/>
        <rFont val="Calibri"/>
        <family val="2"/>
        <scheme val="minor"/>
      </rPr>
      <t>+12</t>
    </r>
  </si>
  <si>
    <t>2023/08/03 Extension agreement signed by all parties COMPLETE</t>
  </si>
  <si>
    <t xml:space="preserve">N:\fcs-data\Procurement\PROFESSIONAL\Corporate Contracts\1. AWARDED - LIVE\Postal Services 2021-2025 DN560907
KD allows for extension period.7/12/2022 JM confirms he is looking to extend.  Expires 9/8/2023
15/06/2023 approved GW4 saved. 25/07/2023 Termination agreement sealed and saved. 08/08/2023 Extension agreement signed and saved. Expires 08/08/2025. Yortender records updated
</t>
  </si>
  <si>
    <t>Hard FM KPI, Insurance &amp; Additional Extension Variation</t>
  </si>
  <si>
    <t>2023/08/15 Variations have been sealed, copies sent to Property and contractor, originals sent to Records Management - COMPLETE</t>
  </si>
  <si>
    <r>
      <rPr>
        <sz val="10"/>
        <color rgb="FF000000"/>
        <rFont val="Calibri"/>
        <family val="2"/>
      </rPr>
      <t>60+6+6+</t>
    </r>
    <r>
      <rPr>
        <sz val="10"/>
        <color rgb="FFFF0000"/>
        <rFont val="Calibri"/>
        <family val="2"/>
      </rPr>
      <t>6+6</t>
    </r>
  </si>
  <si>
    <r>
      <rPr>
        <sz val="10"/>
        <color rgb="FF000000"/>
        <rFont val="Calibri"/>
        <family val="2"/>
      </rPr>
      <t>36+</t>
    </r>
    <r>
      <rPr>
        <sz val="10"/>
        <color rgb="FF000000"/>
        <rFont val="Calibri"/>
        <family val="2"/>
        <scheme val="minor"/>
      </rPr>
      <t>24+</t>
    </r>
    <r>
      <rPr>
        <sz val="10"/>
        <color rgb="FFFF0000"/>
        <rFont val="Calibri"/>
        <family val="2"/>
        <scheme val="minor"/>
      </rPr>
      <t>24</t>
    </r>
  </si>
  <si>
    <t>Harrogate Convention Centre / HCC - 2 way radio procurement</t>
  </si>
  <si>
    <t>Radiocoms System Limited</t>
  </si>
  <si>
    <t>Michael Constantine / Rhys Siddons</t>
  </si>
  <si>
    <t xml:space="preserve">Contract signed - one off procurement for installation and 12month warranty no requirement to be put back on FPP
</t>
  </si>
  <si>
    <t xml:space="preserve">Catherine Callaghan </t>
  </si>
  <si>
    <t>DN570440</t>
  </si>
  <si>
    <t>Customer Service</t>
  </si>
  <si>
    <t xml:space="preserve">Cash Collection Service </t>
  </si>
  <si>
    <t xml:space="preserve">Security Plus </t>
  </si>
  <si>
    <t>Joanne Hunter</t>
  </si>
  <si>
    <t>Cash Collection Service.Expires 6/11/23, notice by 6/8/23.19.6.23 Client wishes to extend. 25/07/23 extension letter contract sent out via signing hub to Robert Philpott and Margaret Wallace.Value - under £50K , no need for a decision record. 
08/08/23 signed ext letter filed, YorTender and FPP updated. Email to BN to note this needs to be reprocured in March 2024. Closed.</t>
  </si>
  <si>
    <t xml:space="preserve">Previously awarded as DIrector's recommendation - time and materials so need to check with service area how the spend is going with Branksome.1 Nov 2022 – 1 Nov 2023.  Can't find folder. VG notes :There is no intention to utilise this contract currently. 14/08/2023  Ali provides spend info (£24K). Email to VG to confirm no need to reprocure. 14/08/2023 VG confirms this contract should be left to expire
</t>
  </si>
  <si>
    <t>33</t>
  </si>
  <si>
    <t xml:space="preserve">BVF completed. Legal checked supplier terms and conditions. 90 days notice needs to be given to terminate. </t>
  </si>
  <si>
    <t>A20021 Area 6 Kex Gill R&amp;R</t>
  </si>
  <si>
    <t>Heather Yendall / Mike Plews</t>
  </si>
  <si>
    <t>2023/09/01 deresourced as informed to NYU H
2023/08/22 confirm sought from NY H on direct award route
18/08/2023 Still awaiting documentation
10/08/2023 Requested update from clients
27/7/23. Documents not received to date. 2023/07/11  Documents promised for this week - landslip works are being direct awarded now so it’s only called Area 6 Kex Gill R&amp;R</t>
  </si>
  <si>
    <t>DN197597</t>
  </si>
  <si>
    <r>
      <t>60+12+</t>
    </r>
    <r>
      <rPr>
        <sz val="10"/>
        <color rgb="FFFF0000"/>
        <rFont val="Calibri"/>
        <family val="2"/>
      </rPr>
      <t>12</t>
    </r>
  </si>
  <si>
    <t>Ian Dawson/David Lodge</t>
  </si>
  <si>
    <t xml:space="preserve">N:\fcs-data\Procurement\PLACE\3 Environmental &amp; Engineering\NEW DOPH\D1 - Supply of Electrical Engineering Equipment and Materials (Streetlighting). Service confirms extension, notice given by email on 15/2/23 for extension, I assume the extension period is 1 June 2023 to 31 March 2024. Copy of orginal contract not available. Yortender to be updated. Decision record sent to Ian Dawson and David Lodge to complete. 9/8/23 the contract docs double checked and contract expired on 31/5/23. p/c to Ian Dawson - he says it was extended by email to 31/3/23 following instruction from Barry Mason and SMT agreement to exception report
</t>
  </si>
  <si>
    <t>DFG Works - property, area Wentworth Gardens
(Disability Support Grant)</t>
  </si>
  <si>
    <r>
      <rPr>
        <sz val="10"/>
        <color rgb="FF000000"/>
        <rFont val="Calibri"/>
        <family val="2"/>
      </rPr>
      <t xml:space="preserve">Funding agreed - covered under waiver by RW - </t>
    </r>
    <r>
      <rPr>
        <b/>
        <sz val="10"/>
        <color rgb="FF000000"/>
        <rFont val="Calibri"/>
        <family val="2"/>
      </rPr>
      <t xml:space="preserve">Closed </t>
    </r>
  </si>
  <si>
    <t>HBC</t>
  </si>
  <si>
    <r>
      <rPr>
        <sz val="10"/>
        <color rgb="FF000000"/>
        <rFont val="Calibri"/>
        <family val="2"/>
      </rPr>
      <t>12+24+24+</t>
    </r>
    <r>
      <rPr>
        <sz val="10"/>
        <color rgb="FFFF0000"/>
        <rFont val="Calibri"/>
        <family val="2"/>
      </rPr>
      <t>12</t>
    </r>
  </si>
  <si>
    <t>N:\fcs-data\Procurement\PLACE\5.5 Housing\Harrogate Gas Audit.  Extension agreement drafted 30/6 as outside notice period.  Uploaded 03/07.  Signed copy and Decision record sent to CM 03/08.  Yortender query as closed by RS - Trish 14/08</t>
  </si>
  <si>
    <t>Road traffic signs</t>
  </si>
  <si>
    <t>Ansco Signs</t>
  </si>
  <si>
    <t xml:space="preserve">2023/08/22 - No extensions available in the contract, it is just a 4 year framework. Have informed Nick Burgess about this. </t>
  </si>
  <si>
    <t>Afghan Resettlement - Clifton Hotel Extension</t>
  </si>
  <si>
    <t>Leeds City Council / Migration Yorkshire</t>
  </si>
  <si>
    <t>Contract now ended on 31/08/2023</t>
  </si>
  <si>
    <t>Sustainable Warmth</t>
  </si>
  <si>
    <t>YES Energy Services</t>
  </si>
  <si>
    <r>
      <rPr>
        <sz val="10"/>
        <color rgb="FF000000"/>
        <rFont val="Calibri"/>
        <family val="2"/>
      </rPr>
      <t>12+</t>
    </r>
    <r>
      <rPr>
        <sz val="10"/>
        <color rgb="FFFF0000"/>
        <rFont val="Calibri"/>
        <family val="2"/>
      </rPr>
      <t>6</t>
    </r>
  </si>
  <si>
    <t>Dan Atkinson</t>
  </si>
  <si>
    <r>
      <rPr>
        <sz val="10"/>
        <color rgb="FF000000"/>
        <rFont val="Calibri"/>
        <family val="2"/>
      </rPr>
      <t xml:space="preserve">extension work completed - </t>
    </r>
    <r>
      <rPr>
        <b/>
        <sz val="10"/>
        <color rgb="FF000000"/>
        <rFont val="Calibri"/>
        <family val="2"/>
      </rPr>
      <t xml:space="preserve">Closed </t>
    </r>
  </si>
  <si>
    <t xml:space="preserve">Household Support Fund (HSF 4) - DWP Voucher Scheme </t>
  </si>
  <si>
    <r>
      <rPr>
        <sz val="10"/>
        <color rgb="FF000000"/>
        <rFont val="Calibri"/>
        <family val="2"/>
      </rPr>
      <t>complete-</t>
    </r>
    <r>
      <rPr>
        <b/>
        <sz val="10"/>
        <color rgb="FF000000"/>
        <rFont val="Calibri"/>
        <family val="2"/>
      </rPr>
      <t xml:space="preserve"> closed</t>
    </r>
  </si>
  <si>
    <t>Contract signed 
New line to be added to FPP</t>
  </si>
  <si>
    <t>ojeu</t>
  </si>
  <si>
    <t>07/09 - Chris has sent first version of best value to me waiting on budget info
29/08 - sent the best value form to Silas and asked for legal resource to review terms and conditions
17/08 - Snap have offered discounted rates 12,348 per annum looking at routes to procure
06/04 - Rosa and Mark Dixon have GCloud info
08/02 - Email correspondence from Rosa Fawcett will be in touch once the enterprise architecture board makes decisions</t>
  </si>
  <si>
    <t xml:space="preserve">Previous File path: Professional - T&amp;C - Education - Modern Governor 
31/08 - met with Louise sent her best value form to complete contract only £10k annually. Herts for Learning only supplier sent SLA. Louise to send to legal to review.
</t>
  </si>
  <si>
    <t>In Cab Technology (Scarborough legacy contract)</t>
  </si>
  <si>
    <t>WebAspx</t>
  </si>
  <si>
    <t>James Atthews</t>
  </si>
  <si>
    <t>Short notice request to look at procurement options - SS sent email to Dale/David 03/07/2023 - Metting with James Atthews 25 July. 27/07 - Met with James Atthews, agrred meet with Thomas Moffatt from Webasx w/c 07 re extension.</t>
  </si>
  <si>
    <t>Anti-Virus Renewal (Sophos)</t>
  </si>
  <si>
    <t>Order issued - awaiting CCS Call completetion. 20/07/23 Complete.  27/07 Follow outstanding invoice payment. 22/08 - Work still ongoing, awaiting confirmation from Trevor Peacock when complete. Complete.</t>
  </si>
  <si>
    <t>Contract term: 24+12+12 
OTE 1 - Contract in Place, chase signed supplier signature (Active Security) 20/07/23. Complete. 21/08 spoke to Active security re still not received signed contract, should be with NYC w/c 28/09.  Signed contract received, DG to forward to Legal</t>
  </si>
  <si>
    <t xml:space="preserve">12/09/23: Emma Pemberton has confirmed: The pilot service has ended and the service has been withdrawn.  The contract with the supplier expired at the end of June and has not been renewed or extended. 07/09/23: Service likely to be cancelled, meaning no Procurement required. 23/05/23: No update. 06/01/2023: No update. 22/12/22: No update. 14/12/22: No update. 08/12/22: Funding to be sought in 2023. No current procurement requirement. 30/11/2022: No update. 24/11/2022: No update. 10/11/2022: Service area advise that there is unlikely to be any update on future funding until Mid-December. This outcome will guide the decision on whether to procure. 03/11/2022: No update. 27/10/2022: No update from meeting. No current procurement requirement. 18/10/2022: Update meeting with Project Team will be held on 20/10/22. 11/10/2022: RFI closed with zero responses. Service Area aware. 29/09/2022: RFI closes 3rd October. 25/08/2022 - RFI Process being conducted with regards to the market. Christopher leading on this. 
12/07/2022 - Contract extended and signed - Procurement delayed whilst waiting for confirmed funding. 
21/06/2022 - Waiver approved with Stacey. Contract to be extended. 
Initial contract for pilot area (procured under Directors Recommendation) due to end 30/06/22.  Procurement then required for phased countywide roll-out.  Regular project meetings taking place.  Market engagement has taken place.  Project board approvl required before procurement next steps.  Likely to be Gateway due to anticipated values. </t>
  </si>
  <si>
    <t>Need to check if this is still required / any budget remaining. 13/01/23: Robert Ling advised 'It will need to stay on the list as we may need to reprocure as this contract comes to an end.' 19/01/23: No further update. 26/01/23: No further update. 08/02/23: No further update. 15/02/2023: No further update. 28/02/2023: No further update. 07/03/2023: No further update. 23/03/2023: No further update. 04/04/2023: No further update. 13/04/2023: No further update - CH to request further update from RL. 18/04/23: RL wants to proceed. Same as previous. CH has requested steer from SS. 27/04/23: Clarity sought from RL over number of hours required plus available budget. 04/05/23: CH to approach Bloom for a mirror version of previous contract. 10/05/23: Bloom responded with 2 possible approaches. CH requested steer from SS. 17/05/23: CH sent revised contract (as NYC) for upload to VeriSign for RW signature. Then working with Bloom for speediest solution to appoint Ashbrook. 23/05/23: Access Agreement sent (as new NYC) to Bloom. Meeting scheduled with Kiera 24/05. 25/05/23: Doing as a new contract. Docs sent to Robert Ling to confirm spec requirements. then CH to liaise with Bloom. 08/06/23: CH chasing RL for response. 14/06/23: Chase email sent. SS has also prompted RL. 21/06/23: CH/SS chasing RL for confirmation of details. 29/06/23: Call off sent to RL for signature. Bloom reviewing spec, and will upload to portal for Ashbrook to confirm. 05/07/23: Uploaded Spec: With Bloom/Ashbrook for confirmation. 10/07/23: Uploaded to Ashbrook via Bloom portal. Closes Tuesday. 14/07/23: Quote received. R Ling requested revision. Revision received. Awaitng conf and PO No from RL. 23/07/23: Confirmation received. Reviewing Bloom portal payments documents received 25/07/23. 02/08/23:  Contract signed. Heather Lappin to handle invoicing aspect, though probably not through Bloom's portal. 23/08/23: Complete</t>
  </si>
  <si>
    <t xml:space="preserve">Route 159 Richmond to Ripon LBS </t>
  </si>
  <si>
    <t xml:space="preserve">CP to have conversation with MW about certainty of value. Draft Gateway sent to Andy Clarke to update. 03/02/23: Draft Gateway 1 sent to SS. PAB on 09/02/23. CH advised CP that this needs a full set of tender docs and will be uploaded by Procurement to Yortender. 08/02/23: Vlaue and Timescales incompatible with tendering process requirements. Service area to review shorter term arrangement, then put in a new tender with a longer term focus. 15/02/2023: CP advised at Reviews meeting that a short contract would be advertised, with a view to letting a longer contract in future. 21/02/23: No update 28/02/23: No update. 07/03/23: No further update. 23/03/23: No further update. 30/03/23: No further update. 04/04/23: No update. 18/04/23: No update. 27/04/23: No update. 23/05/23: No update. 29/06/23: No update. 14/07/23: No update. 23/07/23: No update. 02/08/23: No update. 23/08/23: No update. 07/09/23: No further update. 12/09/23: CH emailed Andy Clarke to understand latest/final position. 14/9/2023 future requirement encompassed in Mainstream tender.  </t>
  </si>
  <si>
    <t>Replacement kitchen tender PFH framework</t>
  </si>
  <si>
    <t>13/09/23 both contractsfully signed - complete //12/09/23 both contracts put on Signing Hub 31/08/23 preparing contracts for signature //08/08/23 revised award letters issued //02/08/23 gateway approved 11/07/23 MS spoke to RW/LL/VVDM re risk level //14/06/23 MS to speak to Vincent 15/06/23 //05/06/23 f/w confirms updated letters not sent, no financial info followed up, waiting for Martin / Sarah  31/05/23 further queries to framework, research other options 25/05/23 concern re financial status of top bidder, procurement assurance board consensus to abandon project and re procure //19/05/23 MJL  errors in ITT &amp; evaluation identified, replacement award letters supplied by PfH for approval, further investigation needed re soundness of ITT  2023/05/05 To work alongside MLy with support from CSPa and wider team as needed
2023/04/14 Raised by email, to complete evaluation and progress to award.  G3 required if over threshold, presumed.</t>
  </si>
  <si>
    <t>A171 Scalby Road / A170 Stepney Hill</t>
  </si>
  <si>
    <t>Helen.1 Watson</t>
  </si>
  <si>
    <t>2023/08/07 "Hi Martin, it transpires that A171 Scalby Road/A170 Stepney Hill resurfacing tender is already underway and being dealt with by Helen Newall."  Mle</t>
  </si>
  <si>
    <t>Catering Disposable Products</t>
  </si>
  <si>
    <t>Installation of MOT test station lifts and brake testing - Skipton and Ryedale</t>
  </si>
  <si>
    <t>MUGA Aireville Park-Procurement Tender</t>
  </si>
  <si>
    <t>CCTV Maintenance Contract</t>
  </si>
  <si>
    <t>Devolution Deal Net Zero Project - District Heat Network Project – Potto</t>
  </si>
  <si>
    <r>
      <t>120+</t>
    </r>
    <r>
      <rPr>
        <sz val="10"/>
        <color rgb="FFFF0000"/>
        <rFont val="Calibri"/>
        <family val="2"/>
      </rPr>
      <t>24</t>
    </r>
    <r>
      <rPr>
        <sz val="10"/>
        <rFont val="Calibri"/>
        <family val="2"/>
      </rPr>
      <t>+24</t>
    </r>
  </si>
  <si>
    <r>
      <rPr>
        <sz val="10"/>
        <color rgb="FF000000"/>
        <rFont val="Calibri"/>
        <family val="2"/>
      </rPr>
      <t>12+12+12+</t>
    </r>
    <r>
      <rPr>
        <sz val="10"/>
        <rFont val="Calibri"/>
        <family val="2"/>
      </rPr>
      <t>12</t>
    </r>
    <r>
      <rPr>
        <sz val="10"/>
        <color rgb="FF000000"/>
        <rFont val="Calibri"/>
        <family val="2"/>
      </rPr>
      <t>+12</t>
    </r>
  </si>
  <si>
    <r>
      <t>24+</t>
    </r>
    <r>
      <rPr>
        <sz val="10"/>
        <rFont val="Calibri"/>
        <family val="2"/>
        <scheme val="minor"/>
      </rPr>
      <t>15+</t>
    </r>
    <r>
      <rPr>
        <sz val="10"/>
        <color rgb="FFFF0000"/>
        <rFont val="Calibri"/>
        <family val="2"/>
        <scheme val="minor"/>
      </rPr>
      <t>6</t>
    </r>
    <r>
      <rPr>
        <sz val="10"/>
        <rFont val="Calibri"/>
        <family val="2"/>
        <scheme val="minor"/>
      </rPr>
      <t>+6</t>
    </r>
  </si>
  <si>
    <t>North Yorkshire &amp; York Local Nature Recovery Strategy (LNRS)</t>
  </si>
  <si>
    <t xml:space="preserve">RiDC Stairlift Contract </t>
  </si>
  <si>
    <t xml:space="preserve">Accounts Payable Audit Solution </t>
  </si>
  <si>
    <t>Principal Designer Role for domestic adaptations</t>
  </si>
  <si>
    <t xml:space="preserve">Waste Management Software Licenses and In Cab technology - individual localilty contracts
including route planning, realtime missed bins, overflow collection and support assistance  </t>
  </si>
  <si>
    <t>North Stainley Single storey extension / The Shepherdies</t>
  </si>
  <si>
    <t>Due 6/12/23</t>
  </si>
  <si>
    <t>Church Close Sharow, new build</t>
  </si>
  <si>
    <t>e-Democracy System (PMO Ref: 4228)</t>
  </si>
  <si>
    <t>e-Democracy System MCA</t>
  </si>
  <si>
    <r>
      <t>12+</t>
    </r>
    <r>
      <rPr>
        <sz val="10"/>
        <color rgb="FFFF0000"/>
        <rFont val="Calibri"/>
        <family val="2"/>
      </rPr>
      <t>12</t>
    </r>
  </si>
  <si>
    <t>Stockwell Place, extension of an existing property for disabled access</t>
  </si>
  <si>
    <t>4 Jessamine Terrace, adaptations</t>
  </si>
  <si>
    <t>111 Aismunderby Road – Refurbishment &amp; Extension</t>
  </si>
  <si>
    <t>Swing Bridge Maintenance Contracts</t>
  </si>
  <si>
    <t>Little Crayke Hall A684</t>
  </si>
  <si>
    <t>Thirsk Hockey Changing Facilities</t>
  </si>
  <si>
    <t>Event Traffic Management supplier to Harrogate Convention Centre</t>
  </si>
  <si>
    <t>Whitby and Scarborough Park and Ride EV Hyperhub Business Case Development project</t>
  </si>
  <si>
    <t>Whinny Gill Road Skipton, refurbishment</t>
  </si>
  <si>
    <t>Woodfield Close Harrogate, new build</t>
  </si>
  <si>
    <t>Capital Void Works (ex SDC)</t>
  </si>
  <si>
    <t>Extra Care Housing - Neville House Gargrave</t>
  </si>
  <si>
    <t>HASLT: 29/02/2024
MH KIT: 15/03/2024
Full EXEC: 16/04/2024</t>
  </si>
  <si>
    <t>On farm composting of green waste (Ryedale, Selby and Scarborough and Craven areas)</t>
  </si>
  <si>
    <t xml:space="preserve">Corporate Anti-Virus </t>
  </si>
  <si>
    <t>Income Management System - Provision of ongoing hosting, support of the existing Pay360 Payment suite</t>
  </si>
  <si>
    <r>
      <t>36+</t>
    </r>
    <r>
      <rPr>
        <sz val="10"/>
        <rFont val="Calibri"/>
        <family val="2"/>
        <scheme val="minor"/>
      </rPr>
      <t>12+</t>
    </r>
    <r>
      <rPr>
        <sz val="10"/>
        <color rgb="FFFF0000"/>
        <rFont val="Calibri"/>
        <family val="2"/>
        <scheme val="minor"/>
      </rPr>
      <t>12</t>
    </r>
  </si>
  <si>
    <t>Corporation Tax Advisers / External Auditors (for Align Property Partners)</t>
  </si>
  <si>
    <t>Corporation Tax Advisers / External Auditors (for Brierley Homes)</t>
  </si>
  <si>
    <t>Corporation Tax Advisers / External Auditors (for First North Law)</t>
  </si>
  <si>
    <t>23/08/2021
29/09/2023 (Further KD required for extension due to increase in spend)</t>
  </si>
  <si>
    <t>Hard FM (Lot 2) Mechanical Equipment and Plant</t>
  </si>
  <si>
    <r>
      <t>24+12+12+2+</t>
    </r>
    <r>
      <rPr>
        <sz val="10"/>
        <color rgb="FFFF0000"/>
        <rFont val="Calibri"/>
        <family val="2"/>
      </rPr>
      <t>17</t>
    </r>
  </si>
  <si>
    <t>Historic Environment Record System (PMO Ref: 3178)</t>
  </si>
  <si>
    <t>Information &amp; Advice Service</t>
  </si>
  <si>
    <r>
      <t>60+24+</t>
    </r>
    <r>
      <rPr>
        <sz val="10"/>
        <color rgb="FFFF0000"/>
        <rFont val="Calibri"/>
        <family val="2"/>
      </rPr>
      <t>3</t>
    </r>
  </si>
  <si>
    <t>Internal Audit, Counter Fraud, and Information Governance Services</t>
  </si>
  <si>
    <t>9th January</t>
  </si>
  <si>
    <t xml:space="preserve">Interpretation Services and Translation Services: Spoken and Unspoken </t>
  </si>
  <si>
    <t xml:space="preserve">Landscape Character Assessment </t>
  </si>
  <si>
    <t>Boroughbridge Primary Double PCU including HORSA demolition</t>
  </si>
  <si>
    <t>East Barnby Outdoor Centre refurbishment of two residential units</t>
  </si>
  <si>
    <t>No.1 and No.2 The Paddocks, Brompton By Sawdon Children Homes Service Need Adaptations</t>
  </si>
  <si>
    <t>Skipton Ings Primary School Adapttions for Speacial Needs</t>
  </si>
  <si>
    <t>Harrogate Unadopted Roads - Package 1 - Adoptable Standard Tender</t>
  </si>
  <si>
    <t>Harrogate Unadopted Roads - Package 2 - Maintenance Tender / Make Safe</t>
  </si>
  <si>
    <t>LEVI Pilot Fund - Renewables Contractor for 70 EVCPs</t>
  </si>
  <si>
    <t>Map Management System</t>
  </si>
  <si>
    <t>Project Management System</t>
  </si>
  <si>
    <t>Purchase of Coffee Machines to Scarborough Spa, Peasholm Park, Whitby Pavilion and librarys</t>
  </si>
  <si>
    <t>Purchase of musical instruments</t>
  </si>
  <si>
    <t xml:space="preserve">Renewable Energy Capacity Study </t>
  </si>
  <si>
    <t xml:space="preserve">Retail and Leisure Assessment </t>
  </si>
  <si>
    <t>Gym Equipment</t>
  </si>
  <si>
    <t>24/25 SRF A6108 TENDER PACKAGE 2 (A10034): Leyburn Improvements</t>
  </si>
  <si>
    <t>24/25 SRF A6108 TENDER PACKAGE 3 (A10035): Richmond Town Centre and Skeeby</t>
  </si>
  <si>
    <t>AREA 1 24/25 Additioanl Funding Tender Package (A10033)</t>
  </si>
  <si>
    <t>Welfare rights information &amp; guidance service</t>
  </si>
  <si>
    <t>Welfare Rights Information &amp; Guidance Service</t>
  </si>
  <si>
    <r>
      <t>60+6+6+6+6+</t>
    </r>
    <r>
      <rPr>
        <sz val="10"/>
        <color rgb="FFFF0000"/>
        <rFont val="Calibri"/>
        <family val="2"/>
      </rPr>
      <t>3</t>
    </r>
  </si>
  <si>
    <t>Youth Justice Case Management System (PMO: 3998)</t>
  </si>
  <si>
    <t xml:space="preserve">Coroners Court Video Conferencing System (includes installation of hardware, support and maintenance)
</t>
  </si>
  <si>
    <t>DN574963</t>
  </si>
  <si>
    <t>External Local Authority Lottery provider</t>
  </si>
  <si>
    <t>Gypsy, Traveller and Showperson Assessment</t>
  </si>
  <si>
    <t>Technical and Planning Advisor for Waste (PPP)</t>
  </si>
  <si>
    <t>Tyres and associated services (fitting valves) for NYC depots</t>
  </si>
  <si>
    <t>Gas Servicing &amp; Maintenance - Richmond / Harrogate / Selby</t>
  </si>
  <si>
    <t>Flooding response works (debris removal)</t>
  </si>
  <si>
    <t>Indoor and Outdoor Sports Facilities study</t>
  </si>
  <si>
    <t>Mechanical and Engineering frameworks including decarbonisation</t>
  </si>
  <si>
    <r>
      <t>36+24+</t>
    </r>
    <r>
      <rPr>
        <sz val="10"/>
        <color rgb="FFFF0000"/>
        <rFont val="Calibri"/>
        <family val="2"/>
      </rPr>
      <t>24</t>
    </r>
  </si>
  <si>
    <t>Repair and maintenance of refuse fleet of RCVs, road-sweeper and small vans for Selby area - overall project brief</t>
  </si>
  <si>
    <t>Viability and CIL/IFT</t>
  </si>
  <si>
    <t>Footfall Counters Using Locational Data Analytics</t>
  </si>
  <si>
    <t>Brotherton Bridge</t>
  </si>
  <si>
    <t>Door and Security Access System</t>
  </si>
  <si>
    <r>
      <rPr>
        <sz val="10"/>
        <color rgb="FF000000"/>
        <rFont val="Calibri"/>
        <family val="2"/>
      </rPr>
      <t>24</t>
    </r>
    <r>
      <rPr>
        <sz val="10"/>
        <color rgb="FFFF0000"/>
        <rFont val="Calibri"/>
        <family val="2"/>
      </rPr>
      <t>+12</t>
    </r>
    <r>
      <rPr>
        <sz val="10"/>
        <color rgb="FF000000"/>
        <rFont val="Calibri"/>
        <family val="2"/>
      </rPr>
      <t>+12</t>
    </r>
  </si>
  <si>
    <t>Occupational Health Case Management System</t>
  </si>
  <si>
    <t>Innovation Catering Concept Marinated Chicken</t>
  </si>
  <si>
    <t xml:space="preserve">Concierge Services at George Nickling House </t>
  </si>
  <si>
    <r>
      <t>12+12+12+</t>
    </r>
    <r>
      <rPr>
        <sz val="10"/>
        <color rgb="FFFF0000"/>
        <rFont val="Calibri"/>
        <family val="2"/>
      </rPr>
      <t>12</t>
    </r>
  </si>
  <si>
    <t>HASLT: 04/01/2024
HASEX: 15/03/2024</t>
  </si>
  <si>
    <t>Accommodation-based Mental Health services (ex-Craven)</t>
  </si>
  <si>
    <t>HASLT: 04/04/2024
HASEX: 10/05/2024</t>
  </si>
  <si>
    <t>Survey Software</t>
  </si>
  <si>
    <r>
      <t>24+</t>
    </r>
    <r>
      <rPr>
        <sz val="10"/>
        <color rgb="FFFF0000"/>
        <rFont val="Calibri"/>
        <family val="2"/>
      </rPr>
      <t>24</t>
    </r>
  </si>
  <si>
    <t>Financial Accounting Solution for External Clients</t>
  </si>
  <si>
    <r>
      <rPr>
        <sz val="10"/>
        <color rgb="FF000000"/>
        <rFont val="Calibri"/>
        <family val="2"/>
      </rPr>
      <t>36</t>
    </r>
    <r>
      <rPr>
        <sz val="10"/>
        <color rgb="FF000000"/>
        <rFont val="Calibri"/>
        <family val="2"/>
        <scheme val="minor"/>
      </rPr>
      <t>+</t>
    </r>
    <r>
      <rPr>
        <sz val="10"/>
        <color rgb="FFFF0000"/>
        <rFont val="Calibri"/>
        <family val="2"/>
        <scheme val="minor"/>
      </rPr>
      <t>12</t>
    </r>
    <r>
      <rPr>
        <sz val="10"/>
        <color rgb="FF000000"/>
        <rFont val="Calibri"/>
        <family val="2"/>
        <scheme val="minor"/>
      </rPr>
      <t>+12</t>
    </r>
  </si>
  <si>
    <t>HR Recruitment Main Admin System (G Cloud 12 Call Off RM 1557.12)</t>
  </si>
  <si>
    <t>Service Management System</t>
  </si>
  <si>
    <r>
      <t>60 +</t>
    </r>
    <r>
      <rPr>
        <sz val="10"/>
        <color rgb="FFFF0000"/>
        <rFont val="Calibri"/>
        <family val="2"/>
      </rPr>
      <t xml:space="preserve"> </t>
    </r>
    <r>
      <rPr>
        <sz val="10"/>
        <color rgb="FFFF0000"/>
        <rFont val="Calibri"/>
        <family val="2"/>
        <scheme val="minor"/>
      </rPr>
      <t>24</t>
    </r>
    <r>
      <rPr>
        <sz val="10"/>
        <rFont val="Calibri"/>
        <family val="2"/>
        <scheme val="minor"/>
      </rPr>
      <t xml:space="preserve"> + 24 + 12</t>
    </r>
  </si>
  <si>
    <t>Fire Stopping &amp; Communal Areas (SeDC)</t>
  </si>
  <si>
    <t>Community Intelligence Reporting Model System</t>
  </si>
  <si>
    <r>
      <t>24+24+</t>
    </r>
    <r>
      <rPr>
        <sz val="10"/>
        <color rgb="FFFF0000"/>
        <rFont val="Calibri"/>
        <family val="2"/>
      </rPr>
      <t>12</t>
    </r>
  </si>
  <si>
    <r>
      <t>36+24+</t>
    </r>
    <r>
      <rPr>
        <sz val="10"/>
        <color rgb="FFFF0000"/>
        <rFont val="Calibri"/>
        <family val="2"/>
      </rPr>
      <t>12</t>
    </r>
  </si>
  <si>
    <r>
      <t>24+24+24+</t>
    </r>
    <r>
      <rPr>
        <sz val="10"/>
        <color rgb="FFFF0000"/>
        <rFont val="Calibri"/>
        <family val="2"/>
      </rPr>
      <t>24</t>
    </r>
    <r>
      <rPr>
        <sz val="10"/>
        <rFont val="Calibri"/>
        <family val="2"/>
      </rPr>
      <t>+24</t>
    </r>
  </si>
  <si>
    <r>
      <t>36+</t>
    </r>
    <r>
      <rPr>
        <sz val="10"/>
        <color rgb="FFFF0000"/>
        <rFont val="Calibri"/>
        <family val="2"/>
      </rPr>
      <t>24</t>
    </r>
    <r>
      <rPr>
        <sz val="10"/>
        <rFont val="Calibri"/>
        <family val="2"/>
      </rPr>
      <t>+24</t>
    </r>
  </si>
  <si>
    <r>
      <t>48+24+</t>
    </r>
    <r>
      <rPr>
        <sz val="10"/>
        <color rgb="FFFF0000"/>
        <rFont val="Calibri"/>
        <family val="2"/>
      </rPr>
      <t>24</t>
    </r>
    <r>
      <rPr>
        <sz val="10"/>
        <rFont val="Calibri"/>
        <family val="2"/>
      </rPr>
      <t>+24</t>
    </r>
  </si>
  <si>
    <t>HASLT: 09/05/2024
MH KIT: 22/05/2024
FULL EXEC: 18/06/2024</t>
  </si>
  <si>
    <r>
      <t>18+12+</t>
    </r>
    <r>
      <rPr>
        <sz val="10"/>
        <color rgb="FFFF0000"/>
        <rFont val="Calibri"/>
        <family val="2"/>
      </rPr>
      <t>12</t>
    </r>
  </si>
  <si>
    <r>
      <t>36+</t>
    </r>
    <r>
      <rPr>
        <sz val="10"/>
        <rFont val="Calibri"/>
        <family val="2"/>
        <scheme val="minor"/>
      </rPr>
      <t>24+</t>
    </r>
    <r>
      <rPr>
        <sz val="10"/>
        <color rgb="FFFF0000"/>
        <rFont val="Calibri"/>
        <family val="2"/>
        <scheme val="minor"/>
      </rPr>
      <t>24</t>
    </r>
  </si>
  <si>
    <t>Seasonal Vegetation Cutting Programme</t>
  </si>
  <si>
    <t>Not on Yor Tender</t>
  </si>
  <si>
    <r>
      <t>60+</t>
    </r>
    <r>
      <rPr>
        <sz val="10"/>
        <color rgb="FFFF0000"/>
        <rFont val="Calibri"/>
        <family val="2"/>
      </rPr>
      <t>36</t>
    </r>
    <r>
      <rPr>
        <sz val="10"/>
        <rFont val="Calibri"/>
        <family val="2"/>
      </rPr>
      <t>+24</t>
    </r>
  </si>
  <si>
    <t>Waste Management Software Licenses and In Cab technology
including route planning, realtime missed bins, overflow collection and support assistance - for the whole of NYC</t>
  </si>
  <si>
    <r>
      <t>36+12+12+12+</t>
    </r>
    <r>
      <rPr>
        <sz val="10"/>
        <color rgb="FFFF0000"/>
        <rFont val="Calibri"/>
        <family val="2"/>
      </rPr>
      <t>12</t>
    </r>
    <r>
      <rPr>
        <sz val="10"/>
        <rFont val="Calibri"/>
        <family val="2"/>
      </rPr>
      <t>+12+12+12</t>
    </r>
  </si>
  <si>
    <t>Conistone Cold / Aire Bridge Feasibility Project *</t>
  </si>
  <si>
    <t xml:space="preserve">Case and Quality Management System
</t>
  </si>
  <si>
    <r>
      <t>36+</t>
    </r>
    <r>
      <rPr>
        <sz val="10"/>
        <color rgb="FFFF0000"/>
        <rFont val="Calibri"/>
        <family val="2"/>
      </rPr>
      <t>36</t>
    </r>
    <r>
      <rPr>
        <sz val="10"/>
        <rFont val="Calibri"/>
        <family val="2"/>
      </rPr>
      <t>+24</t>
    </r>
  </si>
  <si>
    <t>HASLT: 24/10/2024
MH KIT: 01/11/2024
FULL EXEC: 17/12/2024</t>
  </si>
  <si>
    <r>
      <t>36+</t>
    </r>
    <r>
      <rPr>
        <sz val="10"/>
        <color rgb="FFFF0000"/>
        <rFont val="Calibri"/>
        <family val="2"/>
      </rPr>
      <t>12</t>
    </r>
    <r>
      <rPr>
        <sz val="10"/>
        <rFont val="Calibri"/>
        <family val="2"/>
      </rPr>
      <t>+12</t>
    </r>
  </si>
  <si>
    <r>
      <t>24+24+</t>
    </r>
    <r>
      <rPr>
        <sz val="10"/>
        <color rgb="FFFF0000"/>
        <rFont val="Calibri"/>
        <family val="2"/>
      </rPr>
      <t>24</t>
    </r>
  </si>
  <si>
    <r>
      <t>84+</t>
    </r>
    <r>
      <rPr>
        <sz val="10"/>
        <color rgb="FFFF0000"/>
        <rFont val="Calibri"/>
        <family val="2"/>
        <scheme val="minor"/>
      </rPr>
      <t>24</t>
    </r>
    <r>
      <rPr>
        <sz val="10"/>
        <rFont val="Calibri"/>
        <family val="2"/>
        <scheme val="minor"/>
      </rPr>
      <t>+12</t>
    </r>
  </si>
  <si>
    <r>
      <t>36+12+12+12+12+</t>
    </r>
    <r>
      <rPr>
        <sz val="10"/>
        <color rgb="FFFF0000"/>
        <rFont val="Calibri"/>
        <family val="2"/>
      </rPr>
      <t>12</t>
    </r>
    <r>
      <rPr>
        <sz val="10"/>
        <rFont val="Calibri"/>
        <family val="2"/>
      </rPr>
      <t>+12+12</t>
    </r>
  </si>
  <si>
    <r>
      <t>60+</t>
    </r>
    <r>
      <rPr>
        <sz val="10"/>
        <color rgb="FFFF0000"/>
        <rFont val="Calibri"/>
        <family val="2"/>
      </rPr>
      <t>24</t>
    </r>
  </si>
  <si>
    <r>
      <t xml:space="preserve">60 + 24 + </t>
    </r>
    <r>
      <rPr>
        <sz val="10"/>
        <color rgb="FFFF0000"/>
        <rFont val="Calibri"/>
        <family val="2"/>
        <scheme val="minor"/>
      </rPr>
      <t>24</t>
    </r>
    <r>
      <rPr>
        <sz val="10"/>
        <rFont val="Calibri"/>
        <family val="2"/>
        <scheme val="minor"/>
      </rPr>
      <t xml:space="preserve"> + 12</t>
    </r>
  </si>
  <si>
    <r>
      <t>24+24+24+24+</t>
    </r>
    <r>
      <rPr>
        <sz val="10"/>
        <color rgb="FFFF0000"/>
        <rFont val="Calibri"/>
        <family val="2"/>
      </rPr>
      <t>24</t>
    </r>
  </si>
  <si>
    <r>
      <t>33+36+</t>
    </r>
    <r>
      <rPr>
        <sz val="10"/>
        <color rgb="FFFF0000"/>
        <rFont val="Calibri"/>
        <family val="2"/>
      </rPr>
      <t>24</t>
    </r>
    <r>
      <rPr>
        <sz val="10"/>
        <rFont val="Calibri"/>
        <family val="2"/>
      </rPr>
      <t>+24</t>
    </r>
  </si>
  <si>
    <r>
      <t>60+</t>
    </r>
    <r>
      <rPr>
        <sz val="10"/>
        <color rgb="FFFF0000"/>
        <rFont val="Calibri"/>
        <family val="2"/>
      </rPr>
      <t>12</t>
    </r>
    <r>
      <rPr>
        <sz val="10"/>
        <rFont val="Calibri"/>
        <family val="2"/>
      </rPr>
      <t>+12</t>
    </r>
  </si>
  <si>
    <r>
      <t>36+</t>
    </r>
    <r>
      <rPr>
        <sz val="10"/>
        <color rgb="FFFF0000"/>
        <rFont val="Calibri"/>
        <family val="2"/>
      </rPr>
      <t>24</t>
    </r>
    <r>
      <rPr>
        <sz val="10"/>
        <rFont val="Calibri"/>
        <family val="2"/>
      </rPr>
      <t>+6</t>
    </r>
  </si>
  <si>
    <r>
      <t>84+24+</t>
    </r>
    <r>
      <rPr>
        <sz val="10"/>
        <color rgb="FFFF0000"/>
        <rFont val="Calibri"/>
        <family val="2"/>
        <scheme val="minor"/>
      </rPr>
      <t>12</t>
    </r>
  </si>
  <si>
    <r>
      <t>36+36+</t>
    </r>
    <r>
      <rPr>
        <sz val="10"/>
        <color rgb="FFFF0000"/>
        <rFont val="Calibri"/>
        <family val="2"/>
      </rPr>
      <t>24</t>
    </r>
  </si>
  <si>
    <r>
      <t xml:space="preserve">60 + 24 + 24 + </t>
    </r>
    <r>
      <rPr>
        <sz val="10"/>
        <color rgb="FFFF0000"/>
        <rFont val="Calibri"/>
        <family val="2"/>
        <scheme val="minor"/>
      </rPr>
      <t>12</t>
    </r>
  </si>
  <si>
    <t>DN412771</t>
  </si>
  <si>
    <t>Skipton Crematorium Extension - Chapel Entrance</t>
  </si>
  <si>
    <t>Additonal cremator at Maple Park including maintenance</t>
  </si>
  <si>
    <t>Cemetery Expansions</t>
  </si>
  <si>
    <t>Cemetery Provision in the Borough of Scarborough</t>
  </si>
  <si>
    <t>Duchess of Kent Bridge Monitoring System
Surfacing, Monitoring System Upgrade*</t>
  </si>
  <si>
    <t>Memorialisation of headstones and plaques</t>
  </si>
  <si>
    <t>Solar Panel Maintenance (Mercury House) (RDC)</t>
  </si>
  <si>
    <t>Stephen Joseph Theatre Service Level Agreement</t>
  </si>
  <si>
    <t>Web-mapping and cloud computing for traffic engineering and highway management (3168)</t>
  </si>
  <si>
    <t>Medical Intervention training</t>
  </si>
  <si>
    <t>Energy Management Software</t>
  </si>
  <si>
    <t>Council Tax Billing</t>
  </si>
  <si>
    <t>Telephony - SIP Services, Mitel &amp; Contact Centre Support</t>
  </si>
  <si>
    <t>Community Intelligence Reporting Model</t>
  </si>
  <si>
    <t>A20021 - Area 2 24/25 tender package 1: R&amp;R and PSDP schemes</t>
  </si>
  <si>
    <t>A20022 - Area 2 24/25 tender package 2: Additional R&amp;R and PSDP schemes</t>
  </si>
  <si>
    <t>A20023 - Area 2 24/25 tender package 3: A170 – Sutton Bank Annual Maintenance</t>
  </si>
  <si>
    <t>Claro Road Improvement Works, Welfare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</si>
</sst>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_-&quot;£&quot;* #,##0_-;\-&quot;£&quot;* #,##0_-;_-&quot;£&quot;* &quot;-&quot;??_-;_-@_-"/>
    <numFmt numFmtId="165" formatCode="dd/mm/yyyy;@"/>
    <numFmt numFmtId="166" formatCode="dd/mm/yy;@"/>
    <numFmt numFmtId="167" formatCode="&quot;£&quot;#,##0.00"/>
    <numFmt numFmtId="168" formatCode="&quot;£&quot;#,##0"/>
    <numFmt numFmtId="169" formatCode="dd/mm/yy"/>
    <numFmt numFmtId="170" formatCode="_-\&gt;\ &quot;£&quot;* #,##0_-;\-&quot;£&quot;* #,##0_-;_-&quot;£&quot;* &quot;-&quot;??_-;_-@_-"/>
    <numFmt numFmtId="171" formatCode="_-* #,##0_-;\-* #,##0_-;_-* &quot;-&quot;??_-;_-@_-"/>
    <numFmt numFmtId="172" formatCode="_(* #,##0.00_);_(* \(#,##0.00\);_(* &quot;-&quot;??_);_(@_)"/>
  </numFmts>
  <fonts count="117">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b/>
      <sz val="11"/>
      <color theme="0"/>
      <name val="Calibri"/>
      <family val="2"/>
      <scheme val="minor"/>
    </font>
    <font>
      <sz val="10"/>
      <name val="Arial"/>
      <family val="2"/>
    </font>
    <font>
      <sz val="11"/>
      <color rgb="FFFF0000"/>
      <name val="Calibri"/>
      <family val="2"/>
      <scheme val="minor"/>
    </font>
    <font>
      <sz val="12"/>
      <color theme="1"/>
      <name val="Arial"/>
      <family val="2"/>
    </font>
    <font>
      <i/>
      <sz val="11"/>
      <name val="Calibri"/>
      <family val="2"/>
      <scheme val="minor"/>
    </font>
    <font>
      <b/>
      <sz val="9"/>
      <color indexed="81"/>
      <name val="Tahoma"/>
      <family val="2"/>
    </font>
    <font>
      <sz val="9"/>
      <color indexed="81"/>
      <name val="Tahoma"/>
      <family val="2"/>
    </font>
    <font>
      <b/>
      <sz val="12"/>
      <color theme="1"/>
      <name val="Arial"/>
      <family val="2"/>
    </font>
    <font>
      <sz val="11"/>
      <color rgb="FF92D050"/>
      <name val="Calibri"/>
      <family val="2"/>
      <scheme val="minor"/>
    </font>
    <font>
      <sz val="11"/>
      <color rgb="FF000000"/>
      <name val="Calibri"/>
      <family val="2"/>
      <scheme val="minor"/>
    </font>
    <font>
      <sz val="11"/>
      <name val="Calibri"/>
      <family val="2"/>
    </font>
    <font>
      <sz val="11"/>
      <color theme="1"/>
      <name val="Calibri"/>
      <family val="2"/>
    </font>
    <font>
      <b/>
      <sz val="11"/>
      <name val="Calibri"/>
      <family val="2"/>
    </font>
    <font>
      <b/>
      <sz val="11"/>
      <color rgb="FFFF0000"/>
      <name val="Calibri"/>
      <family val="2"/>
      <scheme val="minor"/>
    </font>
    <font>
      <b/>
      <u/>
      <sz val="11"/>
      <name val="Calibri"/>
      <family val="2"/>
      <scheme val="minor"/>
    </font>
    <font>
      <b/>
      <sz val="11"/>
      <color rgb="FF00B050"/>
      <name val="Calibri"/>
      <family val="2"/>
      <scheme val="minor"/>
    </font>
    <font>
      <b/>
      <sz val="11"/>
      <color rgb="FF00B050"/>
      <name val="Calibri"/>
      <family val="2"/>
    </font>
    <font>
      <b/>
      <sz val="11"/>
      <color rgb="FFFF0000"/>
      <name val="Calibri"/>
      <family val="2"/>
    </font>
    <font>
      <sz val="11"/>
      <color rgb="FFFF0000"/>
      <name val="Calibri"/>
      <family val="2"/>
    </font>
    <font>
      <sz val="11"/>
      <color rgb="FF00B050"/>
      <name val="Calibri"/>
      <family val="2"/>
      <scheme val="minor"/>
    </font>
    <font>
      <sz val="11"/>
      <color rgb="FF000000"/>
      <name val="Calibri"/>
      <family val="2"/>
    </font>
    <font>
      <u/>
      <sz val="11"/>
      <color theme="1"/>
      <name val="Calibri"/>
      <family val="2"/>
    </font>
    <font>
      <sz val="11"/>
      <name val="Calibri "/>
    </font>
    <font>
      <b/>
      <sz val="12"/>
      <color rgb="FF000000"/>
      <name val="Inherit"/>
    </font>
    <font>
      <sz val="12"/>
      <name val="Arial"/>
      <family val="2"/>
    </font>
    <font>
      <b/>
      <sz val="11"/>
      <color theme="1"/>
      <name val="Arial"/>
      <family val="2"/>
    </font>
    <font>
      <sz val="11"/>
      <color theme="1"/>
      <name val="Arial"/>
      <family val="2"/>
    </font>
    <font>
      <sz val="10"/>
      <color rgb="FF000000"/>
      <name val="Arial"/>
      <family val="2"/>
    </font>
    <font>
      <sz val="10"/>
      <color theme="1"/>
      <name val="Arial"/>
      <family val="2"/>
    </font>
    <font>
      <u/>
      <sz val="11"/>
      <name val="Calibri"/>
      <family val="2"/>
    </font>
    <font>
      <b/>
      <sz val="11"/>
      <color rgb="FF000000"/>
      <name val="Calibri"/>
      <family val="2"/>
      <scheme val="minor"/>
    </font>
    <font>
      <sz val="11"/>
      <name val="Calibri"/>
      <family val="2"/>
      <scheme val="minor"/>
    </font>
    <font>
      <sz val="9"/>
      <color rgb="FFFF0000"/>
      <name val="Arial"/>
      <family val="2"/>
    </font>
    <font>
      <sz val="9"/>
      <color theme="1"/>
      <name val="Arial"/>
      <family val="2"/>
    </font>
    <font>
      <sz val="9"/>
      <color theme="1"/>
      <name val="Calibri"/>
      <family val="2"/>
      <scheme val="minor"/>
    </font>
    <font>
      <b/>
      <strike/>
      <sz val="12"/>
      <color theme="1"/>
      <name val="Arial"/>
      <family val="2"/>
    </font>
    <font>
      <strike/>
      <sz val="12"/>
      <color theme="1"/>
      <name val="Arial"/>
      <family val="2"/>
    </font>
    <font>
      <b/>
      <sz val="11"/>
      <color rgb="FF000000"/>
      <name val="Calibri"/>
      <family val="2"/>
    </font>
    <font>
      <sz val="10"/>
      <name val="Arial"/>
      <family val="2"/>
    </font>
    <font>
      <sz val="9"/>
      <name val="Arial"/>
      <family val="2"/>
    </font>
    <font>
      <sz val="10"/>
      <color rgb="FF000000"/>
      <name val="Segoe UI"/>
      <family val="2"/>
    </font>
    <font>
      <sz val="12"/>
      <name val="Calibri"/>
      <family val="2"/>
      <scheme val="minor"/>
    </font>
    <font>
      <sz val="12"/>
      <color rgb="FFFF33CC"/>
      <name val="Calibri"/>
      <family val="2"/>
    </font>
    <font>
      <sz val="12"/>
      <color rgb="FFFF0000"/>
      <name val="Calibri"/>
      <family val="2"/>
    </font>
    <font>
      <sz val="12"/>
      <name val="Calibri"/>
      <family val="2"/>
    </font>
    <font>
      <sz val="10"/>
      <color rgb="FFFF0000"/>
      <name val="Arial"/>
      <family val="2"/>
    </font>
    <font>
      <b/>
      <sz val="10"/>
      <name val="Arial"/>
      <family val="2"/>
    </font>
    <font>
      <sz val="10"/>
      <color rgb="FFFFFFFF"/>
      <name val="Arial"/>
      <family val="2"/>
    </font>
    <font>
      <strike/>
      <sz val="10"/>
      <name val="Arial"/>
      <family val="2"/>
    </font>
    <font>
      <i/>
      <sz val="10"/>
      <name val="Arial"/>
      <family val="2"/>
    </font>
    <font>
      <sz val="10"/>
      <color theme="0"/>
      <name val="Arial"/>
      <family val="2"/>
    </font>
    <font>
      <sz val="10"/>
      <name val="Calibri"/>
      <family val="2"/>
      <scheme val="minor"/>
    </font>
    <font>
      <strike/>
      <sz val="10"/>
      <name val="Calibri"/>
      <family val="2"/>
      <scheme val="minor"/>
    </font>
    <font>
      <i/>
      <sz val="10"/>
      <name val="Calibri"/>
      <family val="2"/>
      <scheme val="minor"/>
    </font>
    <font>
      <sz val="10"/>
      <color theme="1"/>
      <name val="Calibri"/>
      <family val="2"/>
      <scheme val="minor"/>
    </font>
    <font>
      <sz val="10"/>
      <color rgb="FFFF0000"/>
      <name val="Calibri"/>
      <family val="2"/>
      <scheme val="minor"/>
    </font>
    <font>
      <b/>
      <sz val="10"/>
      <color rgb="FFFF0000"/>
      <name val="Arial"/>
      <family val="2"/>
    </font>
    <font>
      <i/>
      <sz val="10"/>
      <color rgb="FFFF0000"/>
      <name val="Arial"/>
      <family val="2"/>
    </font>
    <font>
      <strike/>
      <sz val="10"/>
      <color rgb="FFFFFFFF"/>
      <name val="Arial"/>
      <family val="2"/>
    </font>
    <font>
      <b/>
      <sz val="11"/>
      <color theme="0"/>
      <name val="Calibri"/>
      <family val="2"/>
    </font>
    <font>
      <sz val="10"/>
      <color theme="1"/>
      <name val="Calibri"/>
      <family val="2"/>
    </font>
    <font>
      <sz val="10"/>
      <name val="Calibri"/>
      <family val="2"/>
    </font>
    <font>
      <i/>
      <sz val="10"/>
      <name val="Calibri"/>
      <family val="2"/>
    </font>
    <font>
      <sz val="10"/>
      <color rgb="FF000000"/>
      <name val="Calibri"/>
      <family val="2"/>
    </font>
    <font>
      <sz val="10"/>
      <color rgb="FF000000"/>
      <name val="Calibri"/>
      <family val="2"/>
      <scheme val="minor"/>
    </font>
    <font>
      <b/>
      <sz val="10"/>
      <name val="Calibri"/>
      <family val="2"/>
      <scheme val="minor"/>
    </font>
    <font>
      <sz val="10"/>
      <color rgb="FFFF0000"/>
      <name val="Calibri"/>
      <family val="2"/>
    </font>
    <font>
      <b/>
      <sz val="10"/>
      <color rgb="FF000000"/>
      <name val="Calibri"/>
      <family val="2"/>
    </font>
    <font>
      <sz val="11"/>
      <color theme="1"/>
      <name val="Calibri"/>
      <family val="2"/>
    </font>
    <font>
      <u/>
      <sz val="12"/>
      <color theme="10"/>
      <name val="Arial"/>
      <family val="2"/>
    </font>
    <font>
      <sz val="9"/>
      <color rgb="FF000000"/>
      <name val="Calibri"/>
      <family val="2"/>
    </font>
    <font>
      <sz val="12"/>
      <color rgb="FF000000"/>
      <name val="Arial"/>
      <family val="2"/>
    </font>
    <font>
      <sz val="10"/>
      <color rgb="FFFFFFFF"/>
      <name val="Calibri"/>
      <family val="2"/>
    </font>
    <font>
      <sz val="11"/>
      <color rgb="FF444444"/>
      <name val="Calibri"/>
      <family val="2"/>
    </font>
    <font>
      <b/>
      <sz val="10"/>
      <color rgb="FFFF0000"/>
      <name val="Calibri"/>
      <family val="2"/>
    </font>
    <font>
      <i/>
      <sz val="10"/>
      <color rgb="FF000000"/>
      <name val="Calibri"/>
      <family val="2"/>
    </font>
    <font>
      <sz val="10"/>
      <color rgb="FF444444"/>
      <name val="Calibri"/>
      <family val="2"/>
    </font>
    <font>
      <b/>
      <sz val="10"/>
      <name val="Calibri"/>
      <family val="2"/>
    </font>
    <font>
      <sz val="10"/>
      <color theme="1"/>
      <name val="Calibri"/>
      <family val="2"/>
    </font>
    <font>
      <sz val="11"/>
      <name val="Calibri"/>
      <family val="2"/>
      <scheme val="minor"/>
    </font>
    <font>
      <sz val="10"/>
      <color theme="1"/>
      <name val="Calibri"/>
      <family val="2"/>
    </font>
    <font>
      <b/>
      <sz val="11"/>
      <color rgb="FFFFFFFF"/>
      <name val="Calibri"/>
      <family val="2"/>
    </font>
    <font>
      <sz val="10"/>
      <color theme="1"/>
      <name val="Arial"/>
      <family val="2"/>
      <charset val="1"/>
    </font>
    <font>
      <sz val="10"/>
      <name val="Calibri"/>
      <family val="2"/>
    </font>
    <font>
      <sz val="10"/>
      <color rgb="FF000000"/>
      <name val="Calibri"/>
      <family val="2"/>
    </font>
    <font>
      <sz val="11"/>
      <color rgb="FFFFFFFF"/>
      <name val="Calibri"/>
      <family val="2"/>
      <scheme val="minor"/>
    </font>
    <font>
      <sz val="10"/>
      <color theme="1"/>
      <name val="Calibri"/>
      <family val="2"/>
    </font>
    <font>
      <sz val="10"/>
      <color rgb="FF000000"/>
      <name val="Calibri"/>
      <family val="2"/>
      <scheme val="minor"/>
    </font>
    <font>
      <i/>
      <sz val="12"/>
      <color theme="1"/>
      <name val="Arial"/>
      <family val="2"/>
    </font>
    <font>
      <i/>
      <sz val="10"/>
      <color rgb="FFFF0000"/>
      <name val="Calibri"/>
      <family val="2"/>
    </font>
    <font>
      <sz val="10"/>
      <color theme="1"/>
      <name val="Calibri"/>
      <family val="2"/>
    </font>
    <font>
      <sz val="10"/>
      <name val="Calibri"/>
      <family val="2"/>
    </font>
    <font>
      <sz val="10"/>
      <color theme="1"/>
      <name val="Calibri"/>
      <family val="2"/>
    </font>
    <font>
      <sz val="11"/>
      <color rgb="FF000000"/>
      <name val="Calibri"/>
      <family val="2"/>
      <scheme val="minor"/>
    </font>
    <font>
      <sz val="10"/>
      <color theme="1"/>
      <name val="Calibri"/>
      <family val="2"/>
    </font>
    <font>
      <sz val="10"/>
      <name val="Calibri"/>
      <family val="2"/>
    </font>
    <font>
      <sz val="10"/>
      <color theme="1"/>
      <name val="Calibri"/>
      <family val="2"/>
    </font>
    <font>
      <sz val="11"/>
      <color rgb="FF000000"/>
      <name val="Calibri"/>
      <family val="2"/>
      <scheme val="minor"/>
    </font>
    <font>
      <sz val="10"/>
      <color theme="1"/>
      <name val="Calibri"/>
      <family val="2"/>
    </font>
    <font>
      <sz val="10"/>
      <color theme="1"/>
      <name val="Calibri"/>
      <family val="2"/>
    </font>
    <font>
      <sz val="11"/>
      <color rgb="FF000000"/>
      <name val="Calibri"/>
      <family val="2"/>
      <scheme val="minor"/>
    </font>
    <font>
      <sz val="10"/>
      <color theme="1"/>
      <name val="Calibri"/>
      <family val="2"/>
    </font>
    <font>
      <sz val="10"/>
      <color theme="1"/>
      <name val="Calibri"/>
      <family val="2"/>
    </font>
    <font>
      <sz val="10"/>
      <color theme="1"/>
      <name val="Calibri"/>
      <family val="2"/>
    </font>
    <font>
      <sz val="11"/>
      <name val="Calibri"/>
      <family val="2"/>
      <charset val="1"/>
    </font>
    <font>
      <sz val="10"/>
      <color theme="1"/>
      <name val="Calibri"/>
      <family val="2"/>
    </font>
    <font>
      <sz val="10"/>
      <name val="Calibri"/>
      <family val="2"/>
    </font>
    <font>
      <sz val="10"/>
      <color theme="0"/>
      <name val="Calibri"/>
      <family val="2"/>
      <scheme val="minor"/>
    </font>
    <font>
      <sz val="10"/>
      <color theme="0"/>
      <name val="Calibri"/>
      <family val="2"/>
    </font>
  </fonts>
  <fills count="3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92D05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FFFF"/>
        <bgColor indexed="64"/>
      </patternFill>
    </fill>
    <fill>
      <patternFill patternType="solid">
        <fgColor rgb="FF9BC2E6"/>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33CC"/>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F8CBAD"/>
        <bgColor indexed="64"/>
      </patternFill>
    </fill>
    <fill>
      <patternFill patternType="solid">
        <fgColor rgb="FFBFBFBF"/>
        <bgColor indexed="64"/>
      </patternFill>
    </fill>
    <fill>
      <patternFill patternType="solid">
        <fgColor rgb="FF000000"/>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A6A6A6"/>
        <bgColor indexed="64"/>
      </patternFill>
    </fill>
    <fill>
      <patternFill patternType="solid">
        <fgColor rgb="FFB9E6AE"/>
        <bgColor indexed="64"/>
      </patternFill>
    </fill>
    <fill>
      <patternFill patternType="solid">
        <fgColor rgb="FFD9D9D9"/>
        <bgColor indexed="64"/>
      </patternFill>
    </fill>
    <fill>
      <patternFill patternType="solid">
        <fgColor rgb="FFDDEBF7"/>
        <bgColor indexed="64"/>
      </patternFill>
    </fill>
    <fill>
      <patternFill patternType="solid">
        <fgColor rgb="FFF2F2F2"/>
        <bgColor indexed="64"/>
      </patternFill>
    </fill>
    <fill>
      <patternFill patternType="solid">
        <fgColor rgb="FFC00000"/>
        <bgColor indexed="64"/>
      </patternFill>
    </fill>
    <fill>
      <patternFill patternType="solid">
        <fgColor theme="4" tint="0.59999389629810485"/>
        <bgColor indexed="64"/>
      </patternFill>
    </fill>
    <fill>
      <patternFill patternType="solid">
        <fgColor rgb="FFD9D9D9"/>
        <bgColor rgb="FF000000"/>
      </patternFill>
    </fill>
    <fill>
      <patternFill patternType="solid">
        <fgColor rgb="FF808080"/>
        <bgColor rgb="FF000000"/>
      </patternFill>
    </fill>
    <fill>
      <patternFill patternType="solid">
        <fgColor rgb="FFB9E6AE"/>
        <bgColor rgb="FF000000"/>
      </patternFill>
    </fill>
    <fill>
      <patternFill patternType="solid">
        <fgColor rgb="FF737373"/>
        <bgColor indexed="64"/>
      </patternFill>
    </fill>
    <fill>
      <patternFill patternType="solid">
        <fgColor rgb="FFFDC8DA"/>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style="thin">
        <color auto="1"/>
      </right>
      <top/>
      <bottom style="thin">
        <color auto="1"/>
      </bottom>
      <diagonal/>
    </border>
    <border>
      <left style="thin">
        <color auto="1"/>
      </left>
      <right/>
      <top/>
      <bottom style="thin">
        <color indexed="64"/>
      </bottom>
      <diagonal/>
    </border>
    <border>
      <left style="thin">
        <color auto="1"/>
      </left>
      <right style="thin">
        <color indexed="64"/>
      </right>
      <top/>
      <bottom style="thin">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indexed="64"/>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auto="1"/>
      </left>
      <right style="thin">
        <color auto="1"/>
      </right>
      <top style="thin">
        <color auto="1"/>
      </top>
      <bottom style="thin">
        <color rgb="FF000000"/>
      </bottom>
      <diagonal/>
    </border>
    <border>
      <left/>
      <right/>
      <top style="thin">
        <color auto="1"/>
      </top>
      <bottom style="thin">
        <color auto="1"/>
      </bottom>
      <diagonal/>
    </border>
    <border>
      <left/>
      <right style="thin">
        <color auto="1"/>
      </right>
      <top style="thin">
        <color auto="1"/>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style="thin">
        <color auto="1"/>
      </top>
      <bottom/>
      <diagonal/>
    </border>
    <border>
      <left style="thin">
        <color rgb="FF000000"/>
      </left>
      <right/>
      <top/>
      <bottom style="thin">
        <color rgb="FF000000"/>
      </bottom>
      <diagonal/>
    </border>
    <border>
      <left style="thin">
        <color auto="1"/>
      </left>
      <right style="thin">
        <color auto="1"/>
      </right>
      <top/>
      <bottom/>
      <diagonal/>
    </border>
    <border>
      <left/>
      <right/>
      <top style="thin">
        <color rgb="FF000000"/>
      </top>
      <bottom/>
      <diagonal/>
    </border>
    <border>
      <left/>
      <right style="thin">
        <color rgb="FF000000"/>
      </right>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auto="1"/>
      </left>
      <right/>
      <top/>
      <bottom/>
      <diagonal/>
    </border>
    <border>
      <left style="thin">
        <color auto="1"/>
      </left>
      <right/>
      <top style="thin">
        <color auto="1"/>
      </top>
      <bottom style="thin">
        <color rgb="FF000000"/>
      </bottom>
      <diagonal/>
    </border>
    <border>
      <left/>
      <right style="thin">
        <color auto="1"/>
      </right>
      <top/>
      <bottom style="thin">
        <color rgb="FF00000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diagonal/>
    </border>
    <border>
      <left/>
      <right style="thin">
        <color auto="1"/>
      </right>
      <top style="thin">
        <color rgb="FF000000"/>
      </top>
      <bottom style="thin">
        <color auto="1"/>
      </bottom>
      <diagonal/>
    </border>
    <border>
      <left style="thin">
        <color auto="1"/>
      </left>
      <right/>
      <top/>
      <bottom style="thin">
        <color rgb="FF000000"/>
      </bottom>
      <diagonal/>
    </border>
    <border>
      <left/>
      <right style="thin">
        <color rgb="FF000000"/>
      </right>
      <top style="thin">
        <color auto="1"/>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bottom style="thin">
        <color auto="1"/>
      </bottom>
      <diagonal/>
    </border>
    <border>
      <left/>
      <right style="thin">
        <color auto="1"/>
      </right>
      <top style="thin">
        <color rgb="FF000000"/>
      </top>
      <bottom/>
      <diagonal/>
    </border>
    <border>
      <left/>
      <right/>
      <top/>
      <bottom style="thin">
        <color rgb="FF808080"/>
      </bottom>
      <diagonal/>
    </border>
    <border>
      <left style="thin">
        <color rgb="FF808080"/>
      </left>
      <right style="thin">
        <color rgb="FF808080"/>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0">
    <xf numFmtId="0" fontId="0" fillId="0" borderId="0"/>
    <xf numFmtId="0" fontId="9" fillId="0" borderId="0"/>
    <xf numFmtId="0" fontId="9" fillId="0" borderId="0"/>
    <xf numFmtId="0" fontId="11"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46"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1" fillId="0" borderId="0"/>
    <xf numFmtId="44" fontId="9" fillId="0" borderId="0" applyFont="0" applyFill="0" applyBorder="0" applyAlignment="0" applyProtection="0"/>
    <xf numFmtId="0" fontId="11" fillId="0" borderId="0"/>
    <xf numFmtId="0" fontId="11" fillId="0" borderId="0"/>
    <xf numFmtId="0" fontId="11" fillId="0" borderId="0"/>
    <xf numFmtId="0" fontId="11" fillId="0" borderId="0"/>
    <xf numFmtId="0" fontId="77" fillId="0" borderId="0" applyNumberFormat="0" applyFill="0" applyBorder="0" applyAlignment="0" applyProtection="0"/>
  </cellStyleXfs>
  <cellXfs count="3053">
    <xf numFmtId="0" fontId="0" fillId="0" borderId="0" xfId="0"/>
    <xf numFmtId="0" fontId="7" fillId="0" borderId="0" xfId="0" applyFont="1" applyAlignment="1" applyProtection="1">
      <alignment vertical="center"/>
      <protection locked="0"/>
    </xf>
    <xf numFmtId="0" fontId="6" fillId="3" borderId="1" xfId="0" applyFont="1" applyFill="1" applyBorder="1" applyAlignment="1" applyProtection="1">
      <alignment horizontal="left" vertical="center" wrapText="1"/>
      <protection locked="0"/>
    </xf>
    <xf numFmtId="0" fontId="7" fillId="0" borderId="0" xfId="0" applyFont="1" applyAlignment="1" applyProtection="1">
      <alignment horizontal="left" vertical="center"/>
      <protection locked="0"/>
    </xf>
    <xf numFmtId="0" fontId="7" fillId="0" borderId="1" xfId="0" applyFont="1" applyBorder="1" applyAlignment="1" applyProtection="1">
      <alignment vertical="center"/>
      <protection locked="0"/>
    </xf>
    <xf numFmtId="0" fontId="7" fillId="0" borderId="1" xfId="0" applyFont="1" applyBorder="1" applyAlignment="1" applyProtection="1">
      <alignment horizontal="center" vertical="center" wrapText="1"/>
      <protection locked="0"/>
    </xf>
    <xf numFmtId="0" fontId="7" fillId="2" borderId="1" xfId="0" applyFont="1" applyFill="1" applyBorder="1" applyAlignment="1" applyProtection="1">
      <alignment horizontal="left" vertical="center" wrapText="1"/>
      <protection locked="0"/>
    </xf>
    <xf numFmtId="49"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2" borderId="1"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protection locked="0"/>
    </xf>
    <xf numFmtId="166"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protection locked="0"/>
    </xf>
    <xf numFmtId="165" fontId="7" fillId="0" borderId="1" xfId="0" applyNumberFormat="1" applyFont="1" applyBorder="1" applyAlignment="1" applyProtection="1">
      <alignment horizontal="center" vertical="center" wrapText="1"/>
      <protection locked="0"/>
    </xf>
    <xf numFmtId="0" fontId="7" fillId="2" borderId="1" xfId="0" applyFont="1" applyFill="1" applyBorder="1" applyAlignment="1" applyProtection="1">
      <alignment horizontal="center" vertical="center"/>
      <protection locked="0"/>
    </xf>
    <xf numFmtId="0" fontId="7" fillId="0" borderId="1" xfId="0" applyFont="1" applyBorder="1" applyAlignment="1" applyProtection="1">
      <alignment vertical="center" wrapText="1"/>
      <protection locked="0"/>
    </xf>
    <xf numFmtId="167" fontId="7" fillId="0" borderId="1" xfId="0" applyNumberFormat="1" applyFont="1" applyBorder="1" applyAlignment="1" applyProtection="1">
      <alignment horizontal="center" vertical="center"/>
      <protection locked="0"/>
    </xf>
    <xf numFmtId="168" fontId="7" fillId="0" borderId="1" xfId="6" applyNumberFormat="1" applyFont="1" applyFill="1" applyBorder="1" applyAlignment="1" applyProtection="1">
      <alignment horizontal="center" vertical="center" wrapText="1"/>
      <protection locked="0"/>
    </xf>
    <xf numFmtId="167" fontId="7" fillId="0" borderId="1" xfId="6" applyNumberFormat="1" applyFont="1" applyFill="1" applyBorder="1" applyAlignment="1" applyProtection="1">
      <alignment horizontal="center" vertical="center" wrapText="1"/>
      <protection locked="0"/>
    </xf>
    <xf numFmtId="0" fontId="7" fillId="0" borderId="3" xfId="0" applyFont="1" applyBorder="1" applyAlignment="1" applyProtection="1">
      <alignment horizontal="center" vertical="center"/>
      <protection locked="0"/>
    </xf>
    <xf numFmtId="0" fontId="6" fillId="3" borderId="1"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167" fontId="8" fillId="5" borderId="1" xfId="0" applyNumberFormat="1" applyFont="1" applyFill="1" applyBorder="1" applyAlignment="1" applyProtection="1">
      <alignment horizontal="center" vertical="center" wrapText="1"/>
      <protection locked="0"/>
    </xf>
    <xf numFmtId="0" fontId="6" fillId="3" borderId="2" xfId="0" applyFont="1" applyFill="1" applyBorder="1" applyAlignment="1" applyProtection="1">
      <alignment horizontal="center" vertical="center" wrapText="1"/>
      <protection locked="0"/>
    </xf>
    <xf numFmtId="49" fontId="7" fillId="0" borderId="2" xfId="0" applyNumberFormat="1"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protection locked="0"/>
    </xf>
    <xf numFmtId="49" fontId="7" fillId="0" borderId="2" xfId="0" applyNumberFormat="1" applyFont="1" applyBorder="1" applyAlignment="1" applyProtection="1">
      <alignment horizontal="center" vertical="center"/>
      <protection locked="0"/>
    </xf>
    <xf numFmtId="49" fontId="7" fillId="2" borderId="2" xfId="0" applyNumberFormat="1" applyFont="1" applyFill="1" applyBorder="1" applyAlignment="1" applyProtection="1">
      <alignment horizontal="center" vertical="center" wrapText="1"/>
      <protection locked="0"/>
    </xf>
    <xf numFmtId="0" fontId="6" fillId="3" borderId="3" xfId="0" applyFont="1" applyFill="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49" fontId="7" fillId="2" borderId="1" xfId="0" applyNumberFormat="1" applyFont="1" applyFill="1" applyBorder="1" applyAlignment="1" applyProtection="1">
      <alignment horizontal="left" vertical="center" wrapText="1"/>
      <protection locked="0"/>
    </xf>
    <xf numFmtId="0" fontId="6" fillId="3" borderId="1" xfId="2" applyFont="1" applyFill="1" applyBorder="1" applyAlignment="1" applyProtection="1">
      <alignment horizontal="center" vertical="center" textRotation="180" wrapText="1"/>
      <protection locked="0"/>
    </xf>
    <xf numFmtId="0" fontId="0" fillId="0" borderId="0" xfId="0" applyProtection="1">
      <protection locked="0"/>
    </xf>
    <xf numFmtId="49" fontId="7" fillId="0" borderId="1" xfId="0" applyNumberFormat="1" applyFont="1" applyBorder="1" applyAlignment="1" applyProtection="1">
      <alignment horizontal="left" vertical="center" wrapText="1"/>
      <protection locked="0"/>
    </xf>
    <xf numFmtId="14" fontId="8" fillId="5" borderId="1" xfId="0" applyNumberFormat="1" applyFont="1" applyFill="1" applyBorder="1" applyAlignment="1" applyProtection="1">
      <alignment horizontal="center" vertical="center" wrapText="1"/>
      <protection locked="0"/>
    </xf>
    <xf numFmtId="0" fontId="15" fillId="0" borderId="0" xfId="0" applyFont="1"/>
    <xf numFmtId="168" fontId="6" fillId="3" borderId="1" xfId="0" applyNumberFormat="1" applyFont="1" applyFill="1" applyBorder="1" applyAlignment="1" applyProtection="1">
      <alignment horizontal="center" vertical="center" wrapText="1"/>
      <protection locked="0"/>
    </xf>
    <xf numFmtId="168" fontId="7" fillId="0" borderId="1" xfId="0" applyNumberFormat="1" applyFont="1" applyBorder="1" applyAlignment="1" applyProtection="1">
      <alignment horizontal="center" vertical="center"/>
      <protection locked="0"/>
    </xf>
    <xf numFmtId="168" fontId="7" fillId="0" borderId="1" xfId="0" applyNumberFormat="1" applyFont="1" applyBorder="1" applyAlignment="1" applyProtection="1">
      <alignment horizontal="center" vertical="center" wrapText="1"/>
      <protection locked="0"/>
    </xf>
    <xf numFmtId="168" fontId="8" fillId="5" borderId="1" xfId="0" applyNumberFormat="1" applyFont="1" applyFill="1" applyBorder="1" applyAlignment="1" applyProtection="1">
      <alignment horizontal="center" vertical="center" wrapText="1"/>
      <protection locked="0"/>
    </xf>
    <xf numFmtId="168" fontId="7" fillId="2" borderId="1" xfId="0" applyNumberFormat="1" applyFont="1" applyFill="1" applyBorder="1" applyAlignment="1" applyProtection="1">
      <alignment horizontal="center" vertical="center"/>
      <protection locked="0"/>
    </xf>
    <xf numFmtId="168" fontId="7" fillId="2" borderId="1" xfId="0" applyNumberFormat="1" applyFont="1" applyFill="1" applyBorder="1" applyAlignment="1" applyProtection="1">
      <alignment horizontal="center" vertical="center" wrapText="1"/>
      <protection locked="0"/>
    </xf>
    <xf numFmtId="14" fontId="7" fillId="0" borderId="2"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165" fontId="7" fillId="6" borderId="1" xfId="0" applyNumberFormat="1"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protection locked="0"/>
    </xf>
    <xf numFmtId="14" fontId="7" fillId="2" borderId="1" xfId="0" applyNumberFormat="1" applyFont="1" applyFill="1" applyBorder="1" applyAlignment="1" applyProtection="1">
      <alignment horizontal="center" vertical="center"/>
      <protection locked="0"/>
    </xf>
    <xf numFmtId="168" fontId="7" fillId="6" borderId="1" xfId="0" applyNumberFormat="1" applyFont="1" applyFill="1" applyBorder="1" applyAlignment="1" applyProtection="1">
      <alignment horizontal="center" vertical="center" wrapText="1"/>
      <protection locked="0"/>
    </xf>
    <xf numFmtId="165" fontId="7" fillId="6" borderId="1" xfId="0" applyNumberFormat="1" applyFont="1" applyFill="1" applyBorder="1" applyAlignment="1">
      <alignment horizontal="center" vertical="center" wrapText="1"/>
    </xf>
    <xf numFmtId="0" fontId="7" fillId="6" borderId="1" xfId="0" applyFont="1" applyFill="1" applyBorder="1" applyAlignment="1" applyProtection="1">
      <alignment horizontal="center" vertical="center" wrapText="1"/>
      <protection locked="0"/>
    </xf>
    <xf numFmtId="165" fontId="7"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7" fillId="2" borderId="1" xfId="0" quotePrefix="1" applyFont="1" applyFill="1" applyBorder="1" applyAlignment="1" applyProtection="1">
      <alignment horizontal="left" vertical="center" wrapText="1"/>
      <protection locked="0"/>
    </xf>
    <xf numFmtId="0" fontId="0" fillId="0" borderId="0" xfId="0" applyAlignment="1">
      <alignment vertical="center"/>
    </xf>
    <xf numFmtId="0" fontId="7" fillId="0" borderId="1" xfId="0" applyFont="1" applyBorder="1" applyAlignment="1">
      <alignment horizontal="left" vertical="center" wrapText="1"/>
    </xf>
    <xf numFmtId="0" fontId="7" fillId="0" borderId="7" xfId="0" applyFont="1" applyBorder="1" applyAlignment="1" applyProtection="1">
      <alignment horizontal="center" vertical="center" wrapText="1"/>
      <protection locked="0"/>
    </xf>
    <xf numFmtId="6" fontId="7" fillId="0" borderId="1" xfId="0" applyNumberFormat="1" applyFont="1" applyBorder="1" applyAlignment="1" applyProtection="1">
      <alignment horizontal="center" vertical="center" wrapText="1"/>
      <protection locked="0"/>
    </xf>
    <xf numFmtId="0" fontId="0" fillId="0" borderId="3" xfId="0" applyBorder="1" applyAlignment="1">
      <alignment vertical="center"/>
    </xf>
    <xf numFmtId="168" fontId="7" fillId="2" borderId="1" xfId="6" applyNumberFormat="1" applyFont="1" applyFill="1" applyBorder="1" applyAlignment="1" applyProtection="1">
      <alignment horizontal="center" vertical="center" wrapText="1"/>
      <protection locked="0"/>
    </xf>
    <xf numFmtId="165" fontId="7" fillId="0" borderId="1" xfId="0" applyNumberFormat="1" applyFont="1" applyBorder="1" applyAlignment="1" applyProtection="1">
      <alignment horizontal="left" vertical="center" wrapText="1"/>
      <protection locked="0"/>
    </xf>
    <xf numFmtId="0" fontId="7" fillId="2" borderId="1" xfId="0" applyFont="1" applyFill="1" applyBorder="1" applyAlignment="1" applyProtection="1">
      <alignment vertical="center" wrapText="1"/>
      <protection locked="0"/>
    </xf>
    <xf numFmtId="0" fontId="7" fillId="0" borderId="1" xfId="1" applyFont="1" applyBorder="1" applyAlignment="1" applyProtection="1">
      <alignment horizontal="left" vertical="center" wrapText="1"/>
      <protection locked="0"/>
    </xf>
    <xf numFmtId="14" fontId="7"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49" fontId="7" fillId="2" borderId="1" xfId="0" applyNumberFormat="1" applyFont="1" applyFill="1" applyBorder="1" applyAlignment="1" applyProtection="1">
      <alignment horizontal="center" vertical="center"/>
      <protection locked="0"/>
    </xf>
    <xf numFmtId="0" fontId="7" fillId="0" borderId="1" xfId="0" applyFont="1" applyBorder="1" applyAlignment="1">
      <alignment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xf>
    <xf numFmtId="0" fontId="7" fillId="0" borderId="2" xfId="0" applyFont="1" applyBorder="1" applyAlignment="1" applyProtection="1">
      <alignment vertical="center"/>
      <protection locked="0"/>
    </xf>
    <xf numFmtId="0" fontId="7" fillId="0" borderId="8" xfId="0" applyFont="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center" vertical="center"/>
      <protection locked="0"/>
    </xf>
    <xf numFmtId="0" fontId="7" fillId="0" borderId="0" xfId="0" applyFont="1" applyAlignment="1" applyProtection="1">
      <alignment horizontal="center" vertical="center"/>
      <protection locked="0"/>
    </xf>
    <xf numFmtId="14" fontId="7" fillId="0" borderId="1" xfId="0" quotePrefix="1"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wrapText="1"/>
      <protection locked="0"/>
    </xf>
    <xf numFmtId="14" fontId="7" fillId="2" borderId="3" xfId="0" applyNumberFormat="1" applyFont="1" applyFill="1" applyBorder="1" applyAlignment="1" applyProtection="1">
      <alignment horizontal="center" vertical="center"/>
      <protection locked="0"/>
    </xf>
    <xf numFmtId="0" fontId="7" fillId="0" borderId="0" xfId="0" applyFont="1" applyAlignment="1" applyProtection="1">
      <alignment horizontal="center" vertical="center" wrapText="1"/>
      <protection locked="0"/>
    </xf>
    <xf numFmtId="44" fontId="7" fillId="0" borderId="1" xfId="0" applyNumberFormat="1" applyFont="1" applyBorder="1" applyAlignment="1" applyProtection="1">
      <alignment horizontal="center" vertical="center"/>
      <protection locked="0"/>
    </xf>
    <xf numFmtId="164" fontId="7" fillId="0" borderId="1" xfId="0" applyNumberFormat="1" applyFont="1" applyBorder="1" applyAlignment="1" applyProtection="1">
      <alignment horizontal="right" vertical="center" wrapText="1"/>
      <protection locked="0"/>
    </xf>
    <xf numFmtId="167" fontId="7" fillId="0" borderId="1" xfId="0" applyNumberFormat="1" applyFont="1" applyBorder="1" applyAlignment="1" applyProtection="1">
      <alignment vertical="center"/>
      <protection locked="0"/>
    </xf>
    <xf numFmtId="0" fontId="7" fillId="0" borderId="1" xfId="0" applyFont="1" applyBorder="1" applyAlignment="1" applyProtection="1">
      <alignment horizontal="left" vertical="top" wrapText="1"/>
      <protection locked="0"/>
    </xf>
    <xf numFmtId="167" fontId="7" fillId="0" borderId="1" xfId="0" applyNumberFormat="1" applyFont="1" applyBorder="1" applyAlignment="1" applyProtection="1">
      <alignment horizontal="center" vertical="center" wrapText="1"/>
      <protection locked="0"/>
    </xf>
    <xf numFmtId="164" fontId="7" fillId="0" borderId="1" xfId="0" applyNumberFormat="1" applyFont="1" applyBorder="1" applyAlignment="1" applyProtection="1">
      <alignment horizontal="right" vertical="center"/>
      <protection locked="0"/>
    </xf>
    <xf numFmtId="0" fontId="10" fillId="0" borderId="1" xfId="0" applyFont="1" applyBorder="1" applyAlignment="1" applyProtection="1">
      <alignment horizontal="left" vertical="center" wrapText="1"/>
      <protection locked="0"/>
    </xf>
    <xf numFmtId="164"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left" wrapText="1"/>
      <protection locked="0"/>
    </xf>
    <xf numFmtId="14" fontId="7" fillId="0" borderId="1" xfId="0" applyNumberFormat="1" applyFont="1" applyBorder="1" applyAlignment="1" applyProtection="1">
      <alignment horizontal="center"/>
      <protection locked="0"/>
    </xf>
    <xf numFmtId="0" fontId="7" fillId="0" borderId="1" xfId="0" applyFont="1" applyBorder="1" applyAlignment="1" applyProtection="1">
      <alignment horizontal="center"/>
      <protection locked="0"/>
    </xf>
    <xf numFmtId="0" fontId="7" fillId="0" borderId="1" xfId="0" applyFont="1" applyBorder="1" applyAlignment="1" applyProtection="1">
      <alignment horizontal="center" wrapText="1"/>
      <protection locked="0"/>
    </xf>
    <xf numFmtId="164" fontId="7" fillId="0" borderId="1" xfId="0" applyNumberFormat="1" applyFont="1" applyBorder="1" applyAlignment="1" applyProtection="1">
      <alignment vertical="center"/>
      <protection locked="0"/>
    </xf>
    <xf numFmtId="8" fontId="7" fillId="0" borderId="1" xfId="0" applyNumberFormat="1" applyFont="1" applyBorder="1" applyAlignment="1" applyProtection="1">
      <alignment horizontal="center" vertical="center"/>
      <protection locked="0"/>
    </xf>
    <xf numFmtId="6" fontId="7" fillId="0" borderId="1" xfId="0" applyNumberFormat="1" applyFont="1" applyBorder="1" applyAlignment="1" applyProtection="1">
      <alignment horizontal="center" vertical="center"/>
      <protection locked="0"/>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168" fontId="10" fillId="0" borderId="1" xfId="6" applyNumberFormat="1" applyFont="1" applyFill="1" applyBorder="1" applyAlignment="1" applyProtection="1">
      <alignment horizontal="center" vertical="center" wrapText="1"/>
      <protection locked="0"/>
    </xf>
    <xf numFmtId="0" fontId="10" fillId="0" borderId="0" xfId="0" applyFont="1" applyAlignment="1" applyProtection="1">
      <alignment vertical="center"/>
      <protection locked="0"/>
    </xf>
    <xf numFmtId="49" fontId="7" fillId="0" borderId="1" xfId="0" applyNumberFormat="1" applyFont="1" applyBorder="1" applyAlignment="1" applyProtection="1">
      <alignment horizontal="left" vertical="center"/>
      <protection locked="0"/>
    </xf>
    <xf numFmtId="0" fontId="7" fillId="0" borderId="0" xfId="0" applyFont="1" applyAlignment="1" applyProtection="1">
      <alignment horizontal="left" vertical="center" wrapText="1"/>
      <protection locked="0"/>
    </xf>
    <xf numFmtId="0" fontId="7" fillId="0" borderId="2" xfId="0" applyFont="1" applyBorder="1" applyAlignment="1" applyProtection="1">
      <alignment horizontal="left" vertical="center"/>
      <protection locked="0"/>
    </xf>
    <xf numFmtId="0" fontId="7" fillId="0" borderId="1" xfId="0" applyFont="1" applyBorder="1" applyAlignment="1" applyProtection="1">
      <alignment wrapText="1"/>
      <protection locked="0"/>
    </xf>
    <xf numFmtId="0" fontId="0" fillId="0" borderId="1" xfId="0" applyBorder="1" applyAlignment="1">
      <alignment horizontal="center" vertical="center" wrapText="1"/>
    </xf>
    <xf numFmtId="0" fontId="7" fillId="0" borderId="2" xfId="0" applyFont="1" applyBorder="1" applyAlignment="1" applyProtection="1">
      <alignment horizontal="center" wrapText="1"/>
      <protection locked="0"/>
    </xf>
    <xf numFmtId="0" fontId="6" fillId="0" borderId="1" xfId="0" applyFont="1" applyBorder="1" applyAlignment="1" applyProtection="1">
      <alignment horizontal="left" vertical="center" wrapText="1"/>
      <protection locked="0"/>
    </xf>
    <xf numFmtId="0" fontId="18" fillId="0" borderId="1" xfId="0" applyFont="1" applyBorder="1" applyAlignment="1">
      <alignment horizontal="left" vertical="top" wrapText="1"/>
    </xf>
    <xf numFmtId="0" fontId="7" fillId="0" borderId="2" xfId="0" applyFont="1" applyBorder="1" applyAlignment="1" applyProtection="1">
      <alignment horizontal="left" vertical="center" wrapText="1"/>
      <protection locked="0"/>
    </xf>
    <xf numFmtId="0" fontId="19" fillId="0" borderId="1" xfId="0" applyFont="1" applyBorder="1" applyAlignment="1">
      <alignment horizontal="center" vertical="center"/>
    </xf>
    <xf numFmtId="49" fontId="7" fillId="0" borderId="2" xfId="0" applyNumberFormat="1" applyFont="1" applyBorder="1" applyAlignment="1" applyProtection="1">
      <alignment horizontal="left" vertical="center" wrapText="1"/>
      <protection locked="0"/>
    </xf>
    <xf numFmtId="0" fontId="7" fillId="0" borderId="0" xfId="0" applyFont="1" applyAlignment="1" applyProtection="1">
      <alignment vertical="center" wrapText="1"/>
      <protection locked="0"/>
    </xf>
    <xf numFmtId="168" fontId="7" fillId="0" borderId="1" xfId="6" applyNumberFormat="1" applyFont="1" applyFill="1" applyBorder="1" applyAlignment="1" applyProtection="1">
      <alignment horizontal="center" vertical="center"/>
      <protection locked="0"/>
    </xf>
    <xf numFmtId="49" fontId="18" fillId="0" borderId="1" xfId="0" applyNumberFormat="1" applyFont="1" applyBorder="1" applyAlignment="1" applyProtection="1">
      <alignment horizontal="left" vertical="center" wrapText="1"/>
      <protection locked="0"/>
    </xf>
    <xf numFmtId="0" fontId="7" fillId="0" borderId="1" xfId="0" quotePrefix="1" applyFont="1" applyBorder="1" applyAlignment="1" applyProtection="1">
      <alignment vertical="center" wrapText="1"/>
      <protection locked="0"/>
    </xf>
    <xf numFmtId="167" fontId="7" fillId="0" borderId="1" xfId="6" applyNumberFormat="1" applyFont="1" applyFill="1" applyBorder="1" applyAlignment="1" applyProtection="1">
      <alignment horizontal="center" vertical="center"/>
      <protection locked="0"/>
    </xf>
    <xf numFmtId="0" fontId="20" fillId="0" borderId="1"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49" fontId="7" fillId="0" borderId="1" xfId="0" applyNumberFormat="1" applyFont="1" applyBorder="1" applyAlignment="1" applyProtection="1">
      <alignment horizontal="left" vertical="top" wrapText="1"/>
      <protection locked="0"/>
    </xf>
    <xf numFmtId="0" fontId="0" fillId="0" borderId="1" xfId="0" applyBorder="1"/>
    <xf numFmtId="0" fontId="7" fillId="2" borderId="3"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left" vertical="top" wrapText="1"/>
      <protection locked="0"/>
    </xf>
    <xf numFmtId="0" fontId="7" fillId="0" borderId="3" xfId="0" applyFont="1" applyBorder="1" applyAlignment="1" applyProtection="1">
      <alignment horizontal="left" vertical="center"/>
      <protection locked="0"/>
    </xf>
    <xf numFmtId="14" fontId="7" fillId="0" borderId="1" xfId="0" applyNumberFormat="1" applyFont="1" applyBorder="1" applyAlignment="1" applyProtection="1">
      <alignment vertical="center" wrapText="1"/>
      <protection locked="0"/>
    </xf>
    <xf numFmtId="14" fontId="7" fillId="0" borderId="3" xfId="0" applyNumberFormat="1" applyFont="1" applyBorder="1" applyAlignment="1" applyProtection="1">
      <alignment horizontal="center" vertical="center"/>
      <protection locked="0"/>
    </xf>
    <xf numFmtId="0" fontId="18" fillId="0" borderId="1" xfId="0" applyFont="1" applyBorder="1" applyAlignment="1">
      <alignment horizontal="center" wrapText="1"/>
    </xf>
    <xf numFmtId="0" fontId="18" fillId="0" borderId="1" xfId="0" applyFont="1" applyBorder="1" applyAlignment="1">
      <alignment horizontal="center"/>
    </xf>
    <xf numFmtId="0" fontId="18" fillId="0" borderId="1" xfId="0" applyFont="1" applyBorder="1" applyAlignment="1" applyProtection="1">
      <alignment wrapText="1"/>
      <protection locked="0"/>
    </xf>
    <xf numFmtId="14" fontId="18" fillId="0" borderId="1" xfId="0" applyNumberFormat="1" applyFont="1" applyBorder="1" applyAlignment="1" applyProtection="1">
      <alignment horizontal="center"/>
      <protection locked="0"/>
    </xf>
    <xf numFmtId="0" fontId="18" fillId="0" borderId="1" xfId="0" applyFont="1" applyBorder="1" applyAlignment="1" applyProtection="1">
      <alignment horizontal="center" vertical="center"/>
      <protection locked="0"/>
    </xf>
    <xf numFmtId="0" fontId="18" fillId="0" borderId="1" xfId="0" applyFont="1" applyBorder="1" applyAlignment="1" applyProtection="1">
      <alignment horizontal="center" vertical="center" wrapText="1"/>
      <protection locked="0"/>
    </xf>
    <xf numFmtId="168" fontId="18" fillId="0" borderId="1" xfId="6" applyNumberFormat="1" applyFont="1" applyFill="1" applyBorder="1" applyAlignment="1" applyProtection="1">
      <alignment horizontal="center" vertical="center" wrapText="1"/>
      <protection locked="0"/>
    </xf>
    <xf numFmtId="0" fontId="18" fillId="0" borderId="1" xfId="0" applyFont="1" applyBorder="1" applyProtection="1">
      <protection locked="0"/>
    </xf>
    <xf numFmtId="0" fontId="19" fillId="0" borderId="1" xfId="0" applyFont="1" applyBorder="1" applyAlignment="1">
      <alignment horizontal="center" wrapText="1"/>
    </xf>
    <xf numFmtId="0" fontId="19" fillId="0" borderId="1" xfId="0" applyFont="1" applyBorder="1" applyAlignment="1">
      <alignment horizontal="center"/>
    </xf>
    <xf numFmtId="0" fontId="19" fillId="0" borderId="1" xfId="0" applyFont="1" applyBorder="1" applyAlignment="1" applyProtection="1">
      <alignment wrapText="1"/>
      <protection locked="0"/>
    </xf>
    <xf numFmtId="14" fontId="19" fillId="0" borderId="1" xfId="0" applyNumberFormat="1" applyFont="1" applyBorder="1" applyAlignment="1" applyProtection="1">
      <alignment horizontal="center"/>
      <protection locked="0"/>
    </xf>
    <xf numFmtId="0" fontId="19" fillId="0" borderId="1" xfId="0" applyFont="1" applyBorder="1" applyAlignment="1" applyProtection="1">
      <alignment horizontal="center" vertical="center"/>
      <protection locked="0"/>
    </xf>
    <xf numFmtId="0" fontId="19" fillId="0" borderId="2"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Protection="1">
      <protection locked="0"/>
    </xf>
    <xf numFmtId="0" fontId="19" fillId="0" borderId="1" xfId="0" applyFont="1" applyBorder="1" applyAlignment="1">
      <alignment horizontal="center" vertical="center" wrapText="1"/>
    </xf>
    <xf numFmtId="0" fontId="19" fillId="0" borderId="1" xfId="0" applyFont="1" applyBorder="1" applyAlignment="1" applyProtection="1">
      <alignment vertical="center" wrapText="1"/>
      <protection locked="0"/>
    </xf>
    <xf numFmtId="14" fontId="19" fillId="0" borderId="1" xfId="0" applyNumberFormat="1" applyFont="1" applyBorder="1" applyAlignment="1" applyProtection="1">
      <alignment horizontal="center" vertical="center"/>
      <protection locked="0"/>
    </xf>
    <xf numFmtId="14" fontId="7" fillId="0" borderId="1" xfId="0" applyNumberFormat="1" applyFont="1" applyBorder="1" applyAlignment="1">
      <alignment horizontal="center" vertical="center"/>
    </xf>
    <xf numFmtId="0" fontId="7" fillId="0" borderId="3" xfId="0" applyFont="1" applyBorder="1" applyAlignment="1" applyProtection="1">
      <alignment vertical="center"/>
      <protection locked="0"/>
    </xf>
    <xf numFmtId="0" fontId="7" fillId="2" borderId="1" xfId="0" applyFont="1" applyFill="1" applyBorder="1" applyAlignment="1" applyProtection="1">
      <alignment vertical="center"/>
      <protection locked="0"/>
    </xf>
    <xf numFmtId="14" fontId="7" fillId="0" borderId="1" xfId="0" applyNumberFormat="1" applyFont="1" applyBorder="1" applyAlignment="1">
      <alignment horizontal="center" vertical="center" wrapText="1"/>
    </xf>
    <xf numFmtId="0" fontId="7" fillId="0" borderId="1" xfId="0" applyFont="1" applyBorder="1" applyAlignment="1">
      <alignment horizontal="left" wrapText="1"/>
    </xf>
    <xf numFmtId="0" fontId="11" fillId="0" borderId="0" xfId="0" applyFont="1"/>
    <xf numFmtId="14" fontId="7" fillId="0" borderId="2" xfId="0" applyNumberFormat="1" applyFont="1" applyBorder="1" applyAlignment="1" applyProtection="1">
      <alignment horizontal="center" vertical="center"/>
      <protection locked="0"/>
    </xf>
    <xf numFmtId="0" fontId="19" fillId="0" borderId="1" xfId="0" applyFont="1" applyBorder="1" applyAlignment="1" applyProtection="1">
      <alignment horizontal="center" wrapText="1"/>
      <protection locked="0"/>
    </xf>
    <xf numFmtId="0" fontId="19" fillId="0" borderId="1" xfId="0" applyFont="1" applyBorder="1" applyAlignment="1" applyProtection="1">
      <alignment horizontal="left" vertical="center" wrapText="1"/>
      <protection locked="0"/>
    </xf>
    <xf numFmtId="14" fontId="19" fillId="0" borderId="1" xfId="0" applyNumberFormat="1" applyFont="1" applyBorder="1" applyAlignment="1" applyProtection="1">
      <alignment horizontal="center" vertical="center" wrapText="1"/>
      <protection locked="0"/>
    </xf>
    <xf numFmtId="0" fontId="0" fillId="0" borderId="0" xfId="0" applyAlignment="1" applyProtection="1">
      <alignment vertical="center"/>
      <protection locked="0"/>
    </xf>
    <xf numFmtId="0" fontId="32" fillId="0" borderId="0" xfId="0" applyFont="1"/>
    <xf numFmtId="168" fontId="7" fillId="0" borderId="1" xfId="0" applyNumberFormat="1" applyFont="1" applyBorder="1" applyAlignment="1" applyProtection="1">
      <alignment horizontal="left" vertical="center" wrapText="1"/>
      <protection locked="0"/>
    </xf>
    <xf numFmtId="168" fontId="7" fillId="0" borderId="1" xfId="0" applyNumberFormat="1" applyFont="1" applyBorder="1" applyAlignment="1">
      <alignment horizontal="center" vertical="center" wrapText="1"/>
    </xf>
    <xf numFmtId="167" fontId="7" fillId="0" borderId="1" xfId="0" applyNumberFormat="1" applyFont="1" applyBorder="1" applyAlignment="1">
      <alignment horizontal="left" vertical="top"/>
    </xf>
    <xf numFmtId="165" fontId="7" fillId="0" borderId="2" xfId="0" applyNumberFormat="1" applyFont="1" applyBorder="1" applyAlignment="1" applyProtection="1">
      <alignment horizontal="center" vertical="center" wrapText="1"/>
      <protection locked="0"/>
    </xf>
    <xf numFmtId="165" fontId="7" fillId="0" borderId="2" xfId="0" applyNumberFormat="1" applyFont="1" applyBorder="1" applyAlignment="1" applyProtection="1">
      <alignment horizontal="center" wrapText="1"/>
      <protection locked="0"/>
    </xf>
    <xf numFmtId="166" fontId="7" fillId="0" borderId="2" xfId="0" applyNumberFormat="1" applyFont="1" applyBorder="1" applyAlignment="1" applyProtection="1">
      <alignment horizontal="center" vertical="center" wrapText="1"/>
      <protection locked="0"/>
    </xf>
    <xf numFmtId="168" fontId="7" fillId="0" borderId="2" xfId="0" applyNumberFormat="1" applyFont="1" applyBorder="1" applyAlignment="1" applyProtection="1">
      <alignment horizontal="center" vertical="center" wrapText="1"/>
      <protection locked="0"/>
    </xf>
    <xf numFmtId="0" fontId="7" fillId="0" borderId="2" xfId="0" applyFont="1" applyBorder="1" applyAlignment="1">
      <alignment horizontal="center" vertical="center"/>
    </xf>
    <xf numFmtId="166" fontId="7" fillId="2" borderId="2" xfId="0" applyNumberFormat="1" applyFont="1" applyFill="1" applyBorder="1" applyAlignment="1" applyProtection="1">
      <alignment horizontal="center" vertical="center" wrapText="1"/>
      <protection locked="0"/>
    </xf>
    <xf numFmtId="0" fontId="7" fillId="6" borderId="2" xfId="0" applyFont="1" applyFill="1" applyBorder="1" applyAlignment="1" applyProtection="1">
      <alignment horizontal="center" vertical="center" wrapText="1"/>
      <protection locked="0"/>
    </xf>
    <xf numFmtId="165" fontId="7" fillId="6" borderId="2" xfId="0" applyNumberFormat="1" applyFont="1" applyFill="1" applyBorder="1" applyAlignment="1" applyProtection="1">
      <alignment horizontal="center" vertical="center" wrapText="1"/>
      <protection locked="0"/>
    </xf>
    <xf numFmtId="165" fontId="7" fillId="0" borderId="2" xfId="0" applyNumberFormat="1" applyFont="1" applyBorder="1" applyAlignment="1">
      <alignment horizontal="center" vertical="center" wrapText="1"/>
    </xf>
    <xf numFmtId="168" fontId="7" fillId="6" borderId="2" xfId="0" applyNumberFormat="1" applyFont="1" applyFill="1" applyBorder="1" applyAlignment="1" applyProtection="1">
      <alignment horizontal="center" vertical="center" wrapText="1"/>
      <protection locked="0"/>
    </xf>
    <xf numFmtId="165" fontId="7" fillId="6" borderId="2" xfId="0" applyNumberFormat="1" applyFont="1" applyFill="1" applyBorder="1" applyAlignment="1">
      <alignment horizontal="center" vertical="center" wrapText="1"/>
    </xf>
    <xf numFmtId="165" fontId="7" fillId="0" borderId="2" xfId="0" applyNumberFormat="1" applyFont="1" applyBorder="1" applyAlignment="1" applyProtection="1">
      <alignment horizontal="left" vertical="center" wrapText="1"/>
      <protection locked="0"/>
    </xf>
    <xf numFmtId="0" fontId="10" fillId="0" borderId="1" xfId="0" applyFont="1" applyBorder="1" applyAlignment="1" applyProtection="1">
      <alignment vertical="center"/>
      <protection locked="0"/>
    </xf>
    <xf numFmtId="0" fontId="0" fillId="0" borderId="1" xfId="0" applyBorder="1" applyProtection="1">
      <protection locked="0"/>
    </xf>
    <xf numFmtId="0" fontId="7" fillId="0" borderId="1" xfId="0" applyFont="1" applyBorder="1"/>
    <xf numFmtId="0" fontId="7" fillId="0" borderId="3" xfId="0" applyFont="1" applyBorder="1" applyAlignment="1" applyProtection="1">
      <alignment vertical="center" wrapText="1"/>
      <protection locked="0"/>
    </xf>
    <xf numFmtId="14" fontId="7" fillId="0" borderId="1" xfId="0" applyNumberFormat="1" applyFont="1" applyBorder="1" applyAlignment="1" applyProtection="1">
      <alignment horizontal="left" vertical="center" wrapText="1"/>
      <protection locked="0"/>
    </xf>
    <xf numFmtId="0" fontId="0" fillId="0" borderId="3" xfId="0" applyBorder="1" applyProtection="1">
      <protection locked="0"/>
    </xf>
    <xf numFmtId="0" fontId="7" fillId="7" borderId="1" xfId="0" applyFont="1" applyFill="1" applyBorder="1" applyAlignment="1" applyProtection="1">
      <alignment horizontal="left" vertical="center" wrapText="1"/>
      <protection locked="0"/>
    </xf>
    <xf numFmtId="0" fontId="35" fillId="0" borderId="1" xfId="0" applyFont="1" applyBorder="1" applyAlignment="1">
      <alignment horizontal="left" vertical="center" wrapText="1" indent="1"/>
    </xf>
    <xf numFmtId="0" fontId="0" fillId="2" borderId="0" xfId="0" applyFill="1"/>
    <xf numFmtId="14" fontId="7" fillId="0" borderId="1" xfId="0" applyNumberFormat="1" applyFont="1" applyBorder="1" applyAlignment="1" applyProtection="1">
      <alignment horizontal="center" vertical="center"/>
      <protection locked="0"/>
    </xf>
    <xf numFmtId="14" fontId="7" fillId="2" borderId="1" xfId="0" applyNumberFormat="1" applyFont="1" applyFill="1" applyBorder="1" applyAlignment="1" applyProtection="1">
      <alignment horizontal="center" vertical="center" wrapText="1"/>
      <protection locked="0"/>
    </xf>
    <xf numFmtId="3" fontId="7" fillId="0" borderId="1" xfId="0" applyNumberFormat="1" applyFont="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0" fillId="0" borderId="2" xfId="0" applyBorder="1"/>
    <xf numFmtId="0" fontId="7" fillId="0" borderId="7" xfId="0" applyFont="1" applyBorder="1" applyAlignment="1" applyProtection="1">
      <alignment horizontal="left" vertical="center" wrapText="1"/>
      <protection locked="0"/>
    </xf>
    <xf numFmtId="0" fontId="7" fillId="4" borderId="1" xfId="0" applyFont="1" applyFill="1" applyBorder="1" applyAlignment="1" applyProtection="1">
      <alignment vertical="center"/>
      <protection locked="0"/>
    </xf>
    <xf numFmtId="0" fontId="7" fillId="4" borderId="3"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4" borderId="1" xfId="0" applyFont="1" applyFill="1" applyBorder="1" applyAlignment="1" applyProtection="1">
      <alignment vertical="center" wrapText="1"/>
      <protection locked="0"/>
    </xf>
    <xf numFmtId="14" fontId="7" fillId="4" borderId="1" xfId="0" applyNumberFormat="1" applyFont="1" applyFill="1" applyBorder="1" applyAlignment="1" applyProtection="1">
      <alignment horizontal="center" vertical="center" wrapText="1"/>
      <protection locked="0"/>
    </xf>
    <xf numFmtId="14" fontId="7" fillId="4" borderId="1" xfId="0" applyNumberFormat="1"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0" fillId="4" borderId="0" xfId="0" applyFill="1"/>
    <xf numFmtId="49" fontId="7" fillId="4" borderId="2" xfId="0" applyNumberFormat="1" applyFont="1" applyFill="1" applyBorder="1" applyAlignment="1" applyProtection="1">
      <alignment horizontal="center" vertical="center" wrapText="1"/>
      <protection locked="0"/>
    </xf>
    <xf numFmtId="168" fontId="7" fillId="0" borderId="0" xfId="6" applyNumberFormat="1" applyFont="1" applyFill="1" applyBorder="1" applyAlignment="1" applyProtection="1">
      <alignment horizontal="center" vertical="center" wrapText="1"/>
      <protection locked="0"/>
    </xf>
    <xf numFmtId="4" fontId="0" fillId="0" borderId="1" xfId="0" applyNumberFormat="1" applyBorder="1" applyAlignment="1">
      <alignment horizontal="center" vertical="center"/>
    </xf>
    <xf numFmtId="14" fontId="7" fillId="0" borderId="1" xfId="0" applyNumberFormat="1" applyFont="1" applyBorder="1" applyAlignment="1" applyProtection="1">
      <alignment horizontal="center" vertical="center" wrapText="1"/>
      <protection locked="0"/>
    </xf>
    <xf numFmtId="0" fontId="7" fillId="0" borderId="1" xfId="0" applyFont="1" applyBorder="1" applyAlignment="1">
      <alignment vertical="center"/>
    </xf>
    <xf numFmtId="168" fontId="7" fillId="0" borderId="7" xfId="6" applyNumberFormat="1" applyFont="1" applyFill="1" applyBorder="1" applyAlignment="1" applyProtection="1">
      <alignment horizontal="center" vertical="center" wrapText="1"/>
      <protection locked="0"/>
    </xf>
    <xf numFmtId="0" fontId="7" fillId="0" borderId="7" xfId="0"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wrapText="1"/>
      <protection locked="0"/>
    </xf>
    <xf numFmtId="0" fontId="7" fillId="0" borderId="7" xfId="0" applyFont="1" applyBorder="1" applyAlignment="1" applyProtection="1">
      <alignment vertical="center"/>
      <protection locked="0"/>
    </xf>
    <xf numFmtId="14" fontId="7" fillId="0" borderId="7" xfId="0" applyNumberFormat="1" applyFont="1" applyBorder="1" applyAlignment="1" applyProtection="1">
      <alignment horizontal="center" vertical="center" wrapText="1"/>
      <protection locked="0"/>
    </xf>
    <xf numFmtId="0" fontId="7" fillId="9" borderId="1" xfId="0" applyFont="1" applyFill="1" applyBorder="1" applyAlignment="1" applyProtection="1">
      <alignment vertical="center"/>
      <protection locked="0"/>
    </xf>
    <xf numFmtId="14" fontId="7" fillId="0" borderId="3" xfId="0" applyNumberFormat="1" applyFont="1" applyBorder="1" applyAlignment="1" applyProtection="1">
      <alignment horizontal="center" vertical="center" wrapText="1"/>
      <protection locked="0"/>
    </xf>
    <xf numFmtId="0" fontId="7" fillId="0" borderId="3" xfId="0" applyFont="1" applyBorder="1" applyAlignment="1">
      <alignment horizontal="center" vertical="center" wrapText="1"/>
    </xf>
    <xf numFmtId="168" fontId="7" fillId="0" borderId="3" xfId="6" applyNumberFormat="1" applyFont="1" applyFill="1" applyBorder="1" applyAlignment="1" applyProtection="1">
      <alignment horizontal="center" vertical="center" wrapText="1"/>
      <protection locked="0"/>
    </xf>
    <xf numFmtId="14" fontId="7" fillId="6" borderId="1" xfId="0" applyNumberFormat="1" applyFont="1" applyFill="1" applyBorder="1" applyAlignment="1" applyProtection="1">
      <alignment horizontal="center" vertical="center"/>
      <protection locked="0"/>
    </xf>
    <xf numFmtId="168" fontId="7" fillId="0" borderId="0" xfId="0" applyNumberFormat="1" applyFont="1" applyAlignment="1" applyProtection="1">
      <alignment horizontal="center" vertical="center" wrapText="1"/>
      <protection locked="0"/>
    </xf>
    <xf numFmtId="167" fontId="8" fillId="5" borderId="1" xfId="0" applyNumberFormat="1" applyFont="1" applyFill="1" applyBorder="1" applyAlignment="1" applyProtection="1">
      <alignment horizontal="left" vertical="center" wrapText="1"/>
      <protection locked="0"/>
    </xf>
    <xf numFmtId="167" fontId="8" fillId="5" borderId="3" xfId="0" applyNumberFormat="1" applyFont="1" applyFill="1" applyBorder="1" applyAlignment="1" applyProtection="1">
      <alignment horizontal="center" vertical="center" wrapText="1"/>
      <protection locked="0"/>
    </xf>
    <xf numFmtId="6" fontId="7" fillId="0" borderId="1" xfId="6" applyNumberFormat="1" applyFont="1" applyFill="1" applyBorder="1" applyAlignment="1" applyProtection="1">
      <alignment horizontal="center" vertical="center"/>
      <protection locked="0"/>
    </xf>
    <xf numFmtId="167" fontId="7" fillId="2" borderId="1" xfId="0" applyNumberFormat="1" applyFont="1" applyFill="1" applyBorder="1" applyAlignment="1" applyProtection="1">
      <alignment horizontal="center" vertical="center" wrapText="1"/>
      <protection locked="0"/>
    </xf>
    <xf numFmtId="165" fontId="7" fillId="2" borderId="1" xfId="0" applyNumberFormat="1" applyFont="1" applyFill="1" applyBorder="1" applyAlignment="1" applyProtection="1">
      <alignment horizontal="center" vertical="center" wrapText="1"/>
      <protection locked="0"/>
    </xf>
    <xf numFmtId="166" fontId="7" fillId="2" borderId="1" xfId="0" applyNumberFormat="1" applyFont="1" applyFill="1" applyBorder="1" applyAlignment="1" applyProtection="1">
      <alignment horizontal="center" vertical="center" wrapText="1"/>
      <protection locked="0"/>
    </xf>
    <xf numFmtId="0" fontId="7" fillId="0" borderId="1" xfId="0" applyFont="1" applyBorder="1" applyProtection="1">
      <protection locked="0"/>
    </xf>
    <xf numFmtId="165" fontId="7" fillId="0" borderId="1" xfId="0" applyNumberFormat="1" applyFont="1" applyBorder="1" applyAlignment="1" applyProtection="1">
      <alignment horizontal="center" vertical="center"/>
      <protection locked="0"/>
    </xf>
    <xf numFmtId="14" fontId="7" fillId="0" borderId="1" xfId="0" applyNumberFormat="1" applyFont="1" applyBorder="1" applyAlignment="1" applyProtection="1">
      <alignment horizontal="center" wrapText="1"/>
      <protection locked="0"/>
    </xf>
    <xf numFmtId="14" fontId="7" fillId="0" borderId="7" xfId="0" applyNumberFormat="1" applyFont="1" applyBorder="1" applyAlignment="1" applyProtection="1">
      <alignment horizontal="center" vertical="center"/>
      <protection locked="0"/>
    </xf>
    <xf numFmtId="0" fontId="38" fillId="0" borderId="1" xfId="0" applyFont="1" applyBorder="1" applyAlignment="1">
      <alignment vertical="center"/>
    </xf>
    <xf numFmtId="168" fontId="7" fillId="0" borderId="2" xfId="6" applyNumberFormat="1" applyFont="1" applyFill="1" applyBorder="1" applyAlignment="1" applyProtection="1">
      <alignment horizontal="center" vertical="center" wrapText="1"/>
      <protection locked="0"/>
    </xf>
    <xf numFmtId="168" fontId="7" fillId="0" borderId="2" xfId="0" applyNumberFormat="1" applyFont="1" applyBorder="1" applyAlignment="1" applyProtection="1">
      <alignment horizontal="center" vertical="center"/>
      <protection locked="0"/>
    </xf>
    <xf numFmtId="168" fontId="7" fillId="0" borderId="2" xfId="0" quotePrefix="1" applyNumberFormat="1" applyFont="1" applyBorder="1" applyAlignment="1" applyProtection="1">
      <alignment horizontal="center" vertical="center" wrapText="1"/>
      <protection locked="0"/>
    </xf>
    <xf numFmtId="168" fontId="8" fillId="5" borderId="2" xfId="0" applyNumberFormat="1" applyFont="1" applyFill="1" applyBorder="1" applyAlignment="1" applyProtection="1">
      <alignment horizontal="center" vertical="center" wrapText="1"/>
      <protection locked="0"/>
    </xf>
    <xf numFmtId="167" fontId="7" fillId="0" borderId="2" xfId="0" applyNumberFormat="1" applyFont="1" applyBorder="1" applyAlignment="1" applyProtection="1">
      <alignment horizontal="center" vertical="center" wrapText="1"/>
      <protection locked="0"/>
    </xf>
    <xf numFmtId="167" fontId="7" fillId="0" borderId="2" xfId="0" applyNumberFormat="1" applyFont="1" applyBorder="1" applyAlignment="1" applyProtection="1">
      <alignment horizontal="center" vertical="center"/>
      <protection locked="0"/>
    </xf>
    <xf numFmtId="167" fontId="7" fillId="0" borderId="2" xfId="6" applyNumberFormat="1" applyFont="1" applyFill="1" applyBorder="1" applyAlignment="1" applyProtection="1">
      <alignment horizontal="center" vertical="center" wrapText="1"/>
      <protection locked="0"/>
    </xf>
    <xf numFmtId="168" fontId="7" fillId="2" borderId="2" xfId="0" applyNumberFormat="1" applyFont="1" applyFill="1" applyBorder="1" applyAlignment="1" applyProtection="1">
      <alignment horizontal="center" vertical="center"/>
      <protection locked="0"/>
    </xf>
    <xf numFmtId="168" fontId="7" fillId="2" borderId="2" xfId="0" applyNumberFormat="1" applyFont="1" applyFill="1" applyBorder="1" applyAlignment="1" applyProtection="1">
      <alignment horizontal="center" vertical="center" wrapText="1"/>
      <protection locked="0"/>
    </xf>
    <xf numFmtId="168" fontId="19" fillId="0" borderId="2" xfId="0" applyNumberFormat="1" applyFont="1" applyBorder="1" applyAlignment="1">
      <alignment horizontal="center" vertical="center"/>
    </xf>
    <xf numFmtId="167" fontId="7" fillId="0" borderId="2" xfId="0" applyNumberFormat="1" applyFont="1" applyBorder="1" applyAlignment="1">
      <alignment horizontal="left" vertical="top"/>
    </xf>
    <xf numFmtId="168" fontId="18" fillId="0" borderId="2" xfId="0" applyNumberFormat="1" applyFont="1" applyBorder="1" applyAlignment="1" applyProtection="1">
      <alignment horizontal="center" vertical="center"/>
      <protection locked="0"/>
    </xf>
    <xf numFmtId="168" fontId="19" fillId="0" borderId="2" xfId="0" applyNumberFormat="1" applyFont="1" applyBorder="1" applyAlignment="1" applyProtection="1">
      <alignment horizontal="center" vertical="center"/>
      <protection locked="0"/>
    </xf>
    <xf numFmtId="164" fontId="7" fillId="0" borderId="2" xfId="0" applyNumberFormat="1" applyFont="1" applyBorder="1" applyAlignment="1" applyProtection="1">
      <alignment horizontal="right" vertical="center" wrapText="1"/>
      <protection locked="0"/>
    </xf>
    <xf numFmtId="168" fontId="7" fillId="0" borderId="2" xfId="0" applyNumberFormat="1" applyFont="1" applyBorder="1" applyAlignment="1" applyProtection="1">
      <alignment horizontal="left" vertical="center" wrapText="1"/>
      <protection locked="0"/>
    </xf>
    <xf numFmtId="168" fontId="7" fillId="0" borderId="2" xfId="0" applyNumberFormat="1" applyFont="1" applyBorder="1" applyAlignment="1">
      <alignment horizontal="center" vertical="center" wrapText="1"/>
    </xf>
    <xf numFmtId="168" fontId="16" fillId="0" borderId="2" xfId="0" applyNumberFormat="1" applyFont="1" applyBorder="1" applyAlignment="1" applyProtection="1">
      <alignment horizontal="center" vertical="center" wrapText="1"/>
      <protection locked="0"/>
    </xf>
    <xf numFmtId="168" fontId="7" fillId="4" borderId="2" xfId="0" applyNumberFormat="1" applyFont="1" applyFill="1" applyBorder="1" applyAlignment="1" applyProtection="1">
      <alignment horizontal="center" vertical="center"/>
      <protection locked="0"/>
    </xf>
    <xf numFmtId="0" fontId="36" fillId="0" borderId="2" xfId="0" applyFont="1" applyBorder="1" applyAlignment="1">
      <alignment horizontal="center" vertical="center"/>
    </xf>
    <xf numFmtId="0" fontId="39" fillId="0" borderId="0" xfId="0" applyFont="1"/>
    <xf numFmtId="167" fontId="7" fillId="0" borderId="1" xfId="0" applyNumberFormat="1" applyFont="1" applyBorder="1" applyAlignment="1" applyProtection="1">
      <alignment horizontal="center" wrapText="1"/>
      <protection locked="0"/>
    </xf>
    <xf numFmtId="166" fontId="7" fillId="0" borderId="1" xfId="0" applyNumberFormat="1" applyFont="1" applyBorder="1" applyAlignment="1" applyProtection="1">
      <alignment horizontal="center" wrapText="1"/>
      <protection locked="0"/>
    </xf>
    <xf numFmtId="167" fontId="0" fillId="0" borderId="1" xfId="0" applyNumberFormat="1" applyBorder="1"/>
    <xf numFmtId="167" fontId="7" fillId="2" borderId="2" xfId="0" applyNumberFormat="1" applyFont="1" applyFill="1" applyBorder="1" applyAlignment="1" applyProtection="1">
      <alignment horizontal="center" vertical="center" wrapText="1"/>
      <protection locked="0"/>
    </xf>
    <xf numFmtId="167" fontId="7" fillId="2" borderId="2" xfId="0" applyNumberFormat="1" applyFont="1" applyFill="1" applyBorder="1" applyAlignment="1" applyProtection="1">
      <alignment horizontal="center" vertical="center"/>
      <protection locked="0"/>
    </xf>
    <xf numFmtId="14" fontId="7" fillId="0" borderId="1" xfId="0" applyNumberFormat="1" applyFont="1" applyBorder="1" applyAlignment="1" applyProtection="1">
      <alignment vertical="center"/>
      <protection locked="0"/>
    </xf>
    <xf numFmtId="168" fontId="7" fillId="0" borderId="1" xfId="6" applyNumberFormat="1" applyFont="1" applyFill="1" applyBorder="1" applyAlignment="1" applyProtection="1">
      <alignment vertical="center" wrapText="1"/>
      <protection locked="0"/>
    </xf>
    <xf numFmtId="0" fontId="7" fillId="0" borderId="2" xfId="0" applyFont="1" applyBorder="1" applyAlignment="1" applyProtection="1">
      <alignment vertical="center" wrapText="1"/>
      <protection locked="0"/>
    </xf>
    <xf numFmtId="165" fontId="7" fillId="0" borderId="1" xfId="0" applyNumberFormat="1" applyFont="1" applyBorder="1" applyAlignment="1" applyProtection="1">
      <alignment vertical="center" wrapText="1"/>
      <protection locked="0"/>
    </xf>
    <xf numFmtId="168" fontId="7" fillId="0" borderId="2" xfId="0" applyNumberFormat="1" applyFont="1" applyBorder="1" applyAlignment="1" applyProtection="1">
      <alignment vertical="center"/>
      <protection locked="0"/>
    </xf>
    <xf numFmtId="167" fontId="7" fillId="0" borderId="2" xfId="0" applyNumberFormat="1" applyFont="1" applyBorder="1" applyAlignment="1">
      <alignment horizontal="center"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4" borderId="1" xfId="0" applyFont="1" applyFill="1" applyBorder="1" applyAlignment="1">
      <alignment horizontal="center" vertical="center"/>
    </xf>
    <xf numFmtId="8" fontId="7" fillId="4" borderId="1" xfId="0" applyNumberFormat="1" applyFont="1" applyFill="1" applyBorder="1" applyAlignment="1" applyProtection="1">
      <alignment horizontal="center" vertical="center" wrapText="1"/>
      <protection locked="0"/>
    </xf>
    <xf numFmtId="168" fontId="7" fillId="4" borderId="2" xfId="0" applyNumberFormat="1" applyFont="1" applyFill="1" applyBorder="1" applyAlignment="1" applyProtection="1">
      <alignment horizontal="center" vertical="center" wrapText="1"/>
      <protection locked="0"/>
    </xf>
    <xf numFmtId="0" fontId="11" fillId="0" borderId="1" xfId="0" applyFont="1" applyBorder="1" applyAlignment="1">
      <alignment horizontal="left" vertical="center" wrapText="1"/>
    </xf>
    <xf numFmtId="0" fontId="11" fillId="0" borderId="3" xfId="0"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168" fontId="11" fillId="0" borderId="1" xfId="0" applyNumberFormat="1" applyFont="1" applyBorder="1" applyAlignment="1">
      <alignment horizontal="center" vertical="center" wrapText="1"/>
    </xf>
    <xf numFmtId="6" fontId="11" fillId="0" borderId="2" xfId="0" applyNumberFormat="1" applyFont="1" applyBorder="1" applyAlignment="1">
      <alignment horizontal="center" vertical="center" wrapText="1"/>
    </xf>
    <xf numFmtId="0" fontId="7" fillId="6" borderId="1"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protection locked="0"/>
    </xf>
    <xf numFmtId="0" fontId="7" fillId="7" borderId="1" xfId="0" applyFont="1" applyFill="1" applyBorder="1" applyAlignment="1" applyProtection="1">
      <alignment vertical="center" wrapText="1"/>
      <protection locked="0"/>
    </xf>
    <xf numFmtId="49" fontId="7" fillId="2" borderId="1" xfId="0" applyNumberFormat="1" applyFont="1" applyFill="1" applyBorder="1" applyAlignment="1" applyProtection="1">
      <alignment horizontal="center" vertical="center" wrapText="1"/>
      <protection locked="0"/>
    </xf>
    <xf numFmtId="0" fontId="7" fillId="0" borderId="8" xfId="0" applyFont="1" applyBorder="1" applyAlignment="1" applyProtection="1">
      <alignment horizontal="left" vertical="center" wrapText="1"/>
      <protection locked="0"/>
    </xf>
    <xf numFmtId="0" fontId="7" fillId="0" borderId="13" xfId="0" applyFont="1" applyBorder="1" applyAlignment="1" applyProtection="1">
      <alignment vertical="center"/>
      <protection locked="0"/>
    </xf>
    <xf numFmtId="0" fontId="7" fillId="7" borderId="1" xfId="0" applyFont="1" applyFill="1" applyBorder="1" applyAlignment="1" applyProtection="1">
      <alignment horizontal="center" vertical="center" wrapText="1"/>
      <protection locked="0"/>
    </xf>
    <xf numFmtId="0" fontId="7" fillId="0" borderId="13" xfId="0" applyFont="1" applyBorder="1" applyAlignment="1" applyProtection="1">
      <alignment vertical="center" wrapText="1"/>
      <protection locked="0"/>
    </xf>
    <xf numFmtId="0" fontId="7" fillId="0" borderId="9"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11" fillId="0" borderId="0" xfId="0" applyFont="1" applyAlignment="1">
      <alignment vertical="center"/>
    </xf>
    <xf numFmtId="14" fontId="7" fillId="0" borderId="8" xfId="0" applyNumberFormat="1" applyFont="1" applyBorder="1" applyAlignment="1" applyProtection="1">
      <alignment horizontal="center" vertical="center" wrapText="1"/>
      <protection locked="0"/>
    </xf>
    <xf numFmtId="0" fontId="7" fillId="0" borderId="8" xfId="0" applyFont="1" applyBorder="1" applyAlignment="1" applyProtection="1">
      <alignment vertical="center"/>
      <protection locked="0"/>
    </xf>
    <xf numFmtId="0" fontId="7" fillId="2" borderId="9" xfId="0" applyFont="1" applyFill="1" applyBorder="1" applyAlignment="1" applyProtection="1">
      <alignment horizontal="center" vertical="center" wrapText="1"/>
      <protection locked="0"/>
    </xf>
    <xf numFmtId="0" fontId="7" fillId="0" borderId="8" xfId="0" applyFont="1" applyBorder="1" applyAlignment="1" applyProtection="1">
      <alignment vertical="center" wrapText="1"/>
      <protection locked="0"/>
    </xf>
    <xf numFmtId="168" fontId="7" fillId="0" borderId="8" xfId="6" applyNumberFormat="1" applyFont="1" applyFill="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14" fontId="7" fillId="0" borderId="13" xfId="0" applyNumberFormat="1" applyFont="1" applyBorder="1" applyAlignment="1" applyProtection="1">
      <alignment horizontal="center" vertical="center" wrapText="1"/>
      <protection locked="0"/>
    </xf>
    <xf numFmtId="0" fontId="7" fillId="0" borderId="13" xfId="0" applyFont="1" applyBorder="1" applyAlignment="1" applyProtection="1">
      <alignment horizontal="center" vertical="center"/>
      <protection locked="0"/>
    </xf>
    <xf numFmtId="168" fontId="7" fillId="0" borderId="13" xfId="6" applyNumberFormat="1" applyFont="1" applyFill="1" applyBorder="1" applyAlignment="1" applyProtection="1">
      <alignment horizontal="center" vertical="center" wrapText="1"/>
      <protection locked="0"/>
    </xf>
    <xf numFmtId="0" fontId="7" fillId="0" borderId="13" xfId="0" applyFont="1" applyBorder="1" applyAlignment="1" applyProtection="1">
      <alignment horizontal="left" vertical="center" wrapText="1"/>
      <protection locked="0"/>
    </xf>
    <xf numFmtId="14" fontId="7" fillId="0" borderId="8" xfId="0" applyNumberFormat="1"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5" xfId="0" applyFont="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0" fontId="7" fillId="0" borderId="14" xfId="0" applyFont="1" applyBorder="1" applyAlignment="1" applyProtection="1">
      <alignment vertical="center"/>
      <protection locked="0"/>
    </xf>
    <xf numFmtId="49" fontId="7" fillId="0" borderId="13" xfId="0" applyNumberFormat="1" applyFont="1" applyBorder="1" applyAlignment="1" applyProtection="1">
      <alignment horizontal="center" vertical="center" wrapText="1"/>
      <protection locked="0"/>
    </xf>
    <xf numFmtId="14" fontId="7" fillId="0" borderId="13" xfId="0" applyNumberFormat="1" applyFont="1" applyBorder="1" applyAlignment="1" applyProtection="1">
      <alignment horizontal="center" vertical="center"/>
      <protection locked="0"/>
    </xf>
    <xf numFmtId="0" fontId="5" fillId="0" borderId="0" xfId="0" applyFont="1" applyAlignment="1">
      <alignment vertical="center"/>
    </xf>
    <xf numFmtId="0" fontId="5" fillId="0" borderId="0" xfId="0" applyFont="1"/>
    <xf numFmtId="0" fontId="5" fillId="0" borderId="0" xfId="0" applyFont="1" applyProtection="1">
      <protection locked="0"/>
    </xf>
    <xf numFmtId="0" fontId="5" fillId="0" borderId="0" xfId="0" applyFont="1" applyAlignment="1">
      <alignment horizontal="center" vertical="center"/>
    </xf>
    <xf numFmtId="0" fontId="5" fillId="2" borderId="0" xfId="0" applyFont="1" applyFill="1"/>
    <xf numFmtId="0" fontId="7" fillId="0" borderId="14" xfId="0" applyFont="1" applyBorder="1" applyAlignment="1" applyProtection="1">
      <alignment horizontal="center" vertical="center" wrapText="1"/>
      <protection locked="0"/>
    </xf>
    <xf numFmtId="0" fontId="7" fillId="0" borderId="14" xfId="0" applyFont="1" applyBorder="1" applyAlignment="1" applyProtection="1">
      <alignment horizontal="left" vertical="center" wrapText="1"/>
      <protection locked="0"/>
    </xf>
    <xf numFmtId="168" fontId="7" fillId="0" borderId="8" xfId="0" applyNumberFormat="1" applyFont="1" applyBorder="1" applyAlignment="1" applyProtection="1">
      <alignment horizontal="center" vertical="center" wrapText="1"/>
      <protection locked="0"/>
    </xf>
    <xf numFmtId="0" fontId="5" fillId="4" borderId="0" xfId="0" applyFont="1" applyFill="1"/>
    <xf numFmtId="0" fontId="42" fillId="0" borderId="1" xfId="0" applyFont="1" applyBorder="1" applyAlignment="1">
      <alignment vertical="center" wrapText="1"/>
    </xf>
    <xf numFmtId="0" fontId="39" fillId="0" borderId="0" xfId="0" applyFont="1" applyAlignment="1" applyProtection="1">
      <alignment vertical="center"/>
      <protection locked="0"/>
    </xf>
    <xf numFmtId="0" fontId="7" fillId="0" borderId="8" xfId="1" applyFont="1" applyBorder="1" applyAlignment="1" applyProtection="1">
      <alignment horizontal="left" vertical="center" wrapText="1"/>
      <protection locked="0"/>
    </xf>
    <xf numFmtId="0" fontId="7" fillId="11" borderId="1" xfId="0" applyFont="1" applyFill="1" applyBorder="1" applyAlignment="1" applyProtection="1">
      <alignment horizontal="center" vertical="center" wrapText="1"/>
      <protection locked="0"/>
    </xf>
    <xf numFmtId="49" fontId="7" fillId="2" borderId="8" xfId="0" applyNumberFormat="1" applyFont="1" applyFill="1" applyBorder="1" applyAlignment="1" applyProtection="1">
      <alignment horizontal="left" vertical="center" wrapText="1"/>
      <protection locked="0"/>
    </xf>
    <xf numFmtId="168" fontId="7" fillId="0" borderId="13" xfId="0" applyNumberFormat="1" applyFont="1" applyBorder="1" applyAlignment="1" applyProtection="1">
      <alignment horizontal="center" vertical="center" wrapText="1"/>
      <protection locked="0"/>
    </xf>
    <xf numFmtId="14" fontId="17" fillId="2" borderId="1" xfId="0" applyNumberFormat="1" applyFont="1" applyFill="1" applyBorder="1" applyAlignment="1" applyProtection="1">
      <alignment horizontal="center" vertical="center"/>
      <protection locked="0"/>
    </xf>
    <xf numFmtId="168" fontId="7" fillId="2" borderId="13" xfId="0" applyNumberFormat="1" applyFont="1" applyFill="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43" fillId="0" borderId="0" xfId="0" applyFont="1"/>
    <xf numFmtId="0" fontId="44" fillId="0" borderId="0" xfId="0" applyFont="1"/>
    <xf numFmtId="165" fontId="7" fillId="4" borderId="1" xfId="0" applyNumberFormat="1" applyFont="1" applyFill="1" applyBorder="1" applyAlignment="1" applyProtection="1">
      <alignment horizontal="center" vertical="center" wrapText="1"/>
      <protection locked="0"/>
    </xf>
    <xf numFmtId="49" fontId="7" fillId="4" borderId="1" xfId="0" applyNumberFormat="1" applyFont="1" applyFill="1" applyBorder="1" applyAlignment="1" applyProtection="1">
      <alignment horizontal="center" vertical="center" wrapText="1"/>
      <protection locked="0"/>
    </xf>
    <xf numFmtId="168" fontId="7" fillId="4" borderId="1" xfId="6" applyNumberFormat="1" applyFont="1" applyFill="1" applyBorder="1" applyAlignment="1" applyProtection="1">
      <alignment horizontal="center" vertical="center" wrapText="1"/>
      <protection locked="0"/>
    </xf>
    <xf numFmtId="166" fontId="7" fillId="4" borderId="1" xfId="0" applyNumberFormat="1" applyFont="1" applyFill="1" applyBorder="1" applyAlignment="1" applyProtection="1">
      <alignment horizontal="center" vertical="center" wrapText="1"/>
      <protection locked="0"/>
    </xf>
    <xf numFmtId="49" fontId="7" fillId="0" borderId="10" xfId="0" applyNumberFormat="1" applyFont="1" applyBorder="1" applyAlignment="1" applyProtection="1">
      <alignment horizontal="center" vertical="center" wrapText="1"/>
      <protection locked="0"/>
    </xf>
    <xf numFmtId="14" fontId="7" fillId="0" borderId="9" xfId="0" applyNumberFormat="1" applyFont="1" applyBorder="1" applyAlignment="1" applyProtection="1">
      <alignment horizontal="center" vertical="center" wrapText="1"/>
      <protection locked="0"/>
    </xf>
    <xf numFmtId="168" fontId="7" fillId="2" borderId="8" xfId="0" applyNumberFormat="1"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protection locked="0"/>
    </xf>
    <xf numFmtId="165" fontId="7" fillId="12" borderId="1" xfId="0" applyNumberFormat="1" applyFont="1" applyFill="1" applyBorder="1" applyAlignment="1">
      <alignment horizontal="center" vertical="center" wrapText="1"/>
    </xf>
    <xf numFmtId="166" fontId="7" fillId="12" borderId="1" xfId="0" applyNumberFormat="1" applyFont="1" applyFill="1" applyBorder="1" applyAlignment="1" applyProtection="1">
      <alignment horizontal="center" vertical="center" wrapText="1"/>
      <protection locked="0"/>
    </xf>
    <xf numFmtId="16" fontId="7" fillId="0" borderId="1" xfId="0" applyNumberFormat="1" applyFont="1" applyBorder="1" applyAlignment="1" applyProtection="1">
      <alignment horizontal="center" vertical="center"/>
      <protection locked="0"/>
    </xf>
    <xf numFmtId="168" fontId="7" fillId="0" borderId="9" xfId="6" applyNumberFormat="1" applyFont="1" applyFill="1" applyBorder="1" applyAlignment="1" applyProtection="1">
      <alignment horizontal="center" vertical="center" wrapText="1"/>
      <protection locked="0"/>
    </xf>
    <xf numFmtId="165" fontId="7" fillId="0" borderId="7" xfId="0" applyNumberFormat="1" applyFont="1" applyBorder="1" applyAlignment="1" applyProtection="1">
      <alignment horizontal="center" vertical="center" wrapText="1"/>
      <protection locked="0"/>
    </xf>
    <xf numFmtId="14" fontId="7" fillId="11" borderId="1" xfId="0" applyNumberFormat="1" applyFont="1" applyFill="1" applyBorder="1" applyAlignment="1" applyProtection="1">
      <alignment horizontal="center" vertical="center"/>
      <protection locked="0"/>
    </xf>
    <xf numFmtId="0" fontId="0" fillId="0" borderId="13" xfId="0" applyBorder="1"/>
    <xf numFmtId="0" fontId="0" fillId="0" borderId="13" xfId="0" applyBorder="1" applyAlignment="1">
      <alignment vertical="center"/>
    </xf>
    <xf numFmtId="0" fontId="0" fillId="0" borderId="14" xfId="0" applyBorder="1"/>
    <xf numFmtId="49" fontId="7" fillId="0" borderId="12" xfId="0" applyNumberFormat="1"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protection locked="0"/>
    </xf>
    <xf numFmtId="0" fontId="7" fillId="4" borderId="2" xfId="0" applyFont="1" applyFill="1" applyBorder="1" applyAlignment="1" applyProtection="1">
      <alignment horizontal="center" vertical="center" wrapText="1"/>
      <protection locked="0"/>
    </xf>
    <xf numFmtId="0" fontId="0" fillId="0" borderId="3" xfId="0" applyBorder="1"/>
    <xf numFmtId="0" fontId="7" fillId="0" borderId="2" xfId="0" applyFont="1" applyBorder="1"/>
    <xf numFmtId="0" fontId="0" fillId="0" borderId="1" xfId="0" applyBorder="1" applyAlignment="1">
      <alignment vertical="center"/>
    </xf>
    <xf numFmtId="168" fontId="7" fillId="0" borderId="0" xfId="0" applyNumberFormat="1" applyFont="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166" fontId="7" fillId="0" borderId="13" xfId="0" applyNumberFormat="1"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165" fontId="7" fillId="0" borderId="8" xfId="0" applyNumberFormat="1" applyFont="1" applyBorder="1" applyAlignment="1" applyProtection="1">
      <alignment horizontal="center" vertical="center" wrapText="1"/>
      <protection locked="0"/>
    </xf>
    <xf numFmtId="168" fontId="7" fillId="2" borderId="8" xfId="0" applyNumberFormat="1" applyFont="1" applyFill="1" applyBorder="1" applyAlignment="1" applyProtection="1">
      <alignment horizontal="center" vertical="center"/>
      <protection locked="0"/>
    </xf>
    <xf numFmtId="49" fontId="7" fillId="0" borderId="1" xfId="1" applyNumberFormat="1" applyFont="1" applyBorder="1" applyAlignment="1" applyProtection="1">
      <alignment horizontal="center" vertical="center" wrapText="1"/>
      <protection locked="0"/>
    </xf>
    <xf numFmtId="49" fontId="7" fillId="0" borderId="15" xfId="0" applyNumberFormat="1" applyFont="1" applyBorder="1" applyAlignment="1" applyProtection="1">
      <alignment horizontal="center" vertical="center" wrapText="1"/>
      <protection locked="0"/>
    </xf>
    <xf numFmtId="14" fontId="7" fillId="2" borderId="13" xfId="0" applyNumberFormat="1" applyFont="1" applyFill="1" applyBorder="1" applyAlignment="1" applyProtection="1">
      <alignment horizontal="center" vertical="center"/>
      <protection locked="0"/>
    </xf>
    <xf numFmtId="0" fontId="7" fillId="0" borderId="6" xfId="0" applyFont="1" applyBorder="1" applyAlignment="1" applyProtection="1">
      <alignment horizontal="left" vertical="center" wrapText="1"/>
      <protection locked="0"/>
    </xf>
    <xf numFmtId="49" fontId="7" fillId="0" borderId="13" xfId="0" applyNumberFormat="1" applyFont="1" applyBorder="1" applyAlignment="1" applyProtection="1">
      <alignment horizontal="center" vertical="center"/>
      <protection locked="0"/>
    </xf>
    <xf numFmtId="0" fontId="7" fillId="0" borderId="16" xfId="0" applyFont="1" applyBorder="1" applyAlignment="1" applyProtection="1">
      <alignment horizontal="center" vertical="center" wrapText="1"/>
      <protection locked="0"/>
    </xf>
    <xf numFmtId="168" fontId="7" fillId="0" borderId="13" xfId="0" applyNumberFormat="1" applyFont="1" applyBorder="1" applyAlignment="1" applyProtection="1">
      <alignment horizontal="center" vertical="center"/>
      <protection locked="0"/>
    </xf>
    <xf numFmtId="0" fontId="7" fillId="7" borderId="8" xfId="0" applyFont="1" applyFill="1" applyBorder="1" applyAlignment="1" applyProtection="1">
      <alignment vertical="center" wrapText="1"/>
      <protection locked="0"/>
    </xf>
    <xf numFmtId="0" fontId="7" fillId="7" borderId="1" xfId="0" applyFont="1" applyFill="1" applyBorder="1" applyProtection="1">
      <protection locked="0"/>
    </xf>
    <xf numFmtId="14" fontId="7" fillId="0" borderId="0" xfId="0" applyNumberFormat="1" applyFont="1" applyAlignment="1" applyProtection="1">
      <alignment horizontal="center" vertical="center" wrapText="1"/>
      <protection locked="0"/>
    </xf>
    <xf numFmtId="0" fontId="7" fillId="2" borderId="0" xfId="0" applyFont="1" applyFill="1" applyAlignment="1">
      <alignment vertical="top"/>
    </xf>
    <xf numFmtId="0" fontId="47" fillId="0" borderId="0" xfId="0" applyFont="1" applyAlignment="1">
      <alignment vertical="top"/>
    </xf>
    <xf numFmtId="0" fontId="7" fillId="9" borderId="1" xfId="0" applyFont="1" applyFill="1" applyBorder="1" applyAlignment="1" applyProtection="1">
      <alignment horizontal="center" vertical="center" wrapText="1"/>
      <protection locked="0"/>
    </xf>
    <xf numFmtId="167" fontId="7" fillId="0" borderId="1" xfId="0" applyNumberFormat="1" applyFont="1" applyBorder="1" applyAlignment="1">
      <alignment horizontal="center" vertical="center" wrapText="1"/>
    </xf>
    <xf numFmtId="0" fontId="7" fillId="0" borderId="1" xfId="6" applyNumberFormat="1" applyFont="1" applyFill="1" applyBorder="1" applyAlignment="1">
      <alignment horizontal="center" vertical="center" wrapText="1"/>
    </xf>
    <xf numFmtId="0" fontId="7" fillId="0" borderId="0" xfId="0" applyFont="1" applyAlignment="1">
      <alignment vertical="top"/>
    </xf>
    <xf numFmtId="0" fontId="7" fillId="0" borderId="0" xfId="0" applyFont="1" applyAlignment="1">
      <alignment horizontal="center" vertical="center"/>
    </xf>
    <xf numFmtId="0" fontId="7" fillId="0" borderId="1" xfId="0" applyFont="1" applyBorder="1" applyAlignment="1">
      <alignment vertical="top"/>
    </xf>
    <xf numFmtId="0" fontId="7" fillId="0" borderId="1" xfId="0" applyFont="1" applyBorder="1" applyAlignment="1">
      <alignment horizontal="left" vertical="top" wrapText="1"/>
    </xf>
    <xf numFmtId="0" fontId="7" fillId="0" borderId="1" xfId="0" applyFont="1" applyBorder="1" applyAlignment="1">
      <alignment horizontal="left" vertical="top"/>
    </xf>
    <xf numFmtId="0" fontId="7" fillId="15" borderId="1" xfId="0" applyFont="1" applyFill="1" applyBorder="1" applyAlignment="1" applyProtection="1">
      <alignment horizontal="center" vertical="center" wrapText="1"/>
      <protection locked="0"/>
    </xf>
    <xf numFmtId="0" fontId="7" fillId="0" borderId="1" xfId="1" applyFont="1" applyBorder="1" applyAlignment="1">
      <alignment vertical="top" wrapText="1"/>
    </xf>
    <xf numFmtId="14" fontId="7" fillId="0" borderId="1" xfId="1" applyNumberFormat="1" applyFont="1" applyBorder="1" applyAlignment="1">
      <alignment horizontal="center" vertical="center" wrapText="1"/>
    </xf>
    <xf numFmtId="0" fontId="7" fillId="0" borderId="1" xfId="1" applyFont="1" applyBorder="1" applyAlignment="1">
      <alignment horizontal="center" vertical="center"/>
    </xf>
    <xf numFmtId="0" fontId="7" fillId="0" borderId="1" xfId="1" applyFont="1" applyBorder="1" applyAlignment="1">
      <alignment horizontal="center" vertical="center" wrapText="1"/>
    </xf>
    <xf numFmtId="14" fontId="7" fillId="2" borderId="1" xfId="1" applyNumberFormat="1" applyFont="1" applyFill="1" applyBorder="1" applyAlignment="1">
      <alignment horizontal="center" vertical="center" wrapText="1"/>
    </xf>
    <xf numFmtId="168" fontId="7" fillId="0" borderId="1" xfId="1" applyNumberFormat="1" applyFont="1" applyBorder="1" applyAlignment="1">
      <alignment horizontal="center" vertical="center"/>
    </xf>
    <xf numFmtId="167" fontId="7" fillId="0" borderId="1" xfId="1" applyNumberFormat="1" applyFont="1" applyBorder="1" applyAlignment="1">
      <alignment horizontal="center" vertical="center" wrapText="1"/>
    </xf>
    <xf numFmtId="14" fontId="7" fillId="15" borderId="1" xfId="1" applyNumberFormat="1" applyFont="1" applyFill="1" applyBorder="1" applyAlignment="1">
      <alignment horizontal="center" vertical="center" wrapText="1"/>
    </xf>
    <xf numFmtId="14" fontId="7" fillId="14" borderId="1" xfId="1" applyNumberFormat="1" applyFont="1" applyFill="1" applyBorder="1" applyAlignment="1">
      <alignment horizontal="center" vertical="center" wrapText="1"/>
    </xf>
    <xf numFmtId="0" fontId="7" fillId="14" borderId="1" xfId="1" applyFont="1" applyFill="1" applyBorder="1" applyAlignment="1">
      <alignment horizontal="center" vertical="center"/>
    </xf>
    <xf numFmtId="0" fontId="7" fillId="14" borderId="1" xfId="1" applyFont="1" applyFill="1" applyBorder="1" applyAlignment="1">
      <alignment horizontal="center" vertical="center" wrapText="1"/>
    </xf>
    <xf numFmtId="168" fontId="7" fillId="14" borderId="1" xfId="1" applyNumberFormat="1" applyFont="1" applyFill="1" applyBorder="1" applyAlignment="1">
      <alignment horizontal="center" vertical="center"/>
    </xf>
    <xf numFmtId="167" fontId="7" fillId="14" borderId="1" xfId="1" applyNumberFormat="1" applyFont="1" applyFill="1" applyBorder="1" applyAlignment="1">
      <alignment horizontal="center" vertical="center" wrapText="1"/>
    </xf>
    <xf numFmtId="14" fontId="7" fillId="17" borderId="1" xfId="1" applyNumberFormat="1" applyFont="1" applyFill="1" applyBorder="1" applyAlignment="1">
      <alignment horizontal="center" vertical="center" wrapText="1"/>
    </xf>
    <xf numFmtId="0" fontId="7" fillId="17" borderId="1" xfId="1" applyFont="1" applyFill="1" applyBorder="1" applyAlignment="1">
      <alignment horizontal="center" vertical="center"/>
    </xf>
    <xf numFmtId="0" fontId="17" fillId="0" borderId="1" xfId="1" applyFont="1" applyBorder="1" applyAlignment="1">
      <alignment horizontal="center" vertical="center" wrapText="1"/>
    </xf>
    <xf numFmtId="168" fontId="7" fillId="0" borderId="1" xfId="1" applyNumberFormat="1" applyFont="1" applyBorder="1" applyAlignment="1">
      <alignment horizontal="left" vertical="center"/>
    </xf>
    <xf numFmtId="0" fontId="7" fillId="0" borderId="2" xfId="1" applyFont="1" applyBorder="1" applyAlignment="1">
      <alignment horizontal="center" vertical="center" wrapText="1"/>
    </xf>
    <xf numFmtId="0" fontId="7" fillId="0" borderId="2" xfId="1" applyFont="1" applyBorder="1" applyAlignment="1">
      <alignment horizontal="center" vertical="center"/>
    </xf>
    <xf numFmtId="0" fontId="7" fillId="0" borderId="1" xfId="0" applyFont="1" applyBorder="1" applyAlignment="1">
      <alignment horizontal="left" vertical="center"/>
    </xf>
    <xf numFmtId="14" fontId="7" fillId="0" borderId="1" xfId="0" applyNumberFormat="1" applyFont="1" applyBorder="1" applyAlignment="1">
      <alignment horizontal="center" vertical="top" wrapText="1"/>
    </xf>
    <xf numFmtId="168" fontId="7" fillId="0" borderId="3" xfId="0" applyNumberFormat="1" applyFont="1" applyBorder="1" applyAlignment="1">
      <alignment horizontal="center" vertical="center" wrapText="1"/>
    </xf>
    <xf numFmtId="14" fontId="7" fillId="15" borderId="1" xfId="0" applyNumberFormat="1" applyFont="1" applyFill="1" applyBorder="1" applyAlignment="1" applyProtection="1">
      <alignment horizontal="center" vertical="center" wrapText="1"/>
      <protection locked="0"/>
    </xf>
    <xf numFmtId="0" fontId="47" fillId="0" borderId="1" xfId="0" applyFont="1" applyBorder="1" applyAlignment="1">
      <alignment vertical="top"/>
    </xf>
    <xf numFmtId="0" fontId="7" fillId="15" borderId="2" xfId="0" applyFont="1" applyFill="1" applyBorder="1" applyAlignment="1" applyProtection="1">
      <alignment horizontal="center" vertical="center" wrapText="1"/>
      <protection locked="0"/>
    </xf>
    <xf numFmtId="0" fontId="7" fillId="2" borderId="1" xfId="0" applyFont="1" applyFill="1" applyBorder="1" applyAlignment="1">
      <alignment vertical="top"/>
    </xf>
    <xf numFmtId="168" fontId="7" fillId="0" borderId="1" xfId="0" applyNumberFormat="1" applyFont="1" applyBorder="1" applyAlignment="1">
      <alignment horizontal="center" vertical="center"/>
    </xf>
    <xf numFmtId="14" fontId="7" fillId="20" borderId="1"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7" fillId="20" borderId="1" xfId="0" applyFont="1" applyFill="1" applyBorder="1" applyAlignment="1" applyProtection="1">
      <alignment horizontal="center" vertical="center" wrapText="1"/>
      <protection locked="0"/>
    </xf>
    <xf numFmtId="168" fontId="7" fillId="2" borderId="1" xfId="0" applyNumberFormat="1" applyFont="1" applyFill="1" applyBorder="1" applyAlignment="1">
      <alignment horizontal="center" vertical="center" wrapText="1"/>
    </xf>
    <xf numFmtId="0" fontId="7" fillId="0" borderId="0" xfId="0" applyFont="1" applyAlignment="1">
      <alignment horizontal="left" vertical="center" wrapText="1"/>
    </xf>
    <xf numFmtId="0" fontId="7" fillId="0" borderId="13" xfId="0" applyFont="1" applyBorder="1" applyAlignment="1">
      <alignment vertical="top"/>
    </xf>
    <xf numFmtId="0" fontId="7" fillId="0" borderId="0" xfId="0" applyFont="1" applyAlignment="1">
      <alignment vertical="center" wrapText="1"/>
    </xf>
    <xf numFmtId="0" fontId="7" fillId="0" borderId="0" xfId="0" applyFont="1" applyAlignment="1">
      <alignment horizontal="left" vertical="top"/>
    </xf>
    <xf numFmtId="0" fontId="7" fillId="0" borderId="0" xfId="0" applyFont="1" applyAlignment="1">
      <alignment horizontal="left" vertical="top" wrapText="1"/>
    </xf>
    <xf numFmtId="0" fontId="7" fillId="14" borderId="1" xfId="0" applyFont="1" applyFill="1" applyBorder="1" applyAlignment="1" applyProtection="1">
      <alignment horizontal="left" vertical="center" wrapText="1"/>
      <protection locked="0"/>
    </xf>
    <xf numFmtId="0" fontId="7" fillId="14" borderId="1" xfId="0" applyFont="1" applyFill="1" applyBorder="1" applyAlignment="1">
      <alignment horizontal="center" vertical="center"/>
    </xf>
    <xf numFmtId="168" fontId="7" fillId="14" borderId="1" xfId="0" applyNumberFormat="1" applyFont="1" applyFill="1" applyBorder="1" applyAlignment="1">
      <alignment horizontal="center" vertical="center" wrapText="1"/>
    </xf>
    <xf numFmtId="0" fontId="7" fillId="14" borderId="1" xfId="0" applyFont="1" applyFill="1" applyBorder="1" applyAlignment="1" applyProtection="1">
      <alignment horizontal="center" vertical="center" wrapText="1"/>
      <protection locked="0"/>
    </xf>
    <xf numFmtId="167" fontId="7" fillId="14" borderId="1" xfId="0" applyNumberFormat="1" applyFont="1" applyFill="1" applyBorder="1" applyAlignment="1">
      <alignment horizontal="left" vertical="top"/>
    </xf>
    <xf numFmtId="14" fontId="7" fillId="14" borderId="1" xfId="0" applyNumberFormat="1" applyFont="1" applyFill="1" applyBorder="1" applyAlignment="1" applyProtection="1">
      <alignment horizontal="left" vertical="center" wrapText="1"/>
      <protection locked="0"/>
    </xf>
    <xf numFmtId="0" fontId="7" fillId="14" borderId="1" xfId="0" applyFont="1" applyFill="1" applyBorder="1" applyAlignment="1">
      <alignment vertical="top" wrapText="1"/>
    </xf>
    <xf numFmtId="0" fontId="7" fillId="14" borderId="0" xfId="0" applyFont="1" applyFill="1" applyAlignment="1">
      <alignment vertical="top" wrapText="1"/>
    </xf>
    <xf numFmtId="0" fontId="7" fillId="14" borderId="1" xfId="0" applyFont="1" applyFill="1" applyBorder="1" applyAlignment="1">
      <alignment vertical="top"/>
    </xf>
    <xf numFmtId="0" fontId="7" fillId="14" borderId="0" xfId="0" applyFont="1" applyFill="1" applyAlignment="1" applyProtection="1">
      <alignment horizontal="left" vertical="center" wrapText="1"/>
      <protection locked="0"/>
    </xf>
    <xf numFmtId="14" fontId="7" fillId="14" borderId="1" xfId="0" applyNumberFormat="1" applyFont="1" applyFill="1" applyBorder="1" applyAlignment="1" applyProtection="1">
      <alignment horizontal="center" vertical="center" wrapText="1"/>
      <protection locked="0"/>
    </xf>
    <xf numFmtId="0" fontId="7" fillId="14" borderId="1" xfId="0" applyFont="1" applyFill="1" applyBorder="1" applyAlignment="1">
      <alignment horizontal="left" vertical="top"/>
    </xf>
    <xf numFmtId="0" fontId="7" fillId="14" borderId="1" xfId="0" applyFont="1" applyFill="1" applyBorder="1" applyAlignment="1">
      <alignment horizontal="left" vertical="top" wrapText="1"/>
    </xf>
    <xf numFmtId="14" fontId="7" fillId="14" borderId="1" xfId="0" applyNumberFormat="1" applyFont="1" applyFill="1" applyBorder="1" applyAlignment="1">
      <alignment horizontal="left" vertical="top"/>
    </xf>
    <xf numFmtId="0" fontId="7" fillId="14" borderId="1" xfId="0" applyFont="1" applyFill="1" applyBorder="1" applyAlignment="1" applyProtection="1">
      <alignment horizontal="left" vertical="top" wrapText="1"/>
      <protection locked="0"/>
    </xf>
    <xf numFmtId="14" fontId="7" fillId="14" borderId="1" xfId="0" applyNumberFormat="1" applyFont="1" applyFill="1" applyBorder="1" applyAlignment="1">
      <alignment horizontal="center" vertical="top" wrapText="1"/>
    </xf>
    <xf numFmtId="0" fontId="7" fillId="14" borderId="1" xfId="0" applyFont="1" applyFill="1" applyBorder="1" applyAlignment="1">
      <alignment horizontal="center" vertical="top"/>
    </xf>
    <xf numFmtId="168" fontId="7" fillId="14" borderId="1" xfId="0" applyNumberFormat="1" applyFont="1" applyFill="1" applyBorder="1" applyAlignment="1">
      <alignment horizontal="center" vertical="top" wrapText="1"/>
    </xf>
    <xf numFmtId="0" fontId="7" fillId="14" borderId="1" xfId="0" applyFont="1" applyFill="1" applyBorder="1" applyAlignment="1" applyProtection="1">
      <alignment horizontal="center" vertical="top" wrapText="1"/>
      <protection locked="0"/>
    </xf>
    <xf numFmtId="14" fontId="7" fillId="14" borderId="1" xfId="0" applyNumberFormat="1" applyFont="1" applyFill="1" applyBorder="1" applyAlignment="1" applyProtection="1">
      <alignment horizontal="left" vertical="top" wrapText="1"/>
      <protection locked="0"/>
    </xf>
    <xf numFmtId="0" fontId="17" fillId="14" borderId="1" xfId="0" applyFont="1" applyFill="1" applyBorder="1" applyAlignment="1" applyProtection="1">
      <alignment horizontal="left" vertical="center" wrapText="1"/>
      <protection locked="0"/>
    </xf>
    <xf numFmtId="0" fontId="0" fillId="14" borderId="0" xfId="0" applyFill="1"/>
    <xf numFmtId="0" fontId="7" fillId="14" borderId="1" xfId="0" applyFont="1" applyFill="1" applyBorder="1" applyAlignment="1">
      <alignment horizontal="left" vertical="center"/>
    </xf>
    <xf numFmtId="14" fontId="7" fillId="14" borderId="1" xfId="0" applyNumberFormat="1" applyFont="1" applyFill="1" applyBorder="1" applyAlignment="1">
      <alignment horizontal="center" vertical="center"/>
    </xf>
    <xf numFmtId="168" fontId="7" fillId="14" borderId="1" xfId="0" applyNumberFormat="1" applyFont="1" applyFill="1" applyBorder="1" applyAlignment="1">
      <alignment horizontal="center" vertical="center"/>
    </xf>
    <xf numFmtId="0" fontId="7" fillId="14" borderId="0" xfId="0" applyFont="1" applyFill="1" applyAlignment="1">
      <alignment vertical="top"/>
    </xf>
    <xf numFmtId="0" fontId="7" fillId="0" borderId="1" xfId="0" applyFont="1" applyBorder="1" applyAlignment="1">
      <alignment vertical="top" wrapText="1"/>
    </xf>
    <xf numFmtId="0" fontId="7" fillId="0" borderId="0" xfId="0" applyFont="1" applyAlignment="1">
      <alignment vertical="top" wrapText="1"/>
    </xf>
    <xf numFmtId="0" fontId="7" fillId="16" borderId="1" xfId="0" applyFont="1" applyFill="1" applyBorder="1" applyAlignment="1" applyProtection="1">
      <alignment horizontal="left" vertical="center" wrapText="1"/>
      <protection locked="0"/>
    </xf>
    <xf numFmtId="167" fontId="7" fillId="0" borderId="1" xfId="0" applyNumberFormat="1" applyFont="1" applyBorder="1" applyAlignment="1">
      <alignment horizontal="left" vertical="top" wrapText="1"/>
    </xf>
    <xf numFmtId="14" fontId="7" fillId="0" borderId="0" xfId="0" applyNumberFormat="1" applyFont="1" applyAlignment="1" applyProtection="1">
      <alignment horizontal="left" vertical="center" wrapText="1"/>
      <protection locked="0"/>
    </xf>
    <xf numFmtId="14"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68" fontId="7" fillId="0" borderId="1" xfId="0" applyNumberFormat="1" applyFont="1" applyBorder="1" applyAlignment="1">
      <alignment horizontal="center" vertical="top" wrapText="1"/>
    </xf>
    <xf numFmtId="14" fontId="7" fillId="0" borderId="1" xfId="0" applyNumberFormat="1" applyFont="1" applyBorder="1" applyAlignment="1" applyProtection="1">
      <alignment horizontal="left" vertical="top" wrapText="1"/>
      <protection locked="0"/>
    </xf>
    <xf numFmtId="14" fontId="7" fillId="0" borderId="0" xfId="0" applyNumberFormat="1" applyFont="1" applyAlignment="1" applyProtection="1">
      <alignment horizontal="left" vertical="top" wrapText="1"/>
      <protection locked="0"/>
    </xf>
    <xf numFmtId="167" fontId="7" fillId="0" borderId="0" xfId="0" applyNumberFormat="1" applyFont="1" applyAlignment="1">
      <alignment horizontal="left" vertical="top" wrapText="1"/>
    </xf>
    <xf numFmtId="0" fontId="7" fillId="0" borderId="1" xfId="0" applyFont="1" applyBorder="1" applyAlignment="1">
      <alignment horizontal="center"/>
    </xf>
    <xf numFmtId="6" fontId="7" fillId="0" borderId="1" xfId="0" applyNumberFormat="1" applyFont="1" applyBorder="1" applyAlignment="1">
      <alignment horizontal="center" vertical="center"/>
    </xf>
    <xf numFmtId="0" fontId="7" fillId="0" borderId="0" xfId="0" applyFont="1" applyAlignment="1">
      <alignment horizontal="left" wrapText="1"/>
    </xf>
    <xf numFmtId="0" fontId="7" fillId="0" borderId="0" xfId="0" applyFont="1" applyAlignment="1">
      <alignment horizontal="center"/>
    </xf>
    <xf numFmtId="0" fontId="7" fillId="17" borderId="1" xfId="0" applyFont="1" applyFill="1" applyBorder="1" applyAlignment="1">
      <alignment vertical="top"/>
    </xf>
    <xf numFmtId="0" fontId="7" fillId="17" borderId="1" xfId="0" applyFont="1" applyFill="1" applyBorder="1" applyAlignment="1" applyProtection="1">
      <alignment horizontal="left" vertical="center" wrapText="1"/>
      <protection locked="0"/>
    </xf>
    <xf numFmtId="168" fontId="7" fillId="17" borderId="1" xfId="0" applyNumberFormat="1" applyFont="1" applyFill="1" applyBorder="1" applyAlignment="1">
      <alignment horizontal="center" vertical="center" wrapText="1"/>
    </xf>
    <xf numFmtId="0" fontId="7" fillId="17" borderId="1" xfId="0" applyFont="1" applyFill="1" applyBorder="1" applyAlignment="1">
      <alignment horizontal="left" vertical="top"/>
    </xf>
    <xf numFmtId="0" fontId="7" fillId="17" borderId="0" xfId="0" applyFont="1" applyFill="1" applyAlignment="1">
      <alignment horizontal="left" vertical="top"/>
    </xf>
    <xf numFmtId="0" fontId="0" fillId="17" borderId="0" xfId="0" applyFill="1"/>
    <xf numFmtId="0" fontId="7" fillId="14" borderId="1" xfId="0" applyFont="1" applyFill="1" applyBorder="1" applyAlignment="1">
      <alignment horizontal="center" vertical="center" wrapText="1"/>
    </xf>
    <xf numFmtId="0" fontId="7" fillId="14" borderId="1" xfId="6" applyNumberFormat="1" applyFont="1" applyFill="1" applyBorder="1" applyAlignment="1">
      <alignment horizontal="center" vertical="center" wrapText="1"/>
    </xf>
    <xf numFmtId="14" fontId="7" fillId="2" borderId="1" xfId="0" applyNumberFormat="1" applyFont="1" applyFill="1" applyBorder="1" applyAlignment="1" applyProtection="1">
      <alignment horizontal="left" vertical="top" wrapText="1"/>
      <protection locked="0"/>
    </xf>
    <xf numFmtId="14" fontId="7" fillId="2" borderId="1" xfId="0" applyNumberFormat="1" applyFont="1" applyFill="1" applyBorder="1" applyAlignment="1">
      <alignment horizontal="center" vertical="top" wrapText="1"/>
    </xf>
    <xf numFmtId="14" fontId="7" fillId="15" borderId="1" xfId="0" applyNumberFormat="1" applyFont="1" applyFill="1" applyBorder="1" applyAlignment="1">
      <alignment horizontal="center" vertical="center"/>
    </xf>
    <xf numFmtId="0" fontId="7" fillId="0" borderId="1" xfId="0" applyFont="1" applyBorder="1" applyAlignment="1">
      <alignment horizontal="center" vertical="top"/>
    </xf>
    <xf numFmtId="0" fontId="7" fillId="9" borderId="1" xfId="0" applyFont="1" applyFill="1" applyBorder="1" applyAlignment="1" applyProtection="1">
      <alignment horizontal="left" vertical="center" wrapText="1"/>
      <protection locked="0"/>
    </xf>
    <xf numFmtId="0" fontId="7" fillId="18" borderId="1" xfId="0" applyFont="1" applyFill="1" applyBorder="1" applyAlignment="1" applyProtection="1">
      <alignment horizontal="left" vertical="top" wrapText="1"/>
      <protection locked="0"/>
    </xf>
    <xf numFmtId="168" fontId="7" fillId="2" borderId="1" xfId="0" applyNumberFormat="1" applyFont="1" applyFill="1" applyBorder="1" applyAlignment="1">
      <alignment horizontal="center" vertical="center"/>
    </xf>
    <xf numFmtId="0" fontId="7" fillId="0" borderId="1" xfId="0" applyFont="1" applyBorder="1" applyAlignment="1">
      <alignment horizontal="center" vertical="top" wrapText="1"/>
    </xf>
    <xf numFmtId="0" fontId="7" fillId="15" borderId="1" xfId="0" applyFont="1" applyFill="1" applyBorder="1" applyAlignment="1" applyProtection="1">
      <alignment horizontal="center" vertical="top" wrapText="1"/>
      <protection locked="0"/>
    </xf>
    <xf numFmtId="0" fontId="48" fillId="0" borderId="1" xfId="0" applyFont="1" applyBorder="1" applyAlignment="1">
      <alignment vertical="center"/>
    </xf>
    <xf numFmtId="14" fontId="7" fillId="19" borderId="1" xfId="0" applyNumberFormat="1" applyFont="1" applyFill="1" applyBorder="1" applyAlignment="1" applyProtection="1">
      <alignment horizontal="center" vertical="center" wrapText="1"/>
      <protection locked="0"/>
    </xf>
    <xf numFmtId="0" fontId="7" fillId="4" borderId="0" xfId="0" applyFont="1" applyFill="1" applyAlignment="1">
      <alignment vertical="top"/>
    </xf>
    <xf numFmtId="168" fontId="17" fillId="0" borderId="1" xfId="0" applyNumberFormat="1" applyFont="1" applyBorder="1" applyAlignment="1">
      <alignment horizontal="center" vertical="center" wrapText="1"/>
    </xf>
    <xf numFmtId="0" fontId="7" fillId="0" borderId="3" xfId="0" applyFont="1" applyBorder="1" applyAlignment="1">
      <alignment vertical="top"/>
    </xf>
    <xf numFmtId="0" fontId="7" fillId="0" borderId="3" xfId="0" applyFont="1" applyBorder="1" applyAlignment="1">
      <alignment vertical="center"/>
    </xf>
    <xf numFmtId="0" fontId="11" fillId="0" borderId="3" xfId="0" applyFont="1" applyBorder="1" applyAlignment="1">
      <alignment vertical="center"/>
    </xf>
    <xf numFmtId="0" fontId="7" fillId="0" borderId="15" xfId="0" applyFont="1" applyBorder="1" applyAlignment="1" applyProtection="1">
      <alignment vertical="center"/>
      <protection locked="0"/>
    </xf>
    <xf numFmtId="0" fontId="7" fillId="14" borderId="2" xfId="0" applyFont="1" applyFill="1" applyBorder="1" applyAlignment="1">
      <alignment vertical="center"/>
    </xf>
    <xf numFmtId="0" fontId="7" fillId="0" borderId="2" xfId="0" applyFont="1" applyBorder="1" applyAlignment="1">
      <alignment vertical="top"/>
    </xf>
    <xf numFmtId="0" fontId="7" fillId="14" borderId="2" xfId="0" applyFont="1" applyFill="1" applyBorder="1" applyAlignment="1">
      <alignment vertical="top"/>
    </xf>
    <xf numFmtId="0" fontId="47" fillId="0" borderId="2" xfId="0" applyFont="1" applyBorder="1" applyAlignment="1">
      <alignment vertical="top"/>
    </xf>
    <xf numFmtId="0" fontId="7" fillId="14" borderId="3" xfId="0" applyFont="1" applyFill="1" applyBorder="1" applyAlignment="1" applyProtection="1">
      <alignment horizontal="left" vertical="top" wrapText="1"/>
      <protection locked="0"/>
    </xf>
    <xf numFmtId="0" fontId="7" fillId="0" borderId="5" xfId="0" applyFont="1" applyBorder="1" applyAlignment="1" applyProtection="1">
      <alignment vertical="center"/>
      <protection locked="0"/>
    </xf>
    <xf numFmtId="0" fontId="11" fillId="0" borderId="2" xfId="0" applyFont="1" applyBorder="1" applyAlignment="1">
      <alignment horizontal="center" vertical="center"/>
    </xf>
    <xf numFmtId="0" fontId="7" fillId="14" borderId="2" xfId="1" applyFont="1" applyFill="1" applyBorder="1" applyAlignment="1">
      <alignment horizontal="center" vertical="center" wrapText="1"/>
    </xf>
    <xf numFmtId="0" fontId="7" fillId="14" borderId="2" xfId="0" applyFont="1" applyFill="1" applyBorder="1" applyAlignment="1">
      <alignment horizontal="center" vertical="center"/>
    </xf>
    <xf numFmtId="49" fontId="7" fillId="0" borderId="2" xfId="0" applyNumberFormat="1" applyFont="1" applyBorder="1" applyAlignment="1" applyProtection="1">
      <alignment horizontal="center" vertical="top" wrapText="1"/>
      <protection locked="0"/>
    </xf>
    <xf numFmtId="0" fontId="7" fillId="14" borderId="2" xfId="0" applyFont="1" applyFill="1" applyBorder="1" applyAlignment="1" applyProtection="1">
      <alignment horizontal="center" vertical="center" wrapText="1"/>
      <protection locked="0"/>
    </xf>
    <xf numFmtId="168" fontId="7" fillId="0" borderId="3" xfId="0" applyNumberFormat="1" applyFont="1" applyBorder="1" applyAlignment="1">
      <alignment horizontal="center" vertical="top" wrapText="1"/>
    </xf>
    <xf numFmtId="0" fontId="7" fillId="15" borderId="2" xfId="1" applyFont="1" applyFill="1" applyBorder="1" applyAlignment="1">
      <alignment horizontal="center" vertical="center" wrapText="1"/>
    </xf>
    <xf numFmtId="0" fontId="7" fillId="9" borderId="2" xfId="0" applyFont="1" applyFill="1" applyBorder="1" applyAlignment="1" applyProtection="1">
      <alignment horizontal="center" vertical="center" wrapText="1"/>
      <protection locked="0"/>
    </xf>
    <xf numFmtId="0" fontId="7" fillId="14" borderId="2" xfId="0" applyFont="1" applyFill="1" applyBorder="1" applyAlignment="1" applyProtection="1">
      <alignment horizontal="center" vertical="top" wrapText="1"/>
      <protection locked="0"/>
    </xf>
    <xf numFmtId="165" fontId="7" fillId="0" borderId="1" xfId="0" applyNumberFormat="1" applyFont="1" applyBorder="1" applyAlignment="1" applyProtection="1">
      <alignment horizontal="center" wrapText="1"/>
      <protection locked="0"/>
    </xf>
    <xf numFmtId="0" fontId="7" fillId="0" borderId="2" xfId="0" applyFont="1" applyBorder="1" applyAlignment="1" applyProtection="1">
      <alignment horizontal="center" vertical="top" wrapText="1"/>
      <protection locked="0"/>
    </xf>
    <xf numFmtId="0" fontId="7" fillId="14" borderId="2" xfId="0" applyFont="1" applyFill="1" applyBorder="1" applyAlignment="1" applyProtection="1">
      <alignment horizontal="left" vertical="center" wrapText="1"/>
      <protection locked="0"/>
    </xf>
    <xf numFmtId="167" fontId="7" fillId="0" borderId="0" xfId="0" applyNumberFormat="1" applyFont="1" applyAlignment="1" applyProtection="1">
      <alignment horizontal="center" vertical="center"/>
      <protection locked="0"/>
    </xf>
    <xf numFmtId="14" fontId="7" fillId="0" borderId="2" xfId="0" applyNumberFormat="1" applyFont="1" applyBorder="1" applyAlignment="1" applyProtection="1">
      <alignment horizontal="left" vertical="center" wrapText="1"/>
      <protection locked="0"/>
    </xf>
    <xf numFmtId="14" fontId="7" fillId="14" borderId="2" xfId="0" applyNumberFormat="1" applyFont="1" applyFill="1" applyBorder="1" applyAlignment="1" applyProtection="1">
      <alignment horizontal="left" vertical="center" wrapText="1"/>
      <protection locked="0"/>
    </xf>
    <xf numFmtId="167" fontId="7" fillId="0" borderId="2" xfId="0" applyNumberFormat="1" applyFont="1" applyBorder="1" applyAlignment="1">
      <alignment horizontal="left" vertical="top" wrapText="1"/>
    </xf>
    <xf numFmtId="0" fontId="7" fillId="0" borderId="2" xfId="0" applyFont="1" applyBorder="1" applyAlignment="1" applyProtection="1">
      <alignment horizontal="left" vertical="top" wrapText="1"/>
      <protection locked="0"/>
    </xf>
    <xf numFmtId="165" fontId="7" fillId="0" borderId="0" xfId="0" applyNumberFormat="1" applyFont="1" applyAlignment="1" applyProtection="1">
      <alignment horizontal="left" vertical="center" wrapText="1"/>
      <protection locked="0"/>
    </xf>
    <xf numFmtId="14" fontId="7" fillId="2" borderId="0" xfId="0" applyNumberFormat="1" applyFont="1" applyFill="1" applyAlignment="1" applyProtection="1">
      <alignment horizontal="left" vertical="center" wrapText="1"/>
      <protection locked="0"/>
    </xf>
    <xf numFmtId="0" fontId="7" fillId="0" borderId="0" xfId="0" applyFont="1" applyAlignment="1">
      <alignment horizontal="center" vertical="center" wrapText="1"/>
    </xf>
    <xf numFmtId="0" fontId="11" fillId="0" borderId="0" xfId="0" applyFont="1" applyAlignment="1">
      <alignment horizontal="center" vertical="center"/>
    </xf>
    <xf numFmtId="0" fontId="7" fillId="0" borderId="0" xfId="0" applyFont="1" applyAlignment="1" applyProtection="1">
      <alignment horizontal="left" vertical="top" wrapText="1"/>
      <protection locked="0"/>
    </xf>
    <xf numFmtId="14" fontId="7" fillId="14" borderId="0" xfId="0" applyNumberFormat="1" applyFont="1" applyFill="1" applyAlignment="1" applyProtection="1">
      <alignment horizontal="left" vertical="center" wrapText="1"/>
      <protection locked="0"/>
    </xf>
    <xf numFmtId="0" fontId="10" fillId="0" borderId="0" xfId="0" applyFont="1" applyAlignment="1">
      <alignment vertical="top" wrapText="1"/>
    </xf>
    <xf numFmtId="14" fontId="7" fillId="0" borderId="0" xfId="0" applyNumberFormat="1" applyFont="1" applyAlignment="1">
      <alignment vertical="top"/>
    </xf>
    <xf numFmtId="0" fontId="7" fillId="14" borderId="2" xfId="0" applyFont="1" applyFill="1" applyBorder="1" applyAlignment="1">
      <alignment vertical="top" wrapText="1"/>
    </xf>
    <xf numFmtId="0" fontId="7" fillId="0" borderId="2" xfId="0" applyFont="1" applyBorder="1" applyAlignment="1">
      <alignment horizontal="left" vertical="top" wrapText="1"/>
    </xf>
    <xf numFmtId="0" fontId="7" fillId="0" borderId="2" xfId="0" applyFont="1" applyBorder="1" applyAlignment="1">
      <alignment vertical="top" wrapText="1"/>
    </xf>
    <xf numFmtId="0" fontId="7" fillId="0" borderId="2" xfId="0" applyFont="1" applyBorder="1" applyAlignment="1">
      <alignment horizontal="left" wrapText="1"/>
    </xf>
    <xf numFmtId="14" fontId="7" fillId="0" borderId="2" xfId="0" applyNumberFormat="1" applyFont="1" applyBorder="1" applyAlignment="1" applyProtection="1">
      <alignment horizontal="left" vertical="top" wrapText="1"/>
      <protection locked="0"/>
    </xf>
    <xf numFmtId="167" fontId="7" fillId="0" borderId="0" xfId="6"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left" vertical="center" wrapText="1"/>
      <protection locked="0"/>
    </xf>
    <xf numFmtId="168" fontId="7" fillId="2" borderId="3" xfId="0" applyNumberFormat="1" applyFont="1" applyFill="1" applyBorder="1" applyAlignment="1">
      <alignment horizontal="center" vertical="center" wrapText="1"/>
    </xf>
    <xf numFmtId="0" fontId="28" fillId="0" borderId="1" xfId="0" applyFont="1" applyBorder="1" applyAlignment="1">
      <alignment horizontal="left" vertical="center"/>
    </xf>
    <xf numFmtId="0" fontId="7" fillId="14" borderId="3" xfId="0" applyFont="1" applyFill="1" applyBorder="1" applyAlignment="1" applyProtection="1">
      <alignment horizontal="center" vertical="top" wrapText="1"/>
      <protection locked="0"/>
    </xf>
    <xf numFmtId="167" fontId="7" fillId="0" borderId="8" xfId="0" applyNumberFormat="1" applyFont="1" applyBorder="1" applyAlignment="1" applyProtection="1">
      <alignment horizontal="center" vertical="center"/>
      <protection locked="0"/>
    </xf>
    <xf numFmtId="0" fontId="9" fillId="0" borderId="1" xfId="2"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pplyProtection="1">
      <alignment horizontal="left" vertical="center" wrapText="1"/>
      <protection locked="0"/>
    </xf>
    <xf numFmtId="165" fontId="9" fillId="0" borderId="1" xfId="0" applyNumberFormat="1" applyFont="1" applyBorder="1" applyAlignment="1">
      <alignment horizontal="center" vertical="center" wrapText="1"/>
    </xf>
    <xf numFmtId="14" fontId="9" fillId="0" borderId="1" xfId="0" applyNumberFormat="1" applyFont="1" applyBorder="1" applyAlignment="1">
      <alignment horizontal="center" vertical="center" wrapText="1"/>
    </xf>
    <xf numFmtId="14" fontId="9"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164" fontId="9" fillId="0" borderId="7" xfId="6" applyNumberFormat="1" applyFont="1" applyFill="1" applyBorder="1" applyAlignment="1" applyProtection="1">
      <alignment horizontal="center" vertical="center" wrapText="1"/>
      <protection locked="0"/>
    </xf>
    <xf numFmtId="14" fontId="9" fillId="0" borderId="7"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167" fontId="9" fillId="0" borderId="1" xfId="0" applyNumberFormat="1" applyFont="1" applyBorder="1" applyAlignment="1" applyProtection="1">
      <alignment horizontal="center" vertical="center" wrapText="1"/>
      <protection locked="0"/>
    </xf>
    <xf numFmtId="0" fontId="36" fillId="0" borderId="1" xfId="0" applyFont="1" applyBorder="1" applyAlignment="1">
      <alignment horizontal="center" vertical="center"/>
    </xf>
    <xf numFmtId="0" fontId="36" fillId="0" borderId="0" xfId="0" applyFont="1" applyAlignment="1">
      <alignment vertical="center"/>
    </xf>
    <xf numFmtId="14" fontId="9" fillId="0" borderId="1" xfId="0" applyNumberFormat="1" applyFont="1" applyBorder="1" applyAlignment="1" applyProtection="1">
      <alignment horizontal="left" vertical="center" wrapText="1"/>
      <protection locked="0"/>
    </xf>
    <xf numFmtId="0" fontId="9" fillId="0" borderId="7" xfId="0" applyFont="1" applyBorder="1" applyAlignment="1" applyProtection="1">
      <alignment horizontal="center" vertical="center" wrapText="1"/>
      <protection locked="0"/>
    </xf>
    <xf numFmtId="1" fontId="9" fillId="0" borderId="7" xfId="0" applyNumberFormat="1" applyFont="1" applyBorder="1" applyAlignment="1" applyProtection="1">
      <alignment horizontal="center" vertical="center" wrapText="1"/>
      <protection locked="0"/>
    </xf>
    <xf numFmtId="0" fontId="9" fillId="0" borderId="7" xfId="0" applyFont="1" applyBorder="1" applyAlignment="1">
      <alignment horizontal="center" vertical="center" wrapText="1"/>
    </xf>
    <xf numFmtId="0" fontId="9" fillId="0" borderId="1" xfId="6" applyNumberFormat="1" applyFont="1" applyFill="1" applyBorder="1" applyAlignment="1" applyProtection="1">
      <alignment horizontal="center" vertical="center" wrapText="1"/>
      <protection locked="0"/>
    </xf>
    <xf numFmtId="164" fontId="9" fillId="0" borderId="1" xfId="6" applyNumberFormat="1" applyFont="1" applyFill="1" applyBorder="1" applyAlignment="1" applyProtection="1">
      <alignment horizontal="center" vertical="center" wrapText="1"/>
      <protection locked="0"/>
    </xf>
    <xf numFmtId="0" fontId="9" fillId="0" borderId="1" xfId="0" applyFont="1" applyBorder="1" applyAlignment="1">
      <alignment horizontal="left" vertical="center" wrapText="1"/>
    </xf>
    <xf numFmtId="169" fontId="9" fillId="0" borderId="1" xfId="0" applyNumberFormat="1" applyFont="1" applyBorder="1" applyAlignment="1" applyProtection="1">
      <alignment horizontal="center" vertical="center" wrapText="1"/>
      <protection locked="0"/>
    </xf>
    <xf numFmtId="0" fontId="9" fillId="0" borderId="1" xfId="2" applyBorder="1" applyAlignment="1" applyProtection="1">
      <alignment horizontal="center" vertical="center" wrapText="1"/>
      <protection locked="0"/>
    </xf>
    <xf numFmtId="0" fontId="9" fillId="0" borderId="1" xfId="0" applyFont="1" applyBorder="1" applyAlignment="1" applyProtection="1">
      <alignment horizontal="left" vertical="top" wrapText="1"/>
      <protection locked="0"/>
    </xf>
    <xf numFmtId="0" fontId="9" fillId="0" borderId="1" xfId="2" applyBorder="1" applyAlignment="1">
      <alignment horizontal="left" vertical="center" wrapText="1"/>
    </xf>
    <xf numFmtId="14" fontId="9" fillId="0" borderId="1" xfId="2" applyNumberFormat="1" applyBorder="1" applyAlignment="1">
      <alignment horizontal="center" vertical="center" wrapText="1"/>
    </xf>
    <xf numFmtId="1" fontId="9" fillId="0" borderId="1" xfId="2" applyNumberFormat="1" applyBorder="1" applyAlignment="1">
      <alignment horizontal="center" vertical="center" wrapText="1"/>
    </xf>
    <xf numFmtId="1" fontId="9" fillId="0" borderId="1" xfId="0" applyNumberFormat="1" applyFont="1" applyBorder="1" applyAlignment="1">
      <alignment horizontal="center" vertical="center" wrapText="1"/>
    </xf>
    <xf numFmtId="0" fontId="9" fillId="2" borderId="1" xfId="2" applyFill="1" applyBorder="1" applyAlignment="1">
      <alignment horizontal="center" vertical="center" wrapText="1"/>
    </xf>
    <xf numFmtId="164" fontId="9" fillId="0" borderId="1" xfId="6" applyNumberFormat="1" applyFont="1" applyFill="1" applyBorder="1" applyAlignment="1">
      <alignment horizontal="center" vertical="center" wrapText="1"/>
    </xf>
    <xf numFmtId="0" fontId="9" fillId="0" borderId="8" xfId="2" applyBorder="1" applyAlignment="1">
      <alignment horizontal="center" vertical="center" wrapText="1"/>
    </xf>
    <xf numFmtId="0" fontId="9" fillId="0" borderId="8"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8" xfId="0" applyNumberFormat="1"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167" fontId="9" fillId="0" borderId="8" xfId="0" applyNumberFormat="1" applyFont="1" applyBorder="1" applyAlignment="1" applyProtection="1">
      <alignment horizontal="center" vertical="center" wrapText="1"/>
      <protection locked="0"/>
    </xf>
    <xf numFmtId="167" fontId="54" fillId="0" borderId="1" xfId="0" applyNumberFormat="1" applyFont="1" applyBorder="1" applyAlignment="1" applyProtection="1">
      <alignment horizontal="center" vertical="center" wrapText="1"/>
      <protection locked="0"/>
    </xf>
    <xf numFmtId="167" fontId="9" fillId="0" borderId="2" xfId="0" applyNumberFormat="1" applyFont="1" applyBorder="1" applyAlignment="1" applyProtection="1">
      <alignment horizontal="center" vertical="center" wrapText="1"/>
      <protection locked="0"/>
    </xf>
    <xf numFmtId="0" fontId="9" fillId="14" borderId="1" xfId="2" applyFill="1" applyBorder="1" applyAlignment="1">
      <alignment horizontal="center" vertical="center" wrapText="1"/>
    </xf>
    <xf numFmtId="0" fontId="9" fillId="14" borderId="1" xfId="0" applyFont="1" applyFill="1" applyBorder="1" applyAlignment="1">
      <alignment horizontal="center" vertical="center" wrapText="1"/>
    </xf>
    <xf numFmtId="14" fontId="9" fillId="14" borderId="1" xfId="0" applyNumberFormat="1" applyFont="1" applyFill="1" applyBorder="1" applyAlignment="1">
      <alignment horizontal="center" vertical="center" wrapText="1"/>
    </xf>
    <xf numFmtId="164" fontId="9" fillId="14" borderId="1" xfId="6" applyNumberFormat="1" applyFont="1" applyFill="1" applyBorder="1" applyAlignment="1" applyProtection="1">
      <alignment horizontal="center" vertical="center" wrapText="1"/>
      <protection locked="0"/>
    </xf>
    <xf numFmtId="14" fontId="9" fillId="14" borderId="1" xfId="0" applyNumberFormat="1"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167" fontId="9" fillId="14" borderId="1" xfId="0" applyNumberFormat="1" applyFont="1" applyFill="1" applyBorder="1" applyAlignment="1" applyProtection="1">
      <alignment horizontal="center" vertical="center" wrapText="1"/>
      <protection locked="0"/>
    </xf>
    <xf numFmtId="14" fontId="9" fillId="0" borderId="1" xfId="0" quotePrefix="1" applyNumberFormat="1" applyFont="1" applyBorder="1" applyAlignment="1">
      <alignment horizontal="center" vertical="center" wrapText="1"/>
    </xf>
    <xf numFmtId="167" fontId="9" fillId="0" borderId="1" xfId="6" applyNumberFormat="1"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10" borderId="1" xfId="2" applyFill="1" applyBorder="1" applyAlignment="1">
      <alignment horizontal="center" vertical="center" wrapText="1"/>
    </xf>
    <xf numFmtId="0" fontId="9" fillId="10" borderId="1" xfId="0" applyFont="1" applyFill="1" applyBorder="1" applyAlignment="1">
      <alignment horizontal="center" vertical="center" wrapText="1"/>
    </xf>
    <xf numFmtId="165" fontId="9" fillId="10" borderId="1" xfId="0" applyNumberFormat="1" applyFont="1" applyFill="1" applyBorder="1" applyAlignment="1">
      <alignment horizontal="center" vertical="center" wrapText="1"/>
    </xf>
    <xf numFmtId="14" fontId="9" fillId="10" borderId="1" xfId="0" applyNumberFormat="1" applyFont="1" applyFill="1" applyBorder="1" applyAlignment="1">
      <alignment horizontal="center" vertical="center" wrapText="1"/>
    </xf>
    <xf numFmtId="14" fontId="9" fillId="10" borderId="1" xfId="2" applyNumberFormat="1" applyFill="1" applyBorder="1" applyAlignment="1">
      <alignment horizontal="center" vertical="center" wrapText="1"/>
    </xf>
    <xf numFmtId="1" fontId="9" fillId="10" borderId="1" xfId="2" applyNumberFormat="1" applyFill="1" applyBorder="1" applyAlignment="1">
      <alignment horizontal="center" vertical="center" wrapText="1"/>
    </xf>
    <xf numFmtId="164" fontId="9" fillId="10" borderId="1" xfId="6" applyNumberFormat="1" applyFont="1" applyFill="1" applyBorder="1" applyAlignment="1" applyProtection="1">
      <alignment horizontal="center" vertical="center" wrapText="1"/>
      <protection locked="0"/>
    </xf>
    <xf numFmtId="14" fontId="9" fillId="10" borderId="1" xfId="0" applyNumberFormat="1" applyFont="1" applyFill="1" applyBorder="1" applyAlignment="1" applyProtection="1">
      <alignment horizontal="center" vertical="center" wrapText="1"/>
      <protection locked="0"/>
    </xf>
    <xf numFmtId="167" fontId="9" fillId="10" borderId="1" xfId="0" applyNumberFormat="1" applyFont="1" applyFill="1" applyBorder="1" applyAlignment="1" applyProtection="1">
      <alignment horizontal="center" vertical="center" wrapText="1"/>
      <protection locked="0"/>
    </xf>
    <xf numFmtId="0" fontId="36" fillId="10" borderId="1" xfId="0" applyFont="1" applyFill="1" applyBorder="1" applyAlignment="1">
      <alignment horizontal="center" vertical="center"/>
    </xf>
    <xf numFmtId="164" fontId="9" fillId="0" borderId="1" xfId="6" applyNumberFormat="1" applyFont="1" applyBorder="1" applyAlignment="1" applyProtection="1">
      <alignment horizontal="center" vertical="center" wrapText="1"/>
      <protection locked="0"/>
    </xf>
    <xf numFmtId="0" fontId="9" fillId="7" borderId="1" xfId="2" applyFill="1" applyBorder="1" applyAlignment="1">
      <alignment horizontal="center" vertical="center" wrapText="1"/>
    </xf>
    <xf numFmtId="0" fontId="9" fillId="7" borderId="1" xfId="0" applyFont="1" applyFill="1" applyBorder="1" applyAlignment="1">
      <alignment horizontal="center" vertical="center" wrapText="1"/>
    </xf>
    <xf numFmtId="165" fontId="9" fillId="7" borderId="1" xfId="0" applyNumberFormat="1" applyFont="1" applyFill="1" applyBorder="1" applyAlignment="1">
      <alignment horizontal="center" vertical="center" wrapText="1"/>
    </xf>
    <xf numFmtId="14" fontId="9" fillId="7" borderId="1" xfId="0" applyNumberFormat="1" applyFont="1" applyFill="1" applyBorder="1" applyAlignment="1">
      <alignment horizontal="center" vertical="center" wrapText="1"/>
    </xf>
    <xf numFmtId="14" fontId="9" fillId="7" borderId="1" xfId="2" applyNumberFormat="1" applyFill="1" applyBorder="1" applyAlignment="1">
      <alignment horizontal="center" vertical="center" wrapText="1"/>
    </xf>
    <xf numFmtId="1" fontId="9" fillId="7" borderId="1" xfId="2" applyNumberFormat="1" applyFill="1" applyBorder="1" applyAlignment="1">
      <alignment horizontal="center" vertical="center" wrapText="1"/>
    </xf>
    <xf numFmtId="164" fontId="9" fillId="7" borderId="1" xfId="6" applyNumberFormat="1" applyFont="1" applyFill="1" applyBorder="1" applyAlignment="1" applyProtection="1">
      <alignment horizontal="center" vertical="center" wrapText="1"/>
      <protection locked="0"/>
    </xf>
    <xf numFmtId="14" fontId="9" fillId="7" borderId="1" xfId="0" applyNumberFormat="1" applyFont="1" applyFill="1" applyBorder="1" applyAlignment="1" applyProtection="1">
      <alignment horizontal="center" vertical="center" wrapText="1"/>
      <protection locked="0"/>
    </xf>
    <xf numFmtId="0" fontId="36" fillId="7" borderId="1" xfId="0" applyFont="1" applyFill="1" applyBorder="1" applyAlignment="1">
      <alignment horizontal="center" vertical="center"/>
    </xf>
    <xf numFmtId="0" fontId="59" fillId="0" borderId="1" xfId="2" applyFont="1" applyBorder="1" applyAlignment="1">
      <alignment horizontal="center" vertical="center" wrapText="1"/>
    </xf>
    <xf numFmtId="0" fontId="59" fillId="0" borderId="1" xfId="0" applyFont="1" applyBorder="1" applyAlignment="1">
      <alignment horizontal="center" vertical="center" wrapText="1"/>
    </xf>
    <xf numFmtId="0" fontId="59" fillId="0" borderId="1" xfId="0" applyFont="1" applyBorder="1" applyAlignment="1" applyProtection="1">
      <alignment horizontal="left" vertical="center" wrapText="1"/>
      <protection locked="0"/>
    </xf>
    <xf numFmtId="15" fontId="59" fillId="0" borderId="1" xfId="0" applyNumberFormat="1" applyFont="1" applyBorder="1" applyAlignment="1" applyProtection="1">
      <alignment horizontal="center" vertical="center" wrapText="1"/>
      <protection locked="0"/>
    </xf>
    <xf numFmtId="1" fontId="59" fillId="0" borderId="1" xfId="0" applyNumberFormat="1" applyFont="1" applyBorder="1" applyAlignment="1" applyProtection="1">
      <alignment horizontal="center" vertical="center" wrapText="1"/>
      <protection locked="0"/>
    </xf>
    <xf numFmtId="164" fontId="59" fillId="0" borderId="1" xfId="6" applyNumberFormat="1" applyFont="1" applyFill="1" applyBorder="1" applyAlignment="1" applyProtection="1">
      <alignment horizontal="left" vertical="center" wrapText="1"/>
      <protection locked="0"/>
    </xf>
    <xf numFmtId="14" fontId="59" fillId="0" borderId="1" xfId="0" applyNumberFormat="1" applyFont="1" applyBorder="1" applyAlignment="1" applyProtection="1">
      <alignment horizontal="left" vertical="center" wrapText="1"/>
      <protection locked="0"/>
    </xf>
    <xf numFmtId="14" fontId="59" fillId="0" borderId="1" xfId="0" applyNumberFormat="1" applyFont="1" applyBorder="1" applyAlignment="1" applyProtection="1">
      <alignment horizontal="center" vertical="center" wrapText="1"/>
      <protection locked="0"/>
    </xf>
    <xf numFmtId="0" fontId="59" fillId="0" borderId="1" xfId="0" applyFont="1" applyBorder="1" applyAlignment="1" applyProtection="1">
      <alignment horizontal="center" vertical="center" wrapText="1"/>
      <protection locked="0"/>
    </xf>
    <xf numFmtId="167" fontId="59" fillId="0" borderId="1" xfId="6" applyNumberFormat="1" applyFont="1" applyFill="1" applyBorder="1" applyAlignment="1" applyProtection="1">
      <alignment horizontal="center" vertical="center" wrapText="1"/>
      <protection locked="0"/>
    </xf>
    <xf numFmtId="167" fontId="59" fillId="0" borderId="1" xfId="6" applyNumberFormat="1" applyFont="1" applyFill="1" applyBorder="1" applyAlignment="1">
      <alignment horizontal="center" vertical="center"/>
    </xf>
    <xf numFmtId="164" fontId="59" fillId="0" borderId="1" xfId="6" applyNumberFormat="1" applyFont="1" applyFill="1" applyBorder="1" applyAlignment="1">
      <alignment horizontal="left" vertical="center" wrapText="1"/>
    </xf>
    <xf numFmtId="167" fontId="59" fillId="0" borderId="1" xfId="6" applyNumberFormat="1" applyFont="1" applyFill="1" applyBorder="1" applyAlignment="1">
      <alignment horizontal="center" vertical="center" wrapText="1"/>
    </xf>
    <xf numFmtId="1" fontId="59" fillId="0" borderId="1" xfId="0" applyNumberFormat="1" applyFont="1" applyBorder="1" applyAlignment="1">
      <alignment horizontal="center" vertical="center" wrapText="1"/>
    </xf>
    <xf numFmtId="2" fontId="59" fillId="0" borderId="1" xfId="0" applyNumberFormat="1" applyFont="1" applyBorder="1" applyAlignment="1" applyProtection="1">
      <alignment horizontal="center" vertical="center" wrapText="1"/>
      <protection locked="0"/>
    </xf>
    <xf numFmtId="15" fontId="59" fillId="0" borderId="1" xfId="0" quotePrefix="1" applyNumberFormat="1" applyFont="1" applyBorder="1" applyAlignment="1" applyProtection="1">
      <alignment horizontal="center" vertical="center" wrapText="1"/>
      <protection locked="0"/>
    </xf>
    <xf numFmtId="0" fontId="62" fillId="0" borderId="1" xfId="0" applyFont="1" applyBorder="1" applyAlignment="1">
      <alignment horizontal="center" vertical="center"/>
    </xf>
    <xf numFmtId="0" fontId="59" fillId="0" borderId="1" xfId="0" applyFont="1" applyBorder="1" applyAlignment="1">
      <alignment vertical="center" wrapText="1"/>
    </xf>
    <xf numFmtId="0" fontId="62" fillId="0" borderId="1" xfId="0" applyFont="1" applyBorder="1" applyAlignment="1">
      <alignment vertical="center"/>
    </xf>
    <xf numFmtId="43" fontId="62" fillId="0" borderId="1" xfId="6" applyNumberFormat="1" applyFont="1" applyFill="1" applyBorder="1" applyAlignment="1">
      <alignment horizontal="right" vertical="center"/>
    </xf>
    <xf numFmtId="15" fontId="9" fillId="0" borderId="1" xfId="0" applyNumberFormat="1" applyFont="1" applyBorder="1" applyAlignment="1" applyProtection="1">
      <alignment horizontal="center" vertical="center" wrapText="1"/>
      <protection locked="0"/>
    </xf>
    <xf numFmtId="164" fontId="9" fillId="0" borderId="1" xfId="6" applyNumberFormat="1" applyFont="1" applyFill="1" applyBorder="1" applyAlignment="1" applyProtection="1">
      <alignment horizontal="left" vertical="center" wrapText="1"/>
      <protection locked="0"/>
    </xf>
    <xf numFmtId="164" fontId="9" fillId="0" borderId="1" xfId="6" applyNumberFormat="1" applyFont="1" applyFill="1" applyBorder="1" applyAlignment="1" applyProtection="1">
      <alignment horizontal="right" vertical="center" wrapText="1"/>
      <protection locked="0"/>
    </xf>
    <xf numFmtId="0" fontId="57" fillId="0" borderId="1" xfId="0" applyFont="1" applyBorder="1" applyAlignment="1">
      <alignment horizontal="left" vertical="center" wrapText="1"/>
    </xf>
    <xf numFmtId="0" fontId="36" fillId="0" borderId="1" xfId="0" applyFont="1" applyBorder="1" applyAlignment="1">
      <alignment vertical="center"/>
    </xf>
    <xf numFmtId="15" fontId="9" fillId="0" borderId="1" xfId="0" quotePrefix="1" applyNumberFormat="1" applyFont="1" applyBorder="1" applyAlignment="1" applyProtection="1">
      <alignment horizontal="center" vertical="center" wrapText="1"/>
      <protection locked="0"/>
    </xf>
    <xf numFmtId="0" fontId="36" fillId="0" borderId="1" xfId="0" applyFont="1" applyBorder="1" applyAlignment="1">
      <alignment horizontal="left" vertical="center" wrapText="1"/>
    </xf>
    <xf numFmtId="43" fontId="36" fillId="0" borderId="1" xfId="6" applyNumberFormat="1" applyFont="1" applyFill="1" applyBorder="1" applyAlignment="1">
      <alignment horizontal="right" vertical="center"/>
    </xf>
    <xf numFmtId="164" fontId="9" fillId="0" borderId="1" xfId="0" applyNumberFormat="1" applyFont="1" applyBorder="1" applyAlignment="1" applyProtection="1">
      <alignment horizontal="right" vertical="center" wrapText="1"/>
      <protection locked="0"/>
    </xf>
    <xf numFmtId="0" fontId="9" fillId="0" borderId="1" xfId="0" applyFont="1" applyBorder="1" applyAlignment="1">
      <alignment vertical="center" wrapText="1"/>
    </xf>
    <xf numFmtId="164" fontId="9" fillId="0" borderId="1" xfId="6" applyNumberFormat="1" applyFont="1" applyFill="1" applyBorder="1" applyAlignment="1">
      <alignment horizontal="right" vertical="center" wrapText="1"/>
    </xf>
    <xf numFmtId="0" fontId="36" fillId="0" borderId="1" xfId="0" applyFont="1" applyBorder="1" applyAlignment="1">
      <alignment vertical="center" wrapText="1"/>
    </xf>
    <xf numFmtId="14" fontId="9" fillId="0" borderId="1" xfId="0" applyNumberFormat="1" applyFont="1" applyBorder="1" applyAlignment="1">
      <alignment horizontal="left" vertical="center" wrapText="1"/>
    </xf>
    <xf numFmtId="0" fontId="9" fillId="0" borderId="3" xfId="2" applyBorder="1" applyAlignment="1">
      <alignment horizontal="center" vertical="center" wrapText="1"/>
    </xf>
    <xf numFmtId="0" fontId="9" fillId="0" borderId="3" xfId="0" applyFont="1" applyBorder="1" applyAlignment="1">
      <alignment horizontal="center" vertical="center" wrapText="1"/>
    </xf>
    <xf numFmtId="14" fontId="9" fillId="0" borderId="1" xfId="0" quotePrefix="1" applyNumberFormat="1" applyFont="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71" fontId="36" fillId="0" borderId="1" xfId="6" applyNumberFormat="1" applyFont="1" applyFill="1" applyBorder="1" applyAlignment="1">
      <alignment horizontal="right" vertical="center"/>
    </xf>
    <xf numFmtId="165" fontId="9" fillId="0" borderId="1" xfId="2" applyNumberFormat="1" applyBorder="1" applyAlignment="1">
      <alignment horizontal="center" vertical="center" wrapText="1"/>
    </xf>
    <xf numFmtId="0" fontId="9" fillId="0" borderId="0" xfId="0" applyFont="1" applyAlignment="1">
      <alignment horizontal="left" vertical="center" wrapText="1"/>
    </xf>
    <xf numFmtId="0" fontId="53" fillId="0" borderId="1" xfId="2" applyFont="1" applyBorder="1" applyAlignment="1">
      <alignment horizontal="center" vertical="center" wrapText="1"/>
    </xf>
    <xf numFmtId="169" fontId="9" fillId="0" borderId="1" xfId="2" applyNumberFormat="1" applyBorder="1" applyAlignment="1">
      <alignment horizontal="center" vertical="center" wrapText="1"/>
    </xf>
    <xf numFmtId="0" fontId="9" fillId="0" borderId="0" xfId="0" applyFont="1" applyAlignment="1">
      <alignment horizontal="center" vertical="center" wrapText="1"/>
    </xf>
    <xf numFmtId="0" fontId="9" fillId="0" borderId="7" xfId="2" applyBorder="1" applyAlignment="1">
      <alignment horizontal="center" vertical="center" wrapText="1"/>
    </xf>
    <xf numFmtId="169" fontId="9" fillId="0" borderId="0" xfId="0" applyNumberFormat="1" applyFont="1" applyAlignment="1" applyProtection="1">
      <alignment horizontal="center" vertical="center" wrapText="1"/>
      <protection locked="0"/>
    </xf>
    <xf numFmtId="169" fontId="9" fillId="0" borderId="1" xfId="0" applyNumberFormat="1" applyFont="1" applyBorder="1" applyAlignment="1">
      <alignment horizontal="center" vertical="center" wrapText="1"/>
    </xf>
    <xf numFmtId="169" fontId="9" fillId="0" borderId="7" xfId="0" applyNumberFormat="1" applyFont="1" applyBorder="1" applyAlignment="1" applyProtection="1">
      <alignment horizontal="center" vertical="center" wrapText="1"/>
      <protection locked="0"/>
    </xf>
    <xf numFmtId="0" fontId="9" fillId="0" borderId="7" xfId="2" applyBorder="1" applyAlignment="1">
      <alignment horizontal="left" vertical="center" wrapText="1"/>
    </xf>
    <xf numFmtId="0" fontId="9" fillId="0" borderId="8" xfId="0" applyFont="1" applyBorder="1" applyAlignment="1" applyProtection="1">
      <alignment horizontal="left" vertical="center" wrapText="1"/>
      <protection locked="0"/>
    </xf>
    <xf numFmtId="1" fontId="9" fillId="0" borderId="8" xfId="0" applyNumberFormat="1" applyFont="1" applyBorder="1" applyAlignment="1" applyProtection="1">
      <alignment horizontal="center" vertical="center" wrapText="1"/>
      <protection locked="0"/>
    </xf>
    <xf numFmtId="164" fontId="9" fillId="0" borderId="8" xfId="6" applyNumberFormat="1" applyFont="1" applyFill="1" applyBorder="1" applyAlignment="1" applyProtection="1">
      <alignment horizontal="right" vertical="center" wrapText="1"/>
      <protection locked="0"/>
    </xf>
    <xf numFmtId="0" fontId="9" fillId="0" borderId="8" xfId="0" applyFont="1" applyBorder="1" applyAlignment="1" applyProtection="1">
      <alignment horizontal="left" vertical="top" wrapText="1"/>
      <protection locked="0"/>
    </xf>
    <xf numFmtId="14" fontId="36" fillId="0" borderId="1" xfId="0" applyNumberFormat="1" applyFont="1" applyBorder="1" applyAlignment="1" applyProtection="1">
      <alignment horizontal="center" vertical="center" wrapText="1"/>
      <protection locked="0"/>
    </xf>
    <xf numFmtId="0" fontId="36" fillId="0" borderId="1" xfId="0" applyFont="1" applyBorder="1" applyAlignment="1">
      <alignment horizontal="left" wrapText="1"/>
    </xf>
    <xf numFmtId="14" fontId="36" fillId="0" borderId="1" xfId="0" applyNumberFormat="1" applyFont="1" applyBorder="1" applyAlignment="1">
      <alignment horizontal="center" vertical="center"/>
    </xf>
    <xf numFmtId="164" fontId="9" fillId="0" borderId="1" xfId="0" applyNumberFormat="1" applyFont="1" applyBorder="1" applyAlignment="1" applyProtection="1">
      <alignment horizontal="center" vertical="center" wrapText="1"/>
      <protection locked="0"/>
    </xf>
    <xf numFmtId="0" fontId="9" fillId="0" borderId="7" xfId="0" applyFont="1" applyBorder="1" applyAlignment="1">
      <alignment horizontal="left" vertical="center" wrapText="1"/>
    </xf>
    <xf numFmtId="14" fontId="9" fillId="0" borderId="7" xfId="0" applyNumberFormat="1" applyFont="1" applyBorder="1" applyAlignment="1">
      <alignment horizontal="center" vertical="center" wrapText="1"/>
    </xf>
    <xf numFmtId="0" fontId="9" fillId="0" borderId="1" xfId="6" applyNumberFormat="1" applyFont="1" applyFill="1" applyBorder="1" applyAlignment="1">
      <alignment horizontal="center" vertical="center" wrapText="1"/>
    </xf>
    <xf numFmtId="0" fontId="9" fillId="0" borderId="0" xfId="0" applyFont="1" applyAlignment="1" applyProtection="1">
      <alignment horizontal="left" vertical="center" wrapText="1"/>
      <protection locked="0"/>
    </xf>
    <xf numFmtId="0" fontId="9" fillId="0" borderId="1" xfId="2" applyBorder="1" applyAlignment="1" applyProtection="1">
      <alignment horizontal="left" vertical="center" wrapText="1"/>
      <protection locked="0"/>
    </xf>
    <xf numFmtId="0" fontId="36" fillId="0" borderId="1" xfId="0" applyFont="1" applyBorder="1" applyAlignment="1">
      <alignment horizontal="center" vertical="center" wrapText="1"/>
    </xf>
    <xf numFmtId="0" fontId="36" fillId="0" borderId="1" xfId="0" applyFont="1" applyBorder="1" applyAlignment="1" applyProtection="1">
      <alignment horizontal="center" vertical="center" wrapText="1"/>
      <protection locked="0"/>
    </xf>
    <xf numFmtId="14" fontId="36" fillId="0" borderId="1" xfId="0" applyNumberFormat="1" applyFont="1" applyBorder="1" applyAlignment="1">
      <alignment horizontal="center" vertical="center" wrapText="1"/>
    </xf>
    <xf numFmtId="1" fontId="36" fillId="0" borderId="1" xfId="0" applyNumberFormat="1" applyFont="1" applyBorder="1" applyAlignment="1" applyProtection="1">
      <alignment horizontal="center" vertical="center" wrapText="1"/>
      <protection locked="0"/>
    </xf>
    <xf numFmtId="164" fontId="36" fillId="0" borderId="1" xfId="6" applyNumberFormat="1" applyFont="1" applyFill="1" applyBorder="1" applyAlignment="1" applyProtection="1">
      <alignment horizontal="center" vertical="center" wrapText="1"/>
      <protection locked="0"/>
    </xf>
    <xf numFmtId="0" fontId="36" fillId="0" borderId="1" xfId="2" applyFont="1" applyBorder="1" applyAlignment="1" applyProtection="1">
      <alignment horizontal="center" vertical="center" wrapText="1"/>
      <protection locked="0"/>
    </xf>
    <xf numFmtId="167" fontId="9" fillId="0" borderId="0" xfId="0" applyNumberFormat="1" applyFont="1" applyAlignment="1" applyProtection="1">
      <alignment horizontal="center" vertical="center" wrapText="1"/>
      <protection locked="0"/>
    </xf>
    <xf numFmtId="171" fontId="9" fillId="0" borderId="1" xfId="0" applyNumberFormat="1" applyFont="1" applyBorder="1" applyAlignment="1" applyProtection="1">
      <alignment horizontal="center" vertical="center" wrapText="1"/>
      <protection locked="0"/>
    </xf>
    <xf numFmtId="0" fontId="9" fillId="14" borderId="1" xfId="0" applyFont="1" applyFill="1" applyBorder="1" applyAlignment="1" applyProtection="1">
      <alignment horizontal="left" vertical="center" wrapText="1"/>
      <protection locked="0"/>
    </xf>
    <xf numFmtId="1" fontId="9" fillId="14" borderId="1" xfId="0" applyNumberFormat="1" applyFont="1" applyFill="1" applyBorder="1" applyAlignment="1" applyProtection="1">
      <alignment horizontal="center" vertical="center" wrapText="1"/>
      <protection locked="0"/>
    </xf>
    <xf numFmtId="0" fontId="9" fillId="7" borderId="1" xfId="0" applyFont="1" applyFill="1" applyBorder="1" applyAlignment="1">
      <alignment horizontal="center" vertical="center"/>
    </xf>
    <xf numFmtId="0" fontId="57" fillId="14" borderId="1" xfId="2" applyFont="1" applyFill="1" applyBorder="1" applyAlignment="1">
      <alignment horizontal="center" vertical="center" wrapText="1"/>
    </xf>
    <xf numFmtId="0" fontId="57" fillId="14" borderId="1" xfId="0" applyFont="1" applyFill="1" applyBorder="1" applyAlignment="1">
      <alignment horizontal="center" vertical="center" wrapText="1"/>
    </xf>
    <xf numFmtId="0" fontId="57" fillId="14" borderId="1" xfId="2" applyFont="1" applyFill="1" applyBorder="1" applyAlignment="1">
      <alignment horizontal="left" vertical="center" wrapText="1"/>
    </xf>
    <xf numFmtId="14" fontId="57" fillId="14" borderId="1" xfId="0" applyNumberFormat="1" applyFont="1" applyFill="1" applyBorder="1" applyAlignment="1">
      <alignment horizontal="center" vertical="center" wrapText="1"/>
    </xf>
    <xf numFmtId="14" fontId="57" fillId="14" borderId="1" xfId="2" applyNumberFormat="1" applyFont="1" applyFill="1" applyBorder="1" applyAlignment="1">
      <alignment horizontal="center" vertical="center" wrapText="1"/>
    </xf>
    <xf numFmtId="1" fontId="57" fillId="14" borderId="1" xfId="2" applyNumberFormat="1" applyFont="1" applyFill="1" applyBorder="1" applyAlignment="1">
      <alignment horizontal="center" vertical="center" wrapText="1"/>
    </xf>
    <xf numFmtId="164" fontId="57" fillId="14" borderId="1" xfId="6" applyNumberFormat="1" applyFont="1" applyFill="1" applyBorder="1" applyAlignment="1" applyProtection="1">
      <alignment horizontal="center" vertical="center" wrapText="1"/>
      <protection locked="0"/>
    </xf>
    <xf numFmtId="14" fontId="57" fillId="14" borderId="1" xfId="0" applyNumberFormat="1" applyFont="1" applyFill="1" applyBorder="1" applyAlignment="1" applyProtection="1">
      <alignment horizontal="center" vertical="center" wrapText="1"/>
      <protection locked="0"/>
    </xf>
    <xf numFmtId="0" fontId="57" fillId="14" borderId="1" xfId="6" applyNumberFormat="1" applyFont="1" applyFill="1" applyBorder="1" applyAlignment="1">
      <alignment horizontal="center" vertical="center" wrapText="1"/>
    </xf>
    <xf numFmtId="0" fontId="57" fillId="14" borderId="0" xfId="0" applyFont="1" applyFill="1" applyAlignment="1">
      <alignment horizontal="left" vertical="center" wrapText="1"/>
    </xf>
    <xf numFmtId="0" fontId="36" fillId="0" borderId="1" xfId="2" applyFont="1" applyBorder="1" applyAlignment="1">
      <alignment horizontal="center" vertical="center" wrapText="1"/>
    </xf>
    <xf numFmtId="0" fontId="36" fillId="0" borderId="1" xfId="0" applyFont="1" applyBorder="1" applyAlignment="1" applyProtection="1">
      <alignment horizontal="left" vertical="center" wrapText="1"/>
      <protection locked="0"/>
    </xf>
    <xf numFmtId="14" fontId="9" fillId="0" borderId="0" xfId="0" applyNumberFormat="1" applyFont="1" applyAlignment="1" applyProtection="1">
      <alignment horizontal="center" vertical="center" wrapText="1"/>
      <protection locked="0"/>
    </xf>
    <xf numFmtId="14" fontId="9" fillId="0" borderId="7" xfId="2" applyNumberFormat="1" applyBorder="1" applyAlignment="1">
      <alignment horizontal="center" vertical="center" wrapText="1"/>
    </xf>
    <xf numFmtId="44" fontId="9" fillId="0" borderId="1" xfId="2" applyNumberFormat="1" applyBorder="1" applyAlignment="1">
      <alignment horizontal="center" vertical="center" wrapText="1"/>
    </xf>
    <xf numFmtId="0" fontId="9" fillId="2" borderId="1" xfId="0" applyFont="1" applyFill="1" applyBorder="1" applyAlignment="1">
      <alignment horizontal="center" vertical="center" wrapText="1"/>
    </xf>
    <xf numFmtId="44" fontId="35" fillId="0" borderId="1" xfId="0" applyNumberFormat="1" applyFont="1" applyBorder="1" applyAlignment="1">
      <alignment horizontal="center" vertical="center"/>
    </xf>
    <xf numFmtId="8" fontId="35" fillId="0" borderId="1" xfId="0" applyNumberFormat="1" applyFont="1" applyBorder="1" applyAlignment="1">
      <alignment vertical="center"/>
    </xf>
    <xf numFmtId="164" fontId="9" fillId="0" borderId="1" xfId="0" applyNumberFormat="1" applyFont="1" applyBorder="1" applyAlignment="1" applyProtection="1">
      <alignment horizontal="left" vertical="center" wrapText="1"/>
      <protection locked="0"/>
    </xf>
    <xf numFmtId="1" fontId="9" fillId="0" borderId="7" xfId="2" applyNumberFormat="1" applyBorder="1" applyAlignment="1">
      <alignment horizontal="center" vertical="center" wrapText="1"/>
    </xf>
    <xf numFmtId="16" fontId="9" fillId="0" borderId="1" xfId="2" applyNumberFormat="1" applyBorder="1" applyAlignment="1">
      <alignment horizontal="center" vertical="center" wrapText="1"/>
    </xf>
    <xf numFmtId="167" fontId="9" fillId="7" borderId="1" xfId="6" applyNumberFormat="1" applyFont="1" applyFill="1" applyBorder="1" applyAlignment="1" applyProtection="1">
      <alignment horizontal="center" vertical="center" wrapText="1"/>
      <protection locked="0"/>
    </xf>
    <xf numFmtId="0" fontId="58" fillId="13" borderId="1" xfId="2" applyFont="1" applyFill="1" applyBorder="1" applyAlignment="1">
      <alignment horizontal="left" vertical="center" wrapText="1"/>
    </xf>
    <xf numFmtId="0" fontId="57" fillId="0" borderId="0" xfId="0" applyFont="1" applyAlignment="1">
      <alignment horizontal="left" vertical="center" wrapText="1"/>
    </xf>
    <xf numFmtId="0" fontId="9" fillId="23" borderId="1" xfId="2" applyFill="1" applyBorder="1" applyAlignment="1">
      <alignment horizontal="center" vertical="center" wrapText="1"/>
    </xf>
    <xf numFmtId="0" fontId="9" fillId="23" borderId="1" xfId="0" applyFont="1" applyFill="1" applyBorder="1" applyAlignment="1">
      <alignment horizontal="center" vertical="center" wrapText="1"/>
    </xf>
    <xf numFmtId="0" fontId="9" fillId="23" borderId="1" xfId="0" applyFont="1" applyFill="1" applyBorder="1" applyAlignment="1" applyProtection="1">
      <alignment horizontal="center" vertical="center" wrapText="1"/>
      <protection locked="0"/>
    </xf>
    <xf numFmtId="0" fontId="9" fillId="0" borderId="15" xfId="0" applyFont="1" applyBorder="1" applyAlignment="1">
      <alignment horizontal="center" vertical="center" wrapText="1"/>
    </xf>
    <xf numFmtId="1" fontId="9" fillId="0" borderId="15" xfId="0" applyNumberFormat="1" applyFont="1" applyBorder="1" applyAlignment="1" applyProtection="1">
      <alignment horizontal="center" vertical="center" wrapText="1"/>
      <protection locked="0"/>
    </xf>
    <xf numFmtId="0" fontId="36" fillId="0" borderId="15" xfId="0" applyFont="1" applyBorder="1" applyAlignment="1">
      <alignment horizontal="center" vertical="center"/>
    </xf>
    <xf numFmtId="0" fontId="9" fillId="0" borderId="13" xfId="2" applyBorder="1" applyAlignment="1">
      <alignment horizontal="center" vertical="center" wrapText="1"/>
    </xf>
    <xf numFmtId="0" fontId="9" fillId="0" borderId="13" xfId="0" applyFont="1" applyBorder="1" applyAlignment="1">
      <alignment horizontal="center" vertical="center" wrapText="1"/>
    </xf>
    <xf numFmtId="0" fontId="9" fillId="0" borderId="13" xfId="2" applyBorder="1" applyAlignment="1">
      <alignment horizontal="left" vertical="center" wrapText="1"/>
    </xf>
    <xf numFmtId="14" fontId="9" fillId="0" borderId="13" xfId="0" applyNumberFormat="1" applyFont="1" applyBorder="1" applyAlignment="1">
      <alignment horizontal="center" vertical="center" wrapText="1"/>
    </xf>
    <xf numFmtId="14" fontId="9" fillId="0" borderId="13" xfId="2" applyNumberFormat="1" applyBorder="1" applyAlignment="1">
      <alignment horizontal="center" vertical="center" wrapText="1"/>
    </xf>
    <xf numFmtId="1" fontId="9" fillId="0" borderId="13" xfId="2" applyNumberFormat="1" applyBorder="1" applyAlignment="1">
      <alignment horizontal="center" vertical="center" wrapText="1"/>
    </xf>
    <xf numFmtId="164" fontId="9" fillId="0" borderId="13" xfId="6" applyNumberFormat="1" applyFont="1" applyFill="1" applyBorder="1" applyAlignment="1" applyProtection="1">
      <alignment horizontal="center" vertical="center" wrapText="1"/>
      <protection locked="0"/>
    </xf>
    <xf numFmtId="14" fontId="9" fillId="0" borderId="13" xfId="0" applyNumberFormat="1" applyFont="1" applyBorder="1" applyAlignment="1" applyProtection="1">
      <alignment horizontal="center" vertical="center" wrapText="1"/>
      <protection locked="0"/>
    </xf>
    <xf numFmtId="167" fontId="9" fillId="0" borderId="13" xfId="0" applyNumberFormat="1" applyFont="1" applyBorder="1" applyAlignment="1" applyProtection="1">
      <alignment horizontal="center" vertical="center" wrapText="1"/>
      <protection locked="0"/>
    </xf>
    <xf numFmtId="0" fontId="36" fillId="0" borderId="13" xfId="0" applyFont="1" applyBorder="1" applyAlignment="1">
      <alignment horizontal="center" vertical="center"/>
    </xf>
    <xf numFmtId="0" fontId="36" fillId="0" borderId="8" xfId="0" applyFont="1" applyBorder="1" applyAlignment="1">
      <alignment horizontal="center" vertical="center"/>
    </xf>
    <xf numFmtId="165" fontId="9" fillId="0" borderId="7" xfId="0" applyNumberFormat="1" applyFont="1" applyBorder="1" applyAlignment="1">
      <alignment horizontal="center" vertical="center" wrapText="1"/>
    </xf>
    <xf numFmtId="167" fontId="9" fillId="0" borderId="7" xfId="0" applyNumberFormat="1" applyFont="1" applyBorder="1" applyAlignment="1" applyProtection="1">
      <alignment horizontal="center" vertical="center" wrapText="1"/>
      <protection locked="0"/>
    </xf>
    <xf numFmtId="0" fontId="36" fillId="0" borderId="7" xfId="0" applyFont="1" applyBorder="1" applyAlignment="1">
      <alignment horizontal="center" vertical="center"/>
    </xf>
    <xf numFmtId="0" fontId="9" fillId="24" borderId="1" xfId="0" applyFont="1" applyFill="1" applyBorder="1" applyAlignment="1">
      <alignment horizontal="center" vertical="center" wrapText="1"/>
    </xf>
    <xf numFmtId="167" fontId="67" fillId="5" borderId="1" xfId="0" applyNumberFormat="1" applyFont="1" applyFill="1" applyBorder="1" applyAlignment="1" applyProtection="1">
      <alignment horizontal="center" vertical="center" wrapText="1"/>
      <protection locked="0"/>
    </xf>
    <xf numFmtId="0" fontId="68" fillId="0" borderId="1" xfId="0" applyFont="1" applyBorder="1" applyAlignment="1">
      <alignment horizontal="center" vertical="center"/>
    </xf>
    <xf numFmtId="0" fontId="69" fillId="0" borderId="24" xfId="0" applyFont="1" applyBorder="1" applyAlignment="1">
      <alignment horizontal="center" vertical="center"/>
    </xf>
    <xf numFmtId="0" fontId="69" fillId="0" borderId="5" xfId="0" applyFont="1" applyBorder="1" applyAlignment="1">
      <alignment horizontal="center" vertical="center"/>
    </xf>
    <xf numFmtId="0" fontId="69" fillId="0" borderId="5"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7" xfId="0" applyFont="1" applyBorder="1" applyAlignment="1" applyProtection="1">
      <alignment horizontal="center" vertical="center" wrapText="1"/>
      <protection locked="0"/>
    </xf>
    <xf numFmtId="14" fontId="69" fillId="0" borderId="7" xfId="0" applyNumberFormat="1" applyFont="1" applyBorder="1" applyAlignment="1" applyProtection="1">
      <alignment horizontal="center" vertical="center" wrapText="1"/>
      <protection locked="0"/>
    </xf>
    <xf numFmtId="14" fontId="69" fillId="0" borderId="7" xfId="0" applyNumberFormat="1" applyFont="1" applyBorder="1" applyAlignment="1">
      <alignment horizontal="center" vertical="center" wrapText="1"/>
    </xf>
    <xf numFmtId="0" fontId="69" fillId="0" borderId="15" xfId="0" applyFont="1" applyBorder="1" applyAlignment="1">
      <alignment horizontal="center" vertical="center" wrapText="1"/>
    </xf>
    <xf numFmtId="0" fontId="69" fillId="0" borderId="27" xfId="0" applyFont="1" applyBorder="1" applyAlignment="1" applyProtection="1">
      <alignment horizontal="left" vertical="center" wrapText="1"/>
      <protection locked="0"/>
    </xf>
    <xf numFmtId="0" fontId="69" fillId="0" borderId="27" xfId="0" applyFont="1" applyBorder="1" applyAlignment="1" applyProtection="1">
      <alignment horizontal="center" vertical="center" wrapText="1"/>
      <protection locked="0"/>
    </xf>
    <xf numFmtId="0" fontId="69" fillId="0" borderId="22" xfId="0" applyFont="1" applyBorder="1" applyAlignment="1">
      <alignment horizontal="center" vertical="center"/>
    </xf>
    <xf numFmtId="0" fontId="69" fillId="0" borderId="1" xfId="0" applyFont="1" applyBorder="1" applyAlignment="1">
      <alignment horizontal="center" vertical="center"/>
    </xf>
    <xf numFmtId="0" fontId="69" fillId="0" borderId="3"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1" xfId="0" applyFont="1" applyBorder="1" applyAlignment="1" applyProtection="1">
      <alignment horizontal="center" vertical="center" wrapText="1"/>
      <protection locked="0"/>
    </xf>
    <xf numFmtId="14" fontId="69" fillId="0" borderId="1" xfId="0" applyNumberFormat="1" applyFont="1" applyBorder="1" applyAlignment="1" applyProtection="1">
      <alignment horizontal="center" vertical="center" wrapText="1"/>
      <protection locked="0"/>
    </xf>
    <xf numFmtId="14" fontId="69" fillId="0" borderId="1" xfId="0" applyNumberFormat="1" applyFont="1" applyBorder="1" applyAlignment="1">
      <alignment horizontal="center" vertical="center" wrapText="1"/>
    </xf>
    <xf numFmtId="14" fontId="69" fillId="0" borderId="1" xfId="1" applyNumberFormat="1" applyFont="1" applyBorder="1" applyAlignment="1">
      <alignment horizontal="center" vertical="center" wrapText="1"/>
    </xf>
    <xf numFmtId="0" fontId="69" fillId="0" borderId="2" xfId="1" applyFont="1" applyBorder="1" applyAlignment="1">
      <alignment horizontal="center" vertical="center" wrapText="1"/>
    </xf>
    <xf numFmtId="0" fontId="69" fillId="0" borderId="13" xfId="1" applyFont="1" applyBorder="1" applyAlignment="1">
      <alignment horizontal="center" vertical="center" wrapText="1"/>
    </xf>
    <xf numFmtId="168" fontId="69" fillId="0" borderId="3" xfId="0" applyNumberFormat="1" applyFont="1" applyBorder="1" applyAlignment="1">
      <alignment horizontal="center" vertical="center" wrapText="1"/>
    </xf>
    <xf numFmtId="0" fontId="69" fillId="0" borderId="2" xfId="0" applyFont="1" applyBorder="1" applyAlignment="1" applyProtection="1">
      <alignment horizontal="left" vertical="center" wrapText="1"/>
      <protection locked="0"/>
    </xf>
    <xf numFmtId="0" fontId="69" fillId="0" borderId="13" xfId="0" applyFont="1" applyBorder="1" applyAlignment="1" applyProtection="1">
      <alignment horizontal="left" vertical="center" wrapText="1"/>
      <protection locked="0"/>
    </xf>
    <xf numFmtId="0" fontId="68" fillId="0" borderId="13" xfId="0" applyFont="1" applyBorder="1" applyAlignment="1">
      <alignment horizontal="center" vertical="center"/>
    </xf>
    <xf numFmtId="165" fontId="69" fillId="0" borderId="1" xfId="0" applyNumberFormat="1" applyFont="1" applyBorder="1" applyAlignment="1" applyProtection="1">
      <alignment horizontal="left" vertical="center" wrapText="1"/>
      <protection locked="0"/>
    </xf>
    <xf numFmtId="0" fontId="69" fillId="0" borderId="2" xfId="0" applyFont="1" applyBorder="1" applyAlignment="1">
      <alignment horizontal="center" vertical="center"/>
    </xf>
    <xf numFmtId="0" fontId="69" fillId="0" borderId="13" xfId="0" applyFont="1" applyBorder="1" applyAlignment="1">
      <alignment horizontal="center" vertical="center"/>
    </xf>
    <xf numFmtId="0" fontId="69" fillId="0" borderId="13" xfId="0" applyFont="1" applyBorder="1" applyAlignment="1" applyProtection="1">
      <alignment horizontal="center" vertical="center" wrapText="1"/>
      <protection locked="0"/>
    </xf>
    <xf numFmtId="167" fontId="69" fillId="0" borderId="1" xfId="0" applyNumberFormat="1" applyFont="1" applyBorder="1" applyAlignment="1">
      <alignment horizontal="center" vertical="center"/>
    </xf>
    <xf numFmtId="0" fontId="69" fillId="0" borderId="22" xfId="2" applyFont="1" applyBorder="1" applyAlignment="1">
      <alignment horizontal="center" vertical="center" wrapText="1"/>
    </xf>
    <xf numFmtId="0" fontId="69" fillId="0" borderId="1" xfId="2" applyFont="1" applyBorder="1" applyAlignment="1">
      <alignment horizontal="center" vertical="center" wrapText="1"/>
    </xf>
    <xf numFmtId="0" fontId="69" fillId="0" borderId="3" xfId="0" applyFont="1" applyBorder="1" applyAlignment="1">
      <alignment horizontal="center" vertical="center" wrapText="1"/>
    </xf>
    <xf numFmtId="0" fontId="69" fillId="0" borderId="1" xfId="0" applyFont="1" applyBorder="1" applyAlignment="1">
      <alignment horizontal="left" vertical="center" wrapText="1"/>
    </xf>
    <xf numFmtId="0" fontId="69" fillId="0" borderId="1" xfId="2" applyFont="1" applyBorder="1" applyAlignment="1">
      <alignment horizontal="left" vertical="center" wrapText="1"/>
    </xf>
    <xf numFmtId="0" fontId="69" fillId="0" borderId="1" xfId="0" applyFont="1" applyBorder="1" applyAlignment="1">
      <alignment horizontal="center" vertical="center" wrapText="1"/>
    </xf>
    <xf numFmtId="165" fontId="69" fillId="0" borderId="1" xfId="0" applyNumberFormat="1" applyFont="1" applyBorder="1" applyAlignment="1">
      <alignment horizontal="center" vertical="center" wrapText="1"/>
    </xf>
    <xf numFmtId="1" fontId="69" fillId="0" borderId="2" xfId="0" applyNumberFormat="1" applyFont="1" applyBorder="1" applyAlignment="1" applyProtection="1">
      <alignment horizontal="center" vertical="center" wrapText="1"/>
      <protection locked="0"/>
    </xf>
    <xf numFmtId="1" fontId="69" fillId="0" borderId="13" xfId="0" applyNumberFormat="1" applyFont="1" applyBorder="1" applyAlignment="1" applyProtection="1">
      <alignment horizontal="center" vertical="center" wrapText="1"/>
      <protection locked="0"/>
    </xf>
    <xf numFmtId="14" fontId="69" fillId="0" borderId="3" xfId="0" applyNumberFormat="1" applyFont="1" applyBorder="1" applyAlignment="1" applyProtection="1">
      <alignment horizontal="center" vertical="center" wrapText="1"/>
      <protection locked="0"/>
    </xf>
    <xf numFmtId="0" fontId="69" fillId="0" borderId="6" xfId="0" applyFont="1" applyBorder="1" applyAlignment="1" applyProtection="1">
      <alignment horizontal="left" vertical="center" wrapText="1"/>
      <protection locked="0"/>
    </xf>
    <xf numFmtId="167" fontId="70" fillId="0" borderId="1" xfId="0" applyNumberFormat="1" applyFont="1" applyBorder="1" applyAlignment="1" applyProtection="1">
      <alignment horizontal="center" vertical="center" wrapText="1"/>
      <protection locked="0"/>
    </xf>
    <xf numFmtId="0" fontId="68" fillId="0" borderId="22" xfId="0" applyFont="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3" xfId="0" applyFont="1" applyFill="1" applyBorder="1" applyAlignment="1" applyProtection="1">
      <alignment horizontal="center" vertical="center" wrapText="1"/>
      <protection locked="0"/>
    </xf>
    <xf numFmtId="0" fontId="69" fillId="0" borderId="2" xfId="0" applyFont="1" applyBorder="1" applyAlignment="1" applyProtection="1">
      <alignment horizontal="center" vertical="center"/>
      <protection locked="0"/>
    </xf>
    <xf numFmtId="0" fontId="69" fillId="0" borderId="13" xfId="0" applyFont="1" applyBorder="1" applyAlignment="1" applyProtection="1">
      <alignment horizontal="center" vertical="center"/>
      <protection locked="0"/>
    </xf>
    <xf numFmtId="168" fontId="69" fillId="0" borderId="3" xfId="6" applyNumberFormat="1" applyFont="1" applyFill="1" applyBorder="1" applyAlignment="1" applyProtection="1">
      <alignment horizontal="center" vertical="center" wrapText="1"/>
      <protection locked="0"/>
    </xf>
    <xf numFmtId="0" fontId="68" fillId="0" borderId="3" xfId="0" applyFont="1" applyBorder="1" applyAlignment="1">
      <alignment horizontal="center" vertical="center" wrapText="1"/>
    </xf>
    <xf numFmtId="168" fontId="69" fillId="0" borderId="1" xfId="0" applyNumberFormat="1" applyFont="1" applyBorder="1" applyAlignment="1" applyProtection="1">
      <alignment horizontal="center" vertical="center" wrapText="1"/>
      <protection locked="0"/>
    </xf>
    <xf numFmtId="14" fontId="69" fillId="0" borderId="1" xfId="0" applyNumberFormat="1" applyFont="1" applyBorder="1" applyAlignment="1" applyProtection="1">
      <alignment horizontal="left" vertical="center" wrapText="1"/>
      <protection locked="0"/>
    </xf>
    <xf numFmtId="0" fontId="68" fillId="0" borderId="1" xfId="0" applyFont="1" applyBorder="1" applyAlignment="1" applyProtection="1">
      <alignment horizontal="center" vertical="center"/>
      <protection locked="0"/>
    </xf>
    <xf numFmtId="0" fontId="68" fillId="0" borderId="1" xfId="0" applyFont="1" applyBorder="1" applyAlignment="1">
      <alignment horizontal="left" vertical="center"/>
    </xf>
    <xf numFmtId="0" fontId="68" fillId="0" borderId="1" xfId="0" applyFont="1" applyBorder="1" applyAlignment="1">
      <alignment horizontal="left" vertical="center" wrapText="1"/>
    </xf>
    <xf numFmtId="14" fontId="68" fillId="0" borderId="1" xfId="0" applyNumberFormat="1" applyFont="1" applyBorder="1" applyAlignment="1">
      <alignment horizontal="center" vertical="center"/>
    </xf>
    <xf numFmtId="0" fontId="69" fillId="0" borderId="2" xfId="0" applyFont="1" applyBorder="1" applyAlignment="1" applyProtection="1">
      <alignment horizontal="center" vertical="center" wrapText="1"/>
      <protection locked="0"/>
    </xf>
    <xf numFmtId="0" fontId="68" fillId="0" borderId="13" xfId="0" applyFont="1" applyBorder="1" applyAlignment="1">
      <alignment horizontal="center" vertical="center" wrapText="1"/>
    </xf>
    <xf numFmtId="0" fontId="68" fillId="0" borderId="2" xfId="0" applyFont="1" applyBorder="1" applyAlignment="1">
      <alignment horizontal="center" vertical="center"/>
    </xf>
    <xf numFmtId="14" fontId="68" fillId="0" borderId="1" xfId="6" applyNumberFormat="1" applyFont="1" applyFill="1" applyBorder="1" applyAlignment="1" applyProtection="1">
      <alignment horizontal="left" vertical="center" wrapText="1"/>
      <protection locked="0"/>
    </xf>
    <xf numFmtId="167" fontId="69" fillId="0" borderId="2" xfId="0" applyNumberFormat="1" applyFont="1" applyBorder="1" applyAlignment="1">
      <alignment horizontal="center" vertical="center"/>
    </xf>
    <xf numFmtId="0" fontId="69" fillId="0" borderId="3" xfId="0" applyFont="1" applyBorder="1" applyAlignment="1">
      <alignment horizontal="center" vertical="center"/>
    </xf>
    <xf numFmtId="0" fontId="69" fillId="0" borderId="1" xfId="0" applyFont="1" applyBorder="1" applyAlignment="1">
      <alignment horizontal="left" vertical="center"/>
    </xf>
    <xf numFmtId="14" fontId="69" fillId="0" borderId="2" xfId="0" applyNumberFormat="1" applyFont="1" applyBorder="1" applyAlignment="1" applyProtection="1">
      <alignment horizontal="center" vertical="center" wrapText="1"/>
      <protection locked="0"/>
    </xf>
    <xf numFmtId="168" fontId="69" fillId="0" borderId="1" xfId="0" applyNumberFormat="1" applyFont="1" applyBorder="1" applyAlignment="1">
      <alignment horizontal="center" vertical="center" wrapText="1"/>
    </xf>
    <xf numFmtId="14" fontId="69" fillId="0" borderId="1" xfId="2" applyNumberFormat="1" applyFont="1" applyBorder="1" applyAlignment="1">
      <alignment horizontal="center" vertical="center" wrapText="1"/>
    </xf>
    <xf numFmtId="1" fontId="69" fillId="0" borderId="2" xfId="2" applyNumberFormat="1" applyFont="1" applyBorder="1" applyAlignment="1">
      <alignment horizontal="center" vertical="center" wrapText="1"/>
    </xf>
    <xf numFmtId="1" fontId="69" fillId="0" borderId="13" xfId="2" applyNumberFormat="1" applyFont="1" applyBorder="1" applyAlignment="1">
      <alignment horizontal="center" vertical="center" wrapText="1"/>
    </xf>
    <xf numFmtId="167" fontId="69" fillId="0" borderId="1" xfId="0" applyNumberFormat="1" applyFont="1" applyBorder="1" applyAlignment="1" applyProtection="1">
      <alignment horizontal="center" vertical="center" wrapText="1"/>
      <protection locked="0"/>
    </xf>
    <xf numFmtId="167" fontId="70" fillId="15" borderId="1" xfId="0" applyNumberFormat="1" applyFont="1" applyFill="1" applyBorder="1" applyAlignment="1" applyProtection="1">
      <alignment horizontal="center" vertical="center" wrapText="1"/>
      <protection locked="0"/>
    </xf>
    <xf numFmtId="14" fontId="68" fillId="0" borderId="1" xfId="6" applyNumberFormat="1" applyFont="1" applyFill="1" applyBorder="1" applyAlignment="1">
      <alignment horizontal="left" vertical="center" wrapText="1"/>
    </xf>
    <xf numFmtId="0" fontId="69" fillId="0" borderId="1" xfId="0" applyFont="1" applyBorder="1" applyAlignment="1" applyProtection="1">
      <alignment horizontal="left" vertical="center"/>
      <protection locked="0"/>
    </xf>
    <xf numFmtId="49" fontId="69" fillId="0" borderId="13" xfId="0" applyNumberFormat="1"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168" fontId="69" fillId="0" borderId="1" xfId="0" applyNumberFormat="1" applyFont="1" applyBorder="1" applyAlignment="1" applyProtection="1">
      <alignment horizontal="center" vertical="center"/>
      <protection locked="0"/>
    </xf>
    <xf numFmtId="165" fontId="69" fillId="0" borderId="1" xfId="0" applyNumberFormat="1" applyFont="1" applyBorder="1" applyAlignment="1" applyProtection="1">
      <alignment horizontal="center" vertical="center" wrapText="1"/>
      <protection locked="0"/>
    </xf>
    <xf numFmtId="14" fontId="69" fillId="0" borderId="1" xfId="0" applyNumberFormat="1" applyFont="1" applyBorder="1" applyAlignment="1" applyProtection="1">
      <alignment horizontal="center" vertical="center"/>
      <protection locked="0"/>
    </xf>
    <xf numFmtId="0" fontId="69" fillId="2" borderId="2" xfId="0" applyFont="1" applyFill="1" applyBorder="1" applyAlignment="1" applyProtection="1">
      <alignment horizontal="center" vertical="center" wrapText="1"/>
      <protection locked="0"/>
    </xf>
    <xf numFmtId="168" fontId="69" fillId="0" borderId="1" xfId="6" applyNumberFormat="1" applyFont="1" applyFill="1" applyBorder="1" applyAlignment="1" applyProtection="1">
      <alignment horizontal="center" vertical="center" wrapText="1"/>
      <protection locked="0"/>
    </xf>
    <xf numFmtId="0" fontId="71" fillId="0" borderId="13" xfId="0" applyFont="1" applyBorder="1" applyAlignment="1">
      <alignment horizontal="center" vertical="center"/>
    </xf>
    <xf numFmtId="168" fontId="69" fillId="0" borderId="1" xfId="1" applyNumberFormat="1" applyFont="1" applyBorder="1" applyAlignment="1">
      <alignment horizontal="center" vertical="center"/>
    </xf>
    <xf numFmtId="0" fontId="69" fillId="0" borderId="2" xfId="1" applyFont="1" applyBorder="1" applyAlignment="1">
      <alignment horizontal="center" vertical="center"/>
    </xf>
    <xf numFmtId="0" fontId="69" fillId="0" borderId="13" xfId="1" applyFont="1" applyBorder="1" applyAlignment="1">
      <alignment horizontal="center" vertical="center"/>
    </xf>
    <xf numFmtId="0" fontId="69" fillId="0" borderId="1" xfId="1" applyFont="1" applyBorder="1" applyAlignment="1">
      <alignment horizontal="center" vertical="center" wrapText="1"/>
    </xf>
    <xf numFmtId="14" fontId="68" fillId="0" borderId="1" xfId="0" applyNumberFormat="1" applyFont="1" applyBorder="1" applyAlignment="1">
      <alignment horizontal="left" vertical="center"/>
    </xf>
    <xf numFmtId="0" fontId="69" fillId="0" borderId="0" xfId="0" applyFont="1" applyAlignment="1">
      <alignment horizontal="center" vertical="center"/>
    </xf>
    <xf numFmtId="0" fontId="69" fillId="0" borderId="1" xfId="1" applyFont="1" applyBorder="1" applyAlignment="1" applyProtection="1">
      <alignment horizontal="left" vertical="center" wrapText="1"/>
      <protection locked="0"/>
    </xf>
    <xf numFmtId="0" fontId="69" fillId="2" borderId="1" xfId="0" applyFont="1" applyFill="1" applyBorder="1" applyAlignment="1" applyProtection="1">
      <alignment horizontal="left" vertical="center" wrapText="1"/>
      <protection locked="0"/>
    </xf>
    <xf numFmtId="0" fontId="68" fillId="0" borderId="3" xfId="0" applyFont="1" applyBorder="1" applyAlignment="1">
      <alignment horizontal="center" vertical="center"/>
    </xf>
    <xf numFmtId="168" fontId="69" fillId="2" borderId="1" xfId="0" applyNumberFormat="1" applyFont="1" applyFill="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69" fillId="0" borderId="3" xfId="0" applyFont="1" applyBorder="1" applyAlignment="1" applyProtection="1">
      <alignment horizontal="center" vertical="center"/>
      <protection locked="0"/>
    </xf>
    <xf numFmtId="0" fontId="69" fillId="0" borderId="8" xfId="0" applyFont="1" applyBorder="1" applyAlignment="1" applyProtection="1">
      <alignment horizontal="center" vertical="center"/>
      <protection locked="0"/>
    </xf>
    <xf numFmtId="0" fontId="69" fillId="0" borderId="8" xfId="0" applyFont="1" applyBorder="1" applyAlignment="1" applyProtection="1">
      <alignment horizontal="left" vertical="center" wrapText="1"/>
      <protection locked="0"/>
    </xf>
    <xf numFmtId="14" fontId="69" fillId="0" borderId="8" xfId="0" applyNumberFormat="1"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8" fillId="0" borderId="8" xfId="0" applyFont="1" applyBorder="1" applyAlignment="1">
      <alignment horizontal="center" vertical="center"/>
    </xf>
    <xf numFmtId="14" fontId="69" fillId="0" borderId="8" xfId="0" applyNumberFormat="1" applyFont="1" applyBorder="1" applyAlignment="1">
      <alignment horizontal="center" vertical="center" wrapText="1"/>
    </xf>
    <xf numFmtId="14" fontId="69" fillId="0" borderId="13" xfId="0" applyNumberFormat="1" applyFont="1" applyBorder="1" applyAlignment="1" applyProtection="1">
      <alignment horizontal="center" vertical="center" wrapText="1"/>
      <protection locked="0"/>
    </xf>
    <xf numFmtId="168" fontId="69" fillId="0" borderId="13" xfId="0" applyNumberFormat="1" applyFont="1" applyBorder="1" applyAlignment="1" applyProtection="1">
      <alignment horizontal="center" vertical="center" wrapText="1"/>
      <protection locked="0"/>
    </xf>
    <xf numFmtId="0" fontId="69" fillId="0" borderId="13" xfId="0" applyFont="1" applyBorder="1" applyAlignment="1">
      <alignment horizontal="center" vertical="center" wrapText="1"/>
    </xf>
    <xf numFmtId="167" fontId="69" fillId="0" borderId="13" xfId="0" applyNumberFormat="1" applyFont="1" applyBorder="1" applyAlignment="1" applyProtection="1">
      <alignment horizontal="center" vertical="center" wrapText="1"/>
      <protection locked="0"/>
    </xf>
    <xf numFmtId="166" fontId="69" fillId="0" borderId="1" xfId="0" applyNumberFormat="1" applyFont="1" applyBorder="1" applyAlignment="1" applyProtection="1">
      <alignment horizontal="center" vertical="center" wrapText="1"/>
      <protection locked="0"/>
    </xf>
    <xf numFmtId="49" fontId="69" fillId="0" borderId="13" xfId="0" applyNumberFormat="1" applyFont="1" applyBorder="1" applyAlignment="1" applyProtection="1">
      <alignment horizontal="center" vertical="center"/>
      <protection locked="0"/>
    </xf>
    <xf numFmtId="0" fontId="69" fillId="0" borderId="0" xfId="0" applyFont="1" applyAlignment="1" applyProtection="1">
      <alignment horizontal="center" vertical="center"/>
      <protection locked="0"/>
    </xf>
    <xf numFmtId="1" fontId="69" fillId="0" borderId="3" xfId="0" applyNumberFormat="1" applyFont="1" applyBorder="1" applyAlignment="1">
      <alignment horizontal="center" vertical="center" wrapText="1"/>
    </xf>
    <xf numFmtId="0" fontId="69" fillId="2" borderId="1" xfId="0" applyFont="1" applyFill="1" applyBorder="1" applyAlignment="1" applyProtection="1">
      <alignment horizontal="left" vertical="center"/>
      <protection locked="0"/>
    </xf>
    <xf numFmtId="0" fontId="68" fillId="0" borderId="1" xfId="0" applyFont="1" applyBorder="1" applyAlignment="1">
      <alignment horizontal="center" vertical="center" wrapText="1"/>
    </xf>
    <xf numFmtId="0" fontId="69" fillId="0" borderId="2" xfId="2" applyFont="1" applyBorder="1" applyAlignment="1">
      <alignment horizontal="center" vertical="center" wrapText="1"/>
    </xf>
    <xf numFmtId="0" fontId="69" fillId="11" borderId="1" xfId="0" applyFont="1" applyFill="1" applyBorder="1" applyAlignment="1" applyProtection="1">
      <alignment horizontal="center" vertical="center" wrapText="1"/>
      <protection locked="0"/>
    </xf>
    <xf numFmtId="14" fontId="69" fillId="11" borderId="1" xfId="0" applyNumberFormat="1" applyFont="1" applyFill="1" applyBorder="1" applyAlignment="1" applyProtection="1">
      <alignment horizontal="center" vertical="center" wrapText="1"/>
      <protection locked="0"/>
    </xf>
    <xf numFmtId="14" fontId="69" fillId="11" borderId="1" xfId="0" applyNumberFormat="1" applyFont="1" applyFill="1" applyBorder="1" applyAlignment="1">
      <alignment horizontal="center" vertical="center" wrapText="1"/>
    </xf>
    <xf numFmtId="168" fontId="69" fillId="0" borderId="0" xfId="0" applyNumberFormat="1" applyFont="1" applyAlignment="1" applyProtection="1">
      <alignment horizontal="center" vertical="center" wrapText="1"/>
      <protection locked="0"/>
    </xf>
    <xf numFmtId="168" fontId="69" fillId="0" borderId="13" xfId="6"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protection locked="0"/>
    </xf>
    <xf numFmtId="8" fontId="68" fillId="0" borderId="1" xfId="0" applyNumberFormat="1" applyFont="1" applyBorder="1" applyAlignment="1">
      <alignment horizontal="center" vertical="center"/>
    </xf>
    <xf numFmtId="0" fontId="69" fillId="0" borderId="2" xfId="0" applyFont="1" applyBorder="1" applyAlignment="1">
      <alignment horizontal="center" vertical="center" wrapText="1"/>
    </xf>
    <xf numFmtId="0" fontId="71" fillId="0" borderId="1" xfId="0" applyFont="1" applyBorder="1" applyAlignment="1" applyProtection="1">
      <alignment horizontal="left" vertical="center" wrapText="1"/>
      <protection locked="0"/>
    </xf>
    <xf numFmtId="167" fontId="69" fillId="0" borderId="8" xfId="0" applyNumberFormat="1" applyFont="1" applyBorder="1" applyAlignment="1" applyProtection="1">
      <alignment horizontal="center" vertical="center" wrapText="1"/>
      <protection locked="0"/>
    </xf>
    <xf numFmtId="1" fontId="69" fillId="0" borderId="2" xfId="0" applyNumberFormat="1" applyFont="1" applyBorder="1" applyAlignment="1">
      <alignment horizontal="center" vertical="center" wrapText="1"/>
    </xf>
    <xf numFmtId="0" fontId="69" fillId="14" borderId="22" xfId="2" applyFont="1" applyFill="1" applyBorder="1" applyAlignment="1">
      <alignment horizontal="center" vertical="center" wrapText="1"/>
    </xf>
    <xf numFmtId="0" fontId="69" fillId="14" borderId="1" xfId="2" applyFont="1" applyFill="1" applyBorder="1" applyAlignment="1">
      <alignment horizontal="center" vertical="center" wrapText="1"/>
    </xf>
    <xf numFmtId="0" fontId="69" fillId="14" borderId="3" xfId="0" applyFont="1" applyFill="1" applyBorder="1" applyAlignment="1">
      <alignment horizontal="center" vertical="center" wrapText="1"/>
    </xf>
    <xf numFmtId="0" fontId="69" fillId="14" borderId="1" xfId="0" applyFont="1" applyFill="1" applyBorder="1" applyAlignment="1">
      <alignment horizontal="left" vertical="center" wrapText="1"/>
    </xf>
    <xf numFmtId="0" fontId="69" fillId="14" borderId="1" xfId="2" applyFont="1" applyFill="1" applyBorder="1" applyAlignment="1">
      <alignment horizontal="left" vertical="center" wrapText="1"/>
    </xf>
    <xf numFmtId="0" fontId="69" fillId="14" borderId="1" xfId="0" applyFont="1" applyFill="1" applyBorder="1" applyAlignment="1">
      <alignment horizontal="center" vertical="center" wrapText="1"/>
    </xf>
    <xf numFmtId="165" fontId="69" fillId="14" borderId="1" xfId="0" applyNumberFormat="1" applyFont="1" applyFill="1" applyBorder="1" applyAlignment="1">
      <alignment horizontal="center" vertical="center" wrapText="1"/>
    </xf>
    <xf numFmtId="14" fontId="69" fillId="14" borderId="1" xfId="0" applyNumberFormat="1" applyFont="1" applyFill="1" applyBorder="1" applyAlignment="1">
      <alignment horizontal="center" vertical="center" wrapText="1"/>
    </xf>
    <xf numFmtId="14" fontId="69" fillId="14" borderId="1" xfId="2" applyNumberFormat="1" applyFont="1" applyFill="1" applyBorder="1" applyAlignment="1">
      <alignment horizontal="center" vertical="center" wrapText="1"/>
    </xf>
    <xf numFmtId="1" fontId="69" fillId="14" borderId="2" xfId="2" applyNumberFormat="1" applyFont="1" applyFill="1" applyBorder="1" applyAlignment="1">
      <alignment horizontal="center" vertical="center" wrapText="1"/>
    </xf>
    <xf numFmtId="14" fontId="69" fillId="14" borderId="1" xfId="0" applyNumberFormat="1" applyFont="1" applyFill="1" applyBorder="1" applyAlignment="1" applyProtection="1">
      <alignment horizontal="center" vertical="center" wrapText="1"/>
      <protection locked="0"/>
    </xf>
    <xf numFmtId="167" fontId="69" fillId="14" borderId="1" xfId="0" applyNumberFormat="1" applyFont="1" applyFill="1" applyBorder="1" applyAlignment="1" applyProtection="1">
      <alignment horizontal="center" vertical="center" wrapText="1"/>
      <protection locked="0"/>
    </xf>
    <xf numFmtId="14" fontId="68" fillId="14" borderId="1" xfId="6" applyNumberFormat="1" applyFont="1" applyFill="1" applyBorder="1" applyAlignment="1">
      <alignment horizontal="left" vertical="center" wrapText="1"/>
    </xf>
    <xf numFmtId="1" fontId="69" fillId="14" borderId="13" xfId="2" applyNumberFormat="1" applyFont="1" applyFill="1" applyBorder="1" applyAlignment="1">
      <alignment horizontal="center" vertical="center" wrapText="1"/>
    </xf>
    <xf numFmtId="14" fontId="69" fillId="14" borderId="3" xfId="0" applyNumberFormat="1" applyFont="1" applyFill="1" applyBorder="1" applyAlignment="1" applyProtection="1">
      <alignment horizontal="center" vertical="center" wrapText="1"/>
      <protection locked="0"/>
    </xf>
    <xf numFmtId="14" fontId="69" fillId="2" borderId="1" xfId="0" applyNumberFormat="1" applyFont="1" applyFill="1" applyBorder="1" applyAlignment="1" applyProtection="1">
      <alignment horizontal="center" vertical="center" wrapText="1"/>
      <protection locked="0"/>
    </xf>
    <xf numFmtId="0" fontId="69" fillId="2" borderId="2" xfId="0" applyFont="1" applyFill="1" applyBorder="1" applyAlignment="1" applyProtection="1">
      <alignment horizontal="center" vertical="center"/>
      <protection locked="0"/>
    </xf>
    <xf numFmtId="49" fontId="69" fillId="2" borderId="13" xfId="0" applyNumberFormat="1" applyFont="1" applyFill="1" applyBorder="1" applyAlignment="1" applyProtection="1">
      <alignment horizontal="center" vertical="center" wrapText="1"/>
      <protection locked="0"/>
    </xf>
    <xf numFmtId="14" fontId="68" fillId="0" borderId="1" xfId="0" applyNumberFormat="1" applyFont="1" applyBorder="1" applyAlignment="1" applyProtection="1">
      <alignment horizontal="left" vertical="center" wrapText="1"/>
      <protection locked="0"/>
    </xf>
    <xf numFmtId="14" fontId="68" fillId="0" borderId="1" xfId="2" applyNumberFormat="1" applyFont="1" applyBorder="1" applyAlignment="1">
      <alignment horizontal="left" vertical="center" wrapText="1"/>
    </xf>
    <xf numFmtId="14" fontId="68" fillId="0" borderId="1" xfId="0" applyNumberFormat="1" applyFont="1" applyBorder="1" applyAlignment="1" applyProtection="1">
      <alignment horizontal="center" vertical="center"/>
      <protection locked="0"/>
    </xf>
    <xf numFmtId="49" fontId="69" fillId="0" borderId="3" xfId="0" applyNumberFormat="1" applyFont="1" applyBorder="1" applyAlignment="1" applyProtection="1">
      <alignment horizontal="center" vertical="center" wrapText="1"/>
      <protection locked="0"/>
    </xf>
    <xf numFmtId="0" fontId="69" fillId="12" borderId="1" xfId="0" applyFont="1" applyFill="1" applyBorder="1" applyAlignment="1" applyProtection="1">
      <alignment horizontal="center" vertical="center" wrapText="1"/>
      <protection locked="0"/>
    </xf>
    <xf numFmtId="0" fontId="69" fillId="1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14" fontId="69" fillId="2" borderId="1" xfId="1" applyNumberFormat="1" applyFont="1" applyFill="1" applyBorder="1" applyAlignment="1">
      <alignment horizontal="center" vertical="center" wrapText="1"/>
    </xf>
    <xf numFmtId="165" fontId="69" fillId="12" borderId="1" xfId="0" applyNumberFormat="1" applyFont="1" applyFill="1" applyBorder="1" applyAlignment="1">
      <alignment horizontal="center" vertical="center" wrapText="1"/>
    </xf>
    <xf numFmtId="0" fontId="68" fillId="0" borderId="24" xfId="0" applyFont="1" applyBorder="1" applyAlignment="1">
      <alignment horizontal="center" vertical="center"/>
    </xf>
    <xf numFmtId="0" fontId="69" fillId="0" borderId="7" xfId="0" applyFont="1" applyBorder="1" applyAlignment="1" applyProtection="1">
      <alignment horizontal="center" vertical="center"/>
      <protection locked="0"/>
    </xf>
    <xf numFmtId="0" fontId="69" fillId="0" borderId="0" xfId="0" applyFont="1" applyAlignment="1" applyProtection="1">
      <alignment horizontal="center" vertical="center" wrapText="1"/>
      <protection locked="0"/>
    </xf>
    <xf numFmtId="0" fontId="69" fillId="12" borderId="7" xfId="0" applyFont="1" applyFill="1" applyBorder="1" applyAlignment="1" applyProtection="1">
      <alignment horizontal="center" vertical="center"/>
      <protection locked="0"/>
    </xf>
    <xf numFmtId="0" fontId="69" fillId="0" borderId="6" xfId="0" applyFont="1" applyBorder="1" applyAlignment="1" applyProtection="1">
      <alignment horizontal="center" vertical="center"/>
      <protection locked="0"/>
    </xf>
    <xf numFmtId="166" fontId="69" fillId="12" borderId="1" xfId="0" applyNumberFormat="1" applyFont="1" applyFill="1" applyBorder="1" applyAlignment="1" applyProtection="1">
      <alignment horizontal="center" vertical="center" wrapText="1"/>
      <protection locked="0"/>
    </xf>
    <xf numFmtId="165" fontId="69" fillId="0" borderId="7" xfId="0" applyNumberFormat="1" applyFont="1" applyBorder="1" applyAlignment="1" applyProtection="1">
      <alignment horizontal="center" vertical="center" wrapText="1"/>
      <protection locked="0"/>
    </xf>
    <xf numFmtId="165" fontId="69" fillId="12" borderId="1" xfId="0" applyNumberFormat="1" applyFont="1" applyFill="1" applyBorder="1" applyAlignment="1" applyProtection="1">
      <alignment horizontal="center" vertical="center" wrapText="1"/>
      <protection locked="0"/>
    </xf>
    <xf numFmtId="168" fontId="69" fillId="2" borderId="1" xfId="0" applyNumberFormat="1" applyFont="1" applyFill="1" applyBorder="1" applyAlignment="1" applyProtection="1">
      <alignment horizontal="center" vertical="center"/>
      <protection locked="0"/>
    </xf>
    <xf numFmtId="168" fontId="69" fillId="2" borderId="13" xfId="0" applyNumberFormat="1" applyFont="1" applyFill="1" applyBorder="1" applyAlignment="1" applyProtection="1">
      <alignment horizontal="center" vertical="center" wrapText="1"/>
      <protection locked="0"/>
    </xf>
    <xf numFmtId="0" fontId="69" fillId="0" borderId="13" xfId="2" applyFont="1" applyBorder="1" applyAlignment="1">
      <alignment horizontal="left" vertical="center" wrapText="1"/>
    </xf>
    <xf numFmtId="0" fontId="69" fillId="0" borderId="7" xfId="0" applyFont="1" applyBorder="1" applyAlignment="1">
      <alignment horizontal="left" vertical="center" wrapText="1"/>
    </xf>
    <xf numFmtId="0" fontId="69" fillId="0" borderId="7" xfId="2" applyFont="1" applyBorder="1" applyAlignment="1">
      <alignment horizontal="left" vertical="center" wrapText="1"/>
    </xf>
    <xf numFmtId="0" fontId="69" fillId="0" borderId="7" xfId="0" applyFont="1" applyBorder="1" applyAlignment="1">
      <alignment horizontal="center" vertical="center" wrapText="1"/>
    </xf>
    <xf numFmtId="14" fontId="69" fillId="12" borderId="1" xfId="0" applyNumberFormat="1" applyFont="1" applyFill="1" applyBorder="1" applyAlignment="1" applyProtection="1">
      <alignment horizontal="center" vertical="center"/>
      <protection locked="0"/>
    </xf>
    <xf numFmtId="0" fontId="69" fillId="12" borderId="1" xfId="0" applyFont="1" applyFill="1" applyBorder="1" applyAlignment="1">
      <alignment horizontal="center" vertical="center"/>
    </xf>
    <xf numFmtId="14" fontId="69" fillId="0" borderId="2" xfId="0" applyNumberFormat="1" applyFont="1" applyBorder="1" applyAlignment="1" applyProtection="1">
      <alignment horizontal="left" vertical="center" wrapText="1"/>
      <protection locked="0"/>
    </xf>
    <xf numFmtId="1" fontId="69" fillId="0" borderId="1" xfId="0" applyNumberFormat="1" applyFont="1" applyBorder="1" applyAlignment="1">
      <alignment horizontal="center" vertical="center" wrapText="1"/>
    </xf>
    <xf numFmtId="165" fontId="69" fillId="2" borderId="1" xfId="0" applyNumberFormat="1" applyFont="1" applyFill="1" applyBorder="1" applyAlignment="1" applyProtection="1">
      <alignment horizontal="center" vertical="center" wrapText="1"/>
      <protection locked="0"/>
    </xf>
    <xf numFmtId="168" fontId="69" fillId="12" borderId="1" xfId="0" applyNumberFormat="1" applyFont="1" applyFill="1" applyBorder="1" applyAlignment="1" applyProtection="1">
      <alignment horizontal="center" vertical="center" wrapText="1"/>
      <protection locked="0"/>
    </xf>
    <xf numFmtId="0" fontId="69" fillId="10" borderId="22" xfId="2" applyFont="1" applyFill="1" applyBorder="1" applyAlignment="1">
      <alignment horizontal="center" vertical="center" wrapText="1"/>
    </xf>
    <xf numFmtId="0" fontId="69" fillId="10" borderId="1" xfId="2" applyFont="1" applyFill="1" applyBorder="1" applyAlignment="1">
      <alignment horizontal="center" vertical="center" wrapText="1"/>
    </xf>
    <xf numFmtId="0" fontId="69" fillId="10" borderId="3" xfId="0" applyFont="1" applyFill="1" applyBorder="1" applyAlignment="1">
      <alignment horizontal="center" vertical="center" wrapText="1"/>
    </xf>
    <xf numFmtId="0" fontId="69" fillId="10" borderId="1" xfId="0" applyFont="1" applyFill="1" applyBorder="1" applyAlignment="1">
      <alignment horizontal="left" vertical="center" wrapText="1"/>
    </xf>
    <xf numFmtId="0" fontId="69" fillId="10" borderId="1" xfId="2" applyFont="1" applyFill="1" applyBorder="1" applyAlignment="1">
      <alignment horizontal="left" vertical="center" wrapText="1"/>
    </xf>
    <xf numFmtId="0" fontId="69" fillId="10" borderId="1" xfId="0" applyFont="1" applyFill="1" applyBorder="1" applyAlignment="1">
      <alignment horizontal="center" vertical="center" wrapText="1"/>
    </xf>
    <xf numFmtId="165" fontId="69" fillId="10" borderId="1" xfId="0" applyNumberFormat="1" applyFont="1" applyFill="1" applyBorder="1" applyAlignment="1">
      <alignment horizontal="center" vertical="center" wrapText="1"/>
    </xf>
    <xf numFmtId="14" fontId="69" fillId="10" borderId="1" xfId="0" applyNumberFormat="1" applyFont="1" applyFill="1" applyBorder="1" applyAlignment="1">
      <alignment horizontal="center" vertical="center" wrapText="1"/>
    </xf>
    <xf numFmtId="14" fontId="69" fillId="10" borderId="1" xfId="2" applyNumberFormat="1" applyFont="1" applyFill="1" applyBorder="1" applyAlignment="1">
      <alignment horizontal="center" vertical="center" wrapText="1"/>
    </xf>
    <xf numFmtId="1" fontId="69" fillId="10" borderId="2" xfId="2" applyNumberFormat="1" applyFont="1" applyFill="1" applyBorder="1" applyAlignment="1">
      <alignment horizontal="center" vertical="center" wrapText="1"/>
    </xf>
    <xf numFmtId="1" fontId="69" fillId="10" borderId="13" xfId="2" applyNumberFormat="1" applyFont="1" applyFill="1" applyBorder="1" applyAlignment="1">
      <alignment horizontal="center" vertical="center" wrapText="1"/>
    </xf>
    <xf numFmtId="14" fontId="69" fillId="10" borderId="1" xfId="0" applyNumberFormat="1" applyFont="1" applyFill="1" applyBorder="1" applyAlignment="1" applyProtection="1">
      <alignment horizontal="center" vertical="center" wrapText="1"/>
      <protection locked="0"/>
    </xf>
    <xf numFmtId="167" fontId="69" fillId="10" borderId="1" xfId="0" applyNumberFormat="1" applyFont="1" applyFill="1" applyBorder="1" applyAlignment="1" applyProtection="1">
      <alignment horizontal="center" vertical="center" wrapText="1"/>
      <protection locked="0"/>
    </xf>
    <xf numFmtId="167" fontId="70" fillId="10" borderId="1" xfId="0" applyNumberFormat="1" applyFont="1" applyFill="1" applyBorder="1" applyAlignment="1" applyProtection="1">
      <alignment horizontal="center" vertical="center" wrapText="1"/>
      <protection locked="0"/>
    </xf>
    <xf numFmtId="0" fontId="68" fillId="10" borderId="1" xfId="0" applyFont="1" applyFill="1" applyBorder="1" applyAlignment="1">
      <alignment horizontal="center" vertical="center"/>
    </xf>
    <xf numFmtId="0" fontId="71" fillId="0" borderId="1" xfId="0" applyFont="1" applyBorder="1" applyAlignment="1">
      <alignment horizontal="center" vertical="center"/>
    </xf>
    <xf numFmtId="0" fontId="69" fillId="10" borderId="1" xfId="0" applyFont="1" applyFill="1" applyBorder="1" applyAlignment="1" applyProtection="1">
      <alignment horizontal="left" vertical="center" wrapText="1"/>
      <protection locked="0"/>
    </xf>
    <xf numFmtId="14" fontId="68" fillId="0" borderId="1" xfId="6" applyNumberFormat="1" applyFont="1" applyBorder="1" applyAlignment="1">
      <alignment horizontal="left" vertical="center" wrapText="1"/>
    </xf>
    <xf numFmtId="0" fontId="68" fillId="0" borderId="3" xfId="0" applyFont="1" applyBorder="1" applyAlignment="1" applyProtection="1">
      <alignment horizontal="center" vertical="center"/>
      <protection locked="0"/>
    </xf>
    <xf numFmtId="0" fontId="68" fillId="0" borderId="1" xfId="0" applyFont="1" applyBorder="1" applyAlignment="1" applyProtection="1">
      <alignment horizontal="left" vertical="center" wrapText="1"/>
      <protection locked="0"/>
    </xf>
    <xf numFmtId="0" fontId="68" fillId="0" borderId="13" xfId="0" applyFont="1" applyBorder="1" applyAlignment="1" applyProtection="1">
      <alignment horizontal="center" vertical="center" wrapText="1"/>
      <protection locked="0"/>
    </xf>
    <xf numFmtId="165" fontId="69" fillId="6" borderId="1" xfId="0" applyNumberFormat="1" applyFont="1" applyFill="1" applyBorder="1" applyAlignment="1" applyProtection="1">
      <alignment horizontal="center" vertical="center" wrapText="1"/>
      <protection locked="0"/>
    </xf>
    <xf numFmtId="168" fontId="69" fillId="0" borderId="0" xfId="6" applyNumberFormat="1" applyFont="1" applyFill="1" applyBorder="1" applyAlignment="1" applyProtection="1">
      <alignment horizontal="center" vertical="center" wrapText="1"/>
      <protection locked="0"/>
    </xf>
    <xf numFmtId="49" fontId="69" fillId="0" borderId="1" xfId="0" applyNumberFormat="1" applyFont="1" applyBorder="1" applyAlignment="1" applyProtection="1">
      <alignment horizontal="center" vertical="center" wrapText="1"/>
      <protection locked="0"/>
    </xf>
    <xf numFmtId="0" fontId="69" fillId="6" borderId="1"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center" vertical="center"/>
      <protection locked="0"/>
    </xf>
    <xf numFmtId="14" fontId="69" fillId="0" borderId="1" xfId="0" applyNumberFormat="1" applyFont="1" applyBorder="1" applyAlignment="1">
      <alignment horizontal="center" vertical="center"/>
    </xf>
    <xf numFmtId="0" fontId="69" fillId="0" borderId="14" xfId="0" applyFont="1" applyBorder="1" applyAlignment="1" applyProtection="1">
      <alignment horizontal="center" vertical="center" wrapText="1"/>
      <protection locked="0"/>
    </xf>
    <xf numFmtId="0" fontId="68" fillId="0" borderId="0" xfId="0" applyFont="1" applyAlignment="1">
      <alignment horizontal="center" vertical="center"/>
    </xf>
    <xf numFmtId="0" fontId="69" fillId="0" borderId="3" xfId="2" applyFont="1" applyBorder="1" applyAlignment="1">
      <alignment horizontal="center" vertical="center" wrapText="1"/>
    </xf>
    <xf numFmtId="1" fontId="69" fillId="0" borderId="1" xfId="2" applyNumberFormat="1" applyFont="1" applyBorder="1" applyAlignment="1">
      <alignment horizontal="center" vertical="center" wrapText="1"/>
    </xf>
    <xf numFmtId="14" fontId="69" fillId="6" borderId="1" xfId="0" applyNumberFormat="1" applyFont="1" applyFill="1" applyBorder="1" applyAlignment="1" applyProtection="1">
      <alignment horizontal="center" vertical="center"/>
      <protection locked="0"/>
    </xf>
    <xf numFmtId="1" fontId="69" fillId="0" borderId="1" xfId="0" applyNumberFormat="1" applyFont="1" applyBorder="1" applyAlignment="1" applyProtection="1">
      <alignment horizontal="center" vertical="center" wrapText="1"/>
      <protection locked="0"/>
    </xf>
    <xf numFmtId="49" fontId="69" fillId="2" borderId="1" xfId="0" applyNumberFormat="1" applyFont="1" applyFill="1" applyBorder="1" applyAlignment="1" applyProtection="1">
      <alignment horizontal="center" vertical="center" wrapText="1"/>
      <protection locked="0"/>
    </xf>
    <xf numFmtId="0" fontId="69" fillId="0" borderId="8" xfId="0" applyFont="1" applyBorder="1" applyAlignment="1">
      <alignment horizontal="center" vertical="center" wrapText="1"/>
    </xf>
    <xf numFmtId="0" fontId="69" fillId="0" borderId="1" xfId="1" applyFont="1" applyBorder="1" applyAlignment="1">
      <alignment horizontal="center" vertical="center"/>
    </xf>
    <xf numFmtId="167" fontId="69" fillId="14" borderId="8" xfId="0" applyNumberFormat="1" applyFont="1" applyFill="1" applyBorder="1" applyAlignment="1" applyProtection="1">
      <alignment horizontal="center" vertical="center" wrapText="1"/>
      <protection locked="0"/>
    </xf>
    <xf numFmtId="0" fontId="69" fillId="0" borderId="8" xfId="2" applyFont="1" applyBorder="1" applyAlignment="1">
      <alignment horizontal="center" vertical="center" wrapText="1"/>
    </xf>
    <xf numFmtId="0" fontId="69" fillId="0" borderId="14" xfId="0" applyFont="1" applyBorder="1" applyAlignment="1">
      <alignment horizontal="center" vertical="center" wrapText="1"/>
    </xf>
    <xf numFmtId="167" fontId="69" fillId="0" borderId="0" xfId="0" applyNumberFormat="1" applyFont="1" applyAlignment="1" applyProtection="1">
      <alignment horizontal="center" vertical="center" wrapText="1"/>
      <protection locked="0"/>
    </xf>
    <xf numFmtId="0" fontId="68" fillId="0" borderId="0" xfId="0" applyFont="1" applyAlignment="1">
      <alignment vertical="center"/>
    </xf>
    <xf numFmtId="14" fontId="69" fillId="0" borderId="3" xfId="0" applyNumberFormat="1" applyFont="1" applyBorder="1" applyAlignment="1" applyProtection="1">
      <alignment horizontal="left" vertical="center" wrapText="1"/>
      <protection locked="0"/>
    </xf>
    <xf numFmtId="49" fontId="69" fillId="0" borderId="1" xfId="0" applyNumberFormat="1" applyFont="1" applyBorder="1" applyAlignment="1" applyProtection="1">
      <alignment horizontal="center" vertical="center"/>
      <protection locked="0"/>
    </xf>
    <xf numFmtId="165" fontId="69" fillId="0" borderId="3" xfId="0" applyNumberFormat="1" applyFont="1" applyBorder="1" applyAlignment="1" applyProtection="1">
      <alignment horizontal="left" vertical="center" wrapText="1"/>
      <protection locked="0"/>
    </xf>
    <xf numFmtId="165" fontId="69" fillId="6" borderId="1" xfId="0" applyNumberFormat="1" applyFont="1" applyFill="1" applyBorder="1" applyAlignment="1">
      <alignment horizontal="center" vertical="center" wrapText="1"/>
    </xf>
    <xf numFmtId="0" fontId="68" fillId="0" borderId="0" xfId="0" applyFont="1"/>
    <xf numFmtId="0" fontId="68" fillId="4" borderId="0" xfId="0" applyFont="1" applyFill="1"/>
    <xf numFmtId="0" fontId="69" fillId="0" borderId="0" xfId="0" applyFont="1" applyAlignment="1">
      <alignment vertical="top"/>
    </xf>
    <xf numFmtId="0" fontId="69" fillId="0" borderId="0" xfId="0" applyFont="1"/>
    <xf numFmtId="0" fontId="68" fillId="0" borderId="0" xfId="0" applyFont="1" applyAlignment="1">
      <alignment horizontal="left" vertical="center"/>
    </xf>
    <xf numFmtId="14" fontId="68" fillId="0" borderId="0" xfId="0" applyNumberFormat="1" applyFont="1" applyAlignment="1">
      <alignment horizontal="center" vertical="center"/>
    </xf>
    <xf numFmtId="0" fontId="68" fillId="0" borderId="0" xfId="0" applyFont="1" applyAlignment="1">
      <alignment horizontal="center" vertical="center" wrapText="1"/>
    </xf>
    <xf numFmtId="0" fontId="76" fillId="0" borderId="0" xfId="0" applyFont="1"/>
    <xf numFmtId="0" fontId="69" fillId="0" borderId="15"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69" fillId="0" borderId="2" xfId="0" applyFont="1" applyBorder="1" applyAlignment="1">
      <alignment horizontal="left" vertical="center" wrapText="1"/>
    </xf>
    <xf numFmtId="49" fontId="69" fillId="0" borderId="1" xfId="0" applyNumberFormat="1" applyFont="1" applyBorder="1" applyAlignment="1" applyProtection="1">
      <alignment horizontal="left" vertical="center" wrapText="1"/>
      <protection locked="0"/>
    </xf>
    <xf numFmtId="49" fontId="69" fillId="2" borderId="1" xfId="0" applyNumberFormat="1" applyFont="1" applyFill="1" applyBorder="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69" fillId="2" borderId="1" xfId="2" applyFont="1" applyFill="1" applyBorder="1" applyAlignment="1">
      <alignment horizontal="center" vertical="center" wrapText="1"/>
    </xf>
    <xf numFmtId="0" fontId="71" fillId="0" borderId="1" xfId="0" applyFont="1" applyBorder="1" applyAlignment="1" applyProtection="1">
      <alignment horizontal="center" vertical="center"/>
      <protection locked="0"/>
    </xf>
    <xf numFmtId="0" fontId="69" fillId="0" borderId="0" xfId="0" applyFont="1" applyAlignment="1">
      <alignment horizontal="center" vertical="center" wrapText="1"/>
    </xf>
    <xf numFmtId="0" fontId="69" fillId="2" borderId="3" xfId="2" applyFont="1" applyFill="1" applyBorder="1" applyAlignment="1">
      <alignment horizontal="center" vertical="center" wrapText="1"/>
    </xf>
    <xf numFmtId="0" fontId="69" fillId="2" borderId="13" xfId="2" applyFont="1" applyFill="1" applyBorder="1" applyAlignment="1">
      <alignment horizontal="center" vertical="center" wrapText="1"/>
    </xf>
    <xf numFmtId="14" fontId="69" fillId="0" borderId="3" xfId="2" applyNumberFormat="1" applyFont="1" applyBorder="1" applyAlignment="1">
      <alignment horizontal="center" vertical="center" wrapText="1"/>
    </xf>
    <xf numFmtId="0" fontId="69" fillId="2" borderId="0" xfId="2" applyFont="1" applyFill="1" applyAlignment="1">
      <alignment horizontal="center" vertical="center" wrapText="1"/>
    </xf>
    <xf numFmtId="0" fontId="4" fillId="0" borderId="0" xfId="0" applyFont="1" applyAlignment="1">
      <alignment vertical="center"/>
    </xf>
    <xf numFmtId="0" fontId="4" fillId="0" borderId="0" xfId="0" applyFont="1"/>
    <xf numFmtId="168" fontId="69" fillId="0" borderId="9" xfId="6" applyNumberFormat="1" applyFont="1" applyFill="1" applyBorder="1" applyAlignment="1" applyProtection="1">
      <alignment horizontal="center" vertical="center" wrapText="1"/>
      <protection locked="0"/>
    </xf>
    <xf numFmtId="168" fontId="69" fillId="0" borderId="5" xfId="6" applyNumberFormat="1" applyFont="1" applyFill="1" applyBorder="1" applyAlignment="1" applyProtection="1">
      <alignment horizontal="center" vertical="center" wrapText="1"/>
      <protection locked="0"/>
    </xf>
    <xf numFmtId="0" fontId="69" fillId="7" borderId="1" xfId="0" applyFont="1" applyFill="1" applyBorder="1" applyAlignment="1" applyProtection="1">
      <alignment horizontal="left" vertical="center" wrapText="1"/>
      <protection locked="0"/>
    </xf>
    <xf numFmtId="0" fontId="68" fillId="12" borderId="1" xfId="0" applyFont="1" applyFill="1" applyBorder="1" applyAlignment="1">
      <alignment horizontal="center" vertical="center"/>
    </xf>
    <xf numFmtId="167" fontId="69" fillId="0" borderId="0" xfId="0" applyNumberFormat="1" applyFont="1" applyAlignment="1" applyProtection="1">
      <alignment horizontal="center" vertical="center"/>
      <protection locked="0"/>
    </xf>
    <xf numFmtId="14" fontId="69" fillId="0" borderId="1" xfId="2" applyNumberFormat="1" applyFont="1" applyBorder="1" applyAlignment="1">
      <alignment horizontal="left" vertical="top" wrapText="1"/>
    </xf>
    <xf numFmtId="0" fontId="69" fillId="0" borderId="1" xfId="2" applyFont="1" applyBorder="1" applyAlignment="1">
      <alignment horizontal="left" vertical="top" wrapText="1"/>
    </xf>
    <xf numFmtId="0" fontId="69" fillId="0" borderId="1" xfId="0" applyFont="1" applyBorder="1" applyAlignment="1">
      <alignment horizontal="left" vertical="top" wrapText="1"/>
    </xf>
    <xf numFmtId="168" fontId="69" fillId="0" borderId="3" xfId="6" applyNumberFormat="1" applyFont="1" applyBorder="1" applyAlignment="1" applyProtection="1">
      <alignment horizontal="center" vertical="center" wrapText="1"/>
      <protection locked="0"/>
    </xf>
    <xf numFmtId="0" fontId="6" fillId="3" borderId="13" xfId="2" applyFont="1" applyFill="1" applyBorder="1" applyAlignment="1" applyProtection="1">
      <alignment horizontal="center" vertical="center" textRotation="180" wrapText="1"/>
      <protection locked="0"/>
    </xf>
    <xf numFmtId="0" fontId="6" fillId="3" borderId="3" xfId="2" applyFont="1" applyFill="1" applyBorder="1" applyAlignment="1" applyProtection="1">
      <alignment horizontal="center" vertical="center" textRotation="180" wrapText="1"/>
      <protection locked="0"/>
    </xf>
    <xf numFmtId="0" fontId="71" fillId="0" borderId="1" xfId="0" applyFont="1" applyBorder="1" applyAlignment="1">
      <alignment horizontal="left" vertical="center" wrapText="1"/>
    </xf>
    <xf numFmtId="14" fontId="69" fillId="0" borderId="1" xfId="2" applyNumberFormat="1" applyFont="1" applyBorder="1" applyAlignment="1">
      <alignment vertical="top" wrapText="1"/>
    </xf>
    <xf numFmtId="49" fontId="71" fillId="0" borderId="13" xfId="0" applyNumberFormat="1" applyFont="1" applyBorder="1" applyAlignment="1" applyProtection="1">
      <alignment horizontal="center" vertical="center" wrapText="1"/>
      <protection locked="0"/>
    </xf>
    <xf numFmtId="0" fontId="69" fillId="0" borderId="34" xfId="0" applyFont="1" applyBorder="1" applyAlignment="1" applyProtection="1">
      <alignment horizontal="left" vertical="center" wrapText="1"/>
      <protection locked="0"/>
    </xf>
    <xf numFmtId="0" fontId="69" fillId="0" borderId="9" xfId="0" applyFont="1" applyBorder="1" applyAlignment="1">
      <alignment horizontal="center" vertical="center" wrapText="1"/>
    </xf>
    <xf numFmtId="0" fontId="69" fillId="0" borderId="0" xfId="0" applyFont="1" applyAlignment="1" applyProtection="1">
      <alignment horizontal="left" vertical="center" wrapText="1"/>
      <protection locked="0"/>
    </xf>
    <xf numFmtId="14" fontId="69" fillId="0" borderId="13" xfId="1" applyNumberFormat="1" applyFont="1" applyBorder="1" applyAlignment="1">
      <alignment horizontal="center" vertical="center" wrapText="1"/>
    </xf>
    <xf numFmtId="165" fontId="69" fillId="0" borderId="1" xfId="0" applyNumberFormat="1" applyFont="1" applyBorder="1" applyAlignment="1" applyProtection="1">
      <alignment horizontal="center" vertical="center"/>
      <protection locked="0"/>
    </xf>
    <xf numFmtId="168" fontId="69" fillId="0" borderId="0" xfId="6" applyNumberFormat="1" applyFont="1" applyFill="1" applyBorder="1" applyAlignment="1" applyProtection="1">
      <alignment horizontal="center" vertical="center"/>
      <protection locked="0"/>
    </xf>
    <xf numFmtId="168" fontId="69" fillId="10" borderId="3" xfId="6" applyNumberFormat="1" applyFont="1" applyFill="1" applyBorder="1" applyAlignment="1" applyProtection="1">
      <alignment horizontal="center" vertical="center" wrapText="1"/>
      <protection locked="0"/>
    </xf>
    <xf numFmtId="0" fontId="68" fillId="10" borderId="0" xfId="0" applyFont="1" applyFill="1"/>
    <xf numFmtId="14" fontId="68" fillId="10" borderId="1" xfId="0" applyNumberFormat="1" applyFont="1" applyFill="1" applyBorder="1" applyAlignment="1">
      <alignment horizontal="center" vertical="center"/>
    </xf>
    <xf numFmtId="14" fontId="68" fillId="10" borderId="1" xfId="6" applyNumberFormat="1" applyFont="1" applyFill="1" applyBorder="1" applyAlignment="1">
      <alignment horizontal="left" vertical="center" wrapText="1"/>
    </xf>
    <xf numFmtId="14" fontId="69" fillId="10" borderId="3" xfId="0" applyNumberFormat="1" applyFont="1" applyFill="1" applyBorder="1" applyAlignment="1" applyProtection="1">
      <alignment horizontal="center" vertical="center" wrapText="1"/>
      <protection locked="0"/>
    </xf>
    <xf numFmtId="0" fontId="68" fillId="7" borderId="1" xfId="0" applyFont="1" applyFill="1" applyBorder="1" applyAlignment="1">
      <alignment horizontal="left" vertical="center" wrapText="1"/>
    </xf>
    <xf numFmtId="0" fontId="69" fillId="0" borderId="0" xfId="2" applyFont="1" applyAlignment="1">
      <alignment horizontal="left" vertical="center" wrapText="1"/>
    </xf>
    <xf numFmtId="14" fontId="69" fillId="0" borderId="0" xfId="0" applyNumberFormat="1" applyFont="1" applyAlignment="1" applyProtection="1">
      <alignment horizontal="left" vertical="center" wrapText="1"/>
      <protection locked="0"/>
    </xf>
    <xf numFmtId="0" fontId="59" fillId="0" borderId="0" xfId="2" applyFont="1" applyAlignment="1">
      <alignment horizontal="center" vertical="center" wrapText="1"/>
    </xf>
    <xf numFmtId="0" fontId="59" fillId="0" borderId="3" xfId="2" applyFont="1" applyBorder="1" applyAlignment="1">
      <alignment horizontal="center" vertical="center" wrapText="1"/>
    </xf>
    <xf numFmtId="0" fontId="59" fillId="0" borderId="13" xfId="2" applyFont="1" applyBorder="1" applyAlignment="1">
      <alignment horizontal="center" vertical="center" wrapText="1"/>
    </xf>
    <xf numFmtId="0" fontId="59" fillId="0" borderId="22" xfId="2" applyFont="1" applyBorder="1" applyAlignment="1">
      <alignment horizontal="center" vertical="center" wrapText="1"/>
    </xf>
    <xf numFmtId="0" fontId="7" fillId="0" borderId="22" xfId="0" applyFont="1" applyBorder="1" applyAlignment="1">
      <alignment vertical="top"/>
    </xf>
    <xf numFmtId="0" fontId="7" fillId="0" borderId="22" xfId="0" applyFont="1" applyBorder="1" applyAlignment="1" applyProtection="1">
      <alignment vertical="center"/>
      <protection locked="0"/>
    </xf>
    <xf numFmtId="0" fontId="0" fillId="2" borderId="3" xfId="0" applyFill="1" applyBorder="1"/>
    <xf numFmtId="0" fontId="59" fillId="0" borderId="21" xfId="2" applyFont="1" applyBorder="1" applyAlignment="1">
      <alignment horizontal="center" vertical="center" wrapText="1"/>
    </xf>
    <xf numFmtId="0" fontId="0" fillId="4" borderId="3" xfId="0" applyFill="1" applyBorder="1"/>
    <xf numFmtId="0" fontId="9" fillId="0" borderId="2" xfId="2" applyBorder="1" applyAlignment="1">
      <alignment horizontal="center" vertical="center" wrapText="1"/>
    </xf>
    <xf numFmtId="0" fontId="7" fillId="2" borderId="2" xfId="0" applyFont="1" applyFill="1" applyBorder="1" applyAlignment="1" applyProtection="1">
      <alignment vertical="center"/>
      <protection locked="0"/>
    </xf>
    <xf numFmtId="0" fontId="9" fillId="0" borderId="2" xfId="0" applyFont="1" applyBorder="1" applyAlignment="1">
      <alignment horizontal="left" vertical="center" wrapText="1"/>
    </xf>
    <xf numFmtId="0" fontId="19" fillId="0" borderId="1" xfId="0" applyFont="1" applyBorder="1"/>
    <xf numFmtId="0" fontId="17" fillId="0" borderId="2" xfId="0" applyFont="1" applyBorder="1" applyAlignment="1">
      <alignment vertical="center"/>
    </xf>
    <xf numFmtId="0" fontId="9" fillId="0" borderId="14" xfId="2" applyBorder="1" applyAlignment="1">
      <alignment horizontal="center" vertical="center" wrapText="1"/>
    </xf>
    <xf numFmtId="0" fontId="7" fillId="4" borderId="2" xfId="0" applyFont="1" applyFill="1" applyBorder="1" applyAlignment="1" applyProtection="1">
      <alignment horizontal="left" vertical="center"/>
      <protection locked="0"/>
    </xf>
    <xf numFmtId="0" fontId="59" fillId="0" borderId="3" xfId="0" applyFont="1" applyBorder="1" applyAlignment="1">
      <alignment horizontal="center" vertical="center" wrapText="1"/>
    </xf>
    <xf numFmtId="0" fontId="7" fillId="2" borderId="7" xfId="0" applyFont="1" applyFill="1" applyBorder="1" applyAlignment="1" applyProtection="1">
      <alignment horizontal="center" vertical="center" wrapText="1"/>
      <protection locked="0"/>
    </xf>
    <xf numFmtId="0" fontId="7" fillId="14" borderId="1" xfId="0" applyFont="1" applyFill="1" applyBorder="1" applyAlignment="1">
      <alignment vertical="center"/>
    </xf>
    <xf numFmtId="0" fontId="59" fillId="0" borderId="13" xfId="0" applyFont="1" applyBorder="1" applyAlignment="1">
      <alignment horizontal="center" vertical="center" wrapText="1"/>
    </xf>
    <xf numFmtId="0" fontId="7" fillId="17" borderId="3" xfId="0" applyFont="1" applyFill="1" applyBorder="1" applyAlignment="1" applyProtection="1">
      <alignment horizontal="left" vertical="center" wrapText="1"/>
      <protection locked="0"/>
    </xf>
    <xf numFmtId="0" fontId="7" fillId="0" borderId="3" xfId="0" applyFont="1" applyBorder="1"/>
    <xf numFmtId="0" fontId="9" fillId="0" borderId="17" xfId="0" applyFont="1" applyBorder="1" applyAlignment="1">
      <alignment horizontal="center" vertical="center" wrapText="1"/>
    </xf>
    <xf numFmtId="0" fontId="7" fillId="0" borderId="9" xfId="0" applyFont="1" applyBorder="1" applyAlignment="1" applyProtection="1">
      <alignment vertical="center"/>
      <protection locked="0"/>
    </xf>
    <xf numFmtId="0" fontId="7" fillId="0" borderId="7" xfId="0" applyFont="1" applyBorder="1" applyAlignment="1" applyProtection="1">
      <alignment horizontal="left" vertical="top" wrapText="1"/>
      <protection locked="0"/>
    </xf>
    <xf numFmtId="0" fontId="9" fillId="0" borderId="14" xfId="0" applyFont="1" applyBorder="1" applyAlignment="1">
      <alignment horizontal="center" vertical="center" wrapText="1"/>
    </xf>
    <xf numFmtId="0" fontId="57" fillId="14" borderId="13" xfId="0" applyFont="1" applyFill="1" applyBorder="1" applyAlignment="1">
      <alignment horizontal="left" vertical="center" wrapText="1"/>
    </xf>
    <xf numFmtId="0" fontId="9" fillId="0" borderId="2"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59" fillId="0" borderId="13" xfId="0" applyFont="1" applyBorder="1" applyAlignment="1" applyProtection="1">
      <alignment horizontal="left" vertical="center" wrapText="1"/>
      <protection locked="0"/>
    </xf>
    <xf numFmtId="0" fontId="9" fillId="0" borderId="17"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57" fillId="14" borderId="1" xfId="0" applyFont="1" applyFill="1" applyBorder="1" applyAlignment="1">
      <alignment horizontal="left" vertical="center" wrapText="1"/>
    </xf>
    <xf numFmtId="0" fontId="57" fillId="7" borderId="1" xfId="0" applyFont="1" applyFill="1" applyBorder="1" applyAlignment="1">
      <alignment horizontal="left" vertical="center" wrapText="1"/>
    </xf>
    <xf numFmtId="0" fontId="9" fillId="14" borderId="1" xfId="0" applyFont="1" applyFill="1" applyBorder="1" applyAlignment="1">
      <alignment horizontal="left" vertical="center" wrapText="1"/>
    </xf>
    <xf numFmtId="0" fontId="7" fillId="2" borderId="0" xfId="0" applyFont="1" applyFill="1" applyAlignment="1" applyProtection="1">
      <alignment horizontal="left" vertical="center" wrapText="1"/>
      <protection locked="0"/>
    </xf>
    <xf numFmtId="0" fontId="9" fillId="0" borderId="28" xfId="0" applyFont="1" applyBorder="1" applyAlignment="1" applyProtection="1">
      <alignment horizontal="left" vertical="center" wrapText="1"/>
      <protection locked="0"/>
    </xf>
    <xf numFmtId="0" fontId="7" fillId="0" borderId="0" xfId="0" applyFont="1" applyAlignment="1" applyProtection="1">
      <alignment horizontal="left" wrapText="1"/>
      <protection locked="0"/>
    </xf>
    <xf numFmtId="0" fontId="9" fillId="0" borderId="22" xfId="0" applyFont="1" applyBorder="1" applyAlignment="1" applyProtection="1">
      <alignment horizontal="left" vertical="center" wrapText="1"/>
      <protection locked="0"/>
    </xf>
    <xf numFmtId="15" fontId="9" fillId="0" borderId="3" xfId="0" applyNumberFormat="1" applyFont="1" applyBorder="1" applyAlignment="1" applyProtection="1">
      <alignment horizontal="center" vertical="center" wrapText="1"/>
      <protection locked="0"/>
    </xf>
    <xf numFmtId="15" fontId="9" fillId="0" borderId="13" xfId="0" quotePrefix="1" applyNumberFormat="1" applyFont="1" applyBorder="1" applyAlignment="1" applyProtection="1">
      <alignment horizontal="center" vertical="center" wrapText="1"/>
      <protection locked="0"/>
    </xf>
    <xf numFmtId="15" fontId="9" fillId="0" borderId="8" xfId="0" applyNumberFormat="1" applyFont="1" applyBorder="1" applyAlignment="1" applyProtection="1">
      <alignment horizontal="center" vertical="center" wrapText="1"/>
      <protection locked="0"/>
    </xf>
    <xf numFmtId="169" fontId="9" fillId="0" borderId="28" xfId="0" applyNumberFormat="1" applyFont="1" applyBorder="1" applyAlignment="1" applyProtection="1">
      <alignment horizontal="center" vertical="center" wrapText="1"/>
      <protection locked="0"/>
    </xf>
    <xf numFmtId="14" fontId="7" fillId="0" borderId="7" xfId="0" applyNumberFormat="1" applyFont="1" applyBorder="1" applyAlignment="1" applyProtection="1">
      <alignment horizontal="left" vertical="top" wrapText="1"/>
      <protection locked="0"/>
    </xf>
    <xf numFmtId="169" fontId="9" fillId="0" borderId="14" xfId="0" applyNumberFormat="1" applyFont="1" applyBorder="1" applyAlignment="1" applyProtection="1">
      <alignment horizontal="center" vertical="center" wrapText="1"/>
      <protection locked="0"/>
    </xf>
    <xf numFmtId="14" fontId="7" fillId="0" borderId="7" xfId="0" applyNumberFormat="1" applyFont="1" applyBorder="1" applyAlignment="1">
      <alignment horizontal="center" vertical="top" wrapText="1"/>
    </xf>
    <xf numFmtId="169" fontId="9" fillId="0" borderId="17" xfId="0" applyNumberFormat="1" applyFont="1" applyBorder="1" applyAlignment="1" applyProtection="1">
      <alignment horizontal="center" vertical="center" wrapText="1"/>
      <protection locked="0"/>
    </xf>
    <xf numFmtId="164" fontId="9" fillId="0" borderId="8" xfId="6" applyNumberFormat="1" applyFont="1" applyFill="1" applyBorder="1" applyAlignment="1" applyProtection="1">
      <alignment horizontal="center" vertical="center" wrapText="1"/>
      <protection locked="0"/>
    </xf>
    <xf numFmtId="14" fontId="7" fillId="0" borderId="7" xfId="1" applyNumberFormat="1" applyFont="1" applyBorder="1" applyAlignment="1">
      <alignment horizontal="center" vertical="center" wrapText="1"/>
    </xf>
    <xf numFmtId="15" fontId="59" fillId="0" borderId="13" xfId="0" applyNumberFormat="1" applyFont="1" applyBorder="1" applyAlignment="1" applyProtection="1">
      <alignment horizontal="center" vertical="center" wrapText="1"/>
      <protection locked="0"/>
    </xf>
    <xf numFmtId="14" fontId="9" fillId="0" borderId="8" xfId="2" applyNumberFormat="1" applyBorder="1" applyAlignment="1">
      <alignment horizontal="center" vertical="center" wrapText="1"/>
    </xf>
    <xf numFmtId="1" fontId="9" fillId="0" borderId="2" xfId="0" applyNumberFormat="1" applyFont="1" applyBorder="1" applyAlignment="1" applyProtection="1">
      <alignment horizontal="center" vertical="center" wrapText="1"/>
      <protection locked="0"/>
    </xf>
    <xf numFmtId="1" fontId="9" fillId="0" borderId="16" xfId="0" applyNumberFormat="1" applyFont="1" applyBorder="1" applyAlignment="1" applyProtection="1">
      <alignment horizontal="center" vertical="center" wrapText="1"/>
      <protection locked="0"/>
    </xf>
    <xf numFmtId="1" fontId="9" fillId="0" borderId="2" xfId="2" applyNumberFormat="1" applyBorder="1" applyAlignment="1">
      <alignment horizontal="center" vertical="center" wrapText="1"/>
    </xf>
    <xf numFmtId="1" fontId="9" fillId="0" borderId="13" xfId="0" applyNumberFormat="1" applyFont="1" applyBorder="1" applyAlignment="1" applyProtection="1">
      <alignment horizontal="center" vertical="center" wrapText="1"/>
      <protection locked="0"/>
    </xf>
    <xf numFmtId="1" fontId="9" fillId="0" borderId="2" xfId="0" applyNumberFormat="1" applyFont="1" applyBorder="1" applyAlignment="1">
      <alignment horizontal="center" vertical="center" wrapText="1"/>
    </xf>
    <xf numFmtId="1" fontId="59" fillId="0" borderId="13" xfId="0" applyNumberFormat="1" applyFont="1" applyBorder="1" applyAlignment="1" applyProtection="1">
      <alignment horizontal="center" vertical="center" wrapText="1"/>
      <protection locked="0"/>
    </xf>
    <xf numFmtId="0" fontId="7" fillId="0" borderId="7" xfId="0" applyFont="1" applyBorder="1" applyAlignment="1">
      <alignment horizontal="center" vertical="center"/>
    </xf>
    <xf numFmtId="1" fontId="9" fillId="0" borderId="14" xfId="0" applyNumberFormat="1" applyFont="1" applyBorder="1" applyAlignment="1" applyProtection="1">
      <alignment horizontal="center" vertical="center" wrapText="1"/>
      <protection locked="0"/>
    </xf>
    <xf numFmtId="1" fontId="59" fillId="0" borderId="2" xfId="0" applyNumberFormat="1" applyFont="1" applyBorder="1" applyAlignment="1" applyProtection="1">
      <alignment horizontal="center" vertical="center" wrapText="1"/>
      <protection locked="0"/>
    </xf>
    <xf numFmtId="169" fontId="9" fillId="0" borderId="2" xfId="0" applyNumberFormat="1" applyFont="1" applyBorder="1" applyAlignment="1" applyProtection="1">
      <alignment horizontal="center" vertical="center" wrapText="1"/>
      <protection locked="0"/>
    </xf>
    <xf numFmtId="1" fontId="9" fillId="0" borderId="6" xfId="0" applyNumberFormat="1" applyFont="1" applyBorder="1" applyAlignment="1" applyProtection="1">
      <alignment horizontal="center" vertical="center" wrapText="1"/>
      <protection locked="0"/>
    </xf>
    <xf numFmtId="14" fontId="9" fillId="0" borderId="2" xfId="0" applyNumberFormat="1" applyFont="1" applyBorder="1" applyAlignment="1">
      <alignment horizontal="left" vertical="center" wrapText="1"/>
    </xf>
    <xf numFmtId="0" fontId="7" fillId="2" borderId="13" xfId="0" applyFont="1" applyFill="1" applyBorder="1" applyAlignment="1">
      <alignment horizontal="center" vertical="center"/>
    </xf>
    <xf numFmtId="49" fontId="7" fillId="0" borderId="0" xfId="0" applyNumberFormat="1" applyFont="1" applyAlignment="1" applyProtection="1">
      <alignment horizontal="center" vertical="center" wrapText="1"/>
      <protection locked="0"/>
    </xf>
    <xf numFmtId="1" fontId="9" fillId="0" borderId="13" xfId="0" applyNumberFormat="1" applyFont="1" applyBorder="1" applyAlignment="1">
      <alignment horizontal="center" vertical="center" wrapText="1"/>
    </xf>
    <xf numFmtId="0" fontId="28" fillId="0" borderId="1" xfId="0" applyFont="1" applyBorder="1" applyAlignment="1">
      <alignment horizontal="center" vertical="center"/>
    </xf>
    <xf numFmtId="49" fontId="7" fillId="0" borderId="6" xfId="0" applyNumberFormat="1" applyFont="1" applyBorder="1" applyAlignment="1" applyProtection="1">
      <alignment horizontal="center" vertical="center"/>
      <protection locked="0"/>
    </xf>
    <xf numFmtId="164" fontId="59" fillId="0" borderId="0" xfId="6" applyNumberFormat="1" applyFont="1" applyFill="1" applyBorder="1" applyAlignment="1" applyProtection="1">
      <alignment horizontal="left" vertical="center" wrapText="1"/>
      <protection locked="0"/>
    </xf>
    <xf numFmtId="164" fontId="9" fillId="0" borderId="3" xfId="6" applyNumberFormat="1" applyFont="1" applyFill="1" applyBorder="1" applyAlignment="1" applyProtection="1">
      <alignment horizontal="right" vertical="center" wrapText="1"/>
      <protection locked="0"/>
    </xf>
    <xf numFmtId="164" fontId="9" fillId="0" borderId="22" xfId="6" applyNumberFormat="1" applyFont="1" applyFill="1" applyBorder="1" applyAlignment="1" applyProtection="1">
      <alignment horizontal="right" vertical="center" wrapText="1"/>
      <protection locked="0"/>
    </xf>
    <xf numFmtId="164" fontId="59" fillId="0" borderId="3" xfId="6" applyNumberFormat="1" applyFont="1" applyFill="1" applyBorder="1" applyAlignment="1" applyProtection="1">
      <alignment horizontal="left" vertical="center" wrapText="1"/>
      <protection locked="0"/>
    </xf>
    <xf numFmtId="168" fontId="69" fillId="0" borderId="1" xfId="6" applyNumberFormat="1" applyFont="1" applyBorder="1" applyAlignment="1" applyProtection="1">
      <alignment horizontal="center" vertical="center" wrapText="1"/>
      <protection locked="0"/>
    </xf>
    <xf numFmtId="168" fontId="7" fillId="2" borderId="3" xfId="0" applyNumberFormat="1" applyFont="1" applyFill="1" applyBorder="1" applyAlignment="1">
      <alignment horizontal="center" vertical="center"/>
    </xf>
    <xf numFmtId="164" fontId="9" fillId="7" borderId="3" xfId="6" applyNumberFormat="1" applyFont="1" applyFill="1" applyBorder="1" applyAlignment="1" applyProtection="1">
      <alignment horizontal="center" vertical="center" wrapText="1"/>
      <protection locked="0"/>
    </xf>
    <xf numFmtId="164" fontId="9" fillId="0" borderId="13" xfId="6" applyNumberFormat="1" applyFont="1" applyFill="1" applyBorder="1" applyAlignment="1" applyProtection="1">
      <alignment horizontal="right" vertical="center" wrapText="1"/>
      <protection locked="0"/>
    </xf>
    <xf numFmtId="164" fontId="9" fillId="0" borderId="3" xfId="6" applyNumberFormat="1" applyFont="1" applyFill="1" applyBorder="1" applyAlignment="1" applyProtection="1">
      <alignment horizontal="center" vertical="center" wrapText="1"/>
      <protection locked="0"/>
    </xf>
    <xf numFmtId="164" fontId="9" fillId="0" borderId="3" xfId="6" applyNumberFormat="1" applyFont="1" applyFill="1" applyBorder="1" applyAlignment="1">
      <alignment horizontal="center" vertical="center" wrapText="1"/>
    </xf>
    <xf numFmtId="0" fontId="36" fillId="0" borderId="3" xfId="0" applyFont="1" applyBorder="1" applyAlignment="1">
      <alignment horizontal="center" vertical="center"/>
    </xf>
    <xf numFmtId="164" fontId="7" fillId="0" borderId="1" xfId="1" applyNumberFormat="1" applyFont="1" applyBorder="1" applyAlignment="1" applyProtection="1">
      <alignment horizontal="right" vertical="center" wrapText="1"/>
      <protection locked="0"/>
    </xf>
    <xf numFmtId="168" fontId="7" fillId="0" borderId="7" xfId="0" applyNumberFormat="1" applyFont="1" applyBorder="1" applyAlignment="1">
      <alignment horizontal="center" vertical="center" wrapText="1"/>
    </xf>
    <xf numFmtId="164" fontId="9" fillId="0" borderId="17" xfId="6" applyNumberFormat="1" applyFont="1" applyFill="1" applyBorder="1" applyAlignment="1" applyProtection="1">
      <alignment horizontal="right" vertical="center" wrapText="1"/>
      <protection locked="0"/>
    </xf>
    <xf numFmtId="168" fontId="7" fillId="0" borderId="19" xfId="6" applyNumberFormat="1" applyFont="1" applyFill="1" applyBorder="1" applyAlignment="1" applyProtection="1">
      <alignment horizontal="center" vertical="center" wrapText="1"/>
      <protection locked="0"/>
    </xf>
    <xf numFmtId="168" fontId="7" fillId="0" borderId="7" xfId="0" applyNumberFormat="1" applyFont="1" applyBorder="1" applyAlignment="1">
      <alignment horizontal="center" vertical="top" wrapText="1"/>
    </xf>
    <xf numFmtId="14" fontId="59" fillId="0" borderId="3" xfId="0" applyNumberFormat="1" applyFont="1" applyBorder="1" applyAlignment="1" applyProtection="1">
      <alignment horizontal="left" vertical="center" wrapText="1"/>
      <protection locked="0"/>
    </xf>
    <xf numFmtId="14" fontId="9" fillId="0" borderId="3" xfId="0" applyNumberFormat="1" applyFont="1" applyBorder="1" applyAlignment="1" applyProtection="1">
      <alignment horizontal="left" vertical="center" wrapText="1"/>
      <protection locked="0"/>
    </xf>
    <xf numFmtId="14" fontId="9" fillId="0" borderId="3" xfId="0" applyNumberFormat="1" applyFont="1" applyBorder="1" applyAlignment="1" applyProtection="1">
      <alignment horizontal="center" vertical="center" wrapText="1"/>
      <protection locked="0"/>
    </xf>
    <xf numFmtId="14" fontId="9" fillId="0" borderId="8" xfId="0" applyNumberFormat="1" applyFont="1" applyBorder="1" applyAlignment="1" applyProtection="1">
      <alignment horizontal="left" vertical="center" wrapText="1"/>
      <protection locked="0"/>
    </xf>
    <xf numFmtId="0" fontId="9" fillId="0" borderId="3" xfId="2" applyBorder="1" applyAlignment="1">
      <alignment horizontal="left" vertical="center" wrapText="1"/>
    </xf>
    <xf numFmtId="14" fontId="59" fillId="0" borderId="9" xfId="0" applyNumberFormat="1" applyFont="1" applyBorder="1" applyAlignment="1" applyProtection="1">
      <alignment horizontal="left" vertical="center" wrapText="1"/>
      <protection locked="0"/>
    </xf>
    <xf numFmtId="1" fontId="9" fillId="0" borderId="3" xfId="0" applyNumberFormat="1" applyFont="1" applyBorder="1" applyAlignment="1">
      <alignment horizontal="center" vertical="center" wrapText="1"/>
    </xf>
    <xf numFmtId="14" fontId="59" fillId="0" borderId="3" xfId="0" applyNumberFormat="1" applyFont="1" applyBorder="1" applyAlignment="1" applyProtection="1">
      <alignment horizontal="center" vertical="center" wrapText="1"/>
      <protection locked="0"/>
    </xf>
    <xf numFmtId="14" fontId="9" fillId="0" borderId="13" xfId="0" applyNumberFormat="1" applyFont="1" applyBorder="1" applyAlignment="1" applyProtection="1">
      <alignment horizontal="left" vertical="center" wrapText="1"/>
      <protection locked="0"/>
    </xf>
    <xf numFmtId="14" fontId="7" fillId="4" borderId="3" xfId="0" applyNumberFormat="1" applyFont="1" applyFill="1" applyBorder="1" applyAlignment="1" applyProtection="1">
      <alignment horizontal="center" vertical="center" wrapText="1"/>
      <protection locked="0"/>
    </xf>
    <xf numFmtId="14" fontId="9" fillId="0" borderId="14" xfId="0" applyNumberFormat="1" applyFont="1" applyBorder="1" applyAlignment="1" applyProtection="1">
      <alignment horizontal="left" vertical="center" wrapText="1"/>
      <protection locked="0"/>
    </xf>
    <xf numFmtId="0" fontId="7" fillId="0" borderId="7" xfId="0" applyFont="1" applyBorder="1" applyAlignment="1" applyProtection="1">
      <alignment horizontal="center" vertical="top" wrapText="1"/>
      <protection locked="0"/>
    </xf>
    <xf numFmtId="14" fontId="9" fillId="0" borderId="9" xfId="0" applyNumberFormat="1" applyFont="1" applyBorder="1" applyAlignment="1" applyProtection="1">
      <alignment horizontal="left" vertical="center" wrapText="1"/>
      <protection locked="0"/>
    </xf>
    <xf numFmtId="14" fontId="9" fillId="0" borderId="2" xfId="0" applyNumberFormat="1" applyFont="1" applyBorder="1" applyAlignment="1" applyProtection="1">
      <alignment horizontal="center" vertical="center" wrapText="1"/>
      <protection locked="0"/>
    </xf>
    <xf numFmtId="0" fontId="7" fillId="15" borderId="1" xfId="0" applyFont="1" applyFill="1" applyBorder="1" applyAlignment="1">
      <alignment horizontal="center" vertical="center"/>
    </xf>
    <xf numFmtId="14" fontId="59" fillId="0" borderId="2" xfId="0" applyNumberFormat="1" applyFont="1" applyBorder="1" applyAlignment="1" applyProtection="1">
      <alignment horizontal="center" vertical="center" wrapText="1"/>
      <protection locked="0"/>
    </xf>
    <xf numFmtId="165" fontId="9" fillId="0" borderId="2" xfId="2" applyNumberFormat="1" applyBorder="1" applyAlignment="1">
      <alignment horizontal="center" vertical="center" wrapText="1"/>
    </xf>
    <xf numFmtId="1" fontId="9" fillId="0" borderId="2" xfId="0" applyNumberFormat="1" applyFont="1" applyBorder="1" applyAlignment="1" applyProtection="1">
      <alignment horizontal="left" vertical="center" wrapText="1"/>
      <protection locked="0"/>
    </xf>
    <xf numFmtId="0" fontId="69" fillId="4" borderId="1" xfId="0" applyFont="1" applyFill="1" applyBorder="1" applyAlignment="1" applyProtection="1">
      <alignment horizontal="center" vertical="center" wrapText="1"/>
      <protection locked="0"/>
    </xf>
    <xf numFmtId="14" fontId="59" fillId="0" borderId="13" xfId="0" applyNumberFormat="1" applyFont="1" applyBorder="1" applyAlignment="1" applyProtection="1">
      <alignment horizontal="center" vertical="center" wrapText="1"/>
      <protection locked="0"/>
    </xf>
    <xf numFmtId="166" fontId="7" fillId="0" borderId="1" xfId="0" applyNumberFormat="1" applyFont="1" applyBorder="1" applyAlignment="1">
      <alignment horizontal="center" vertical="center" wrapText="1"/>
    </xf>
    <xf numFmtId="0" fontId="7" fillId="15" borderId="1" xfId="1" applyFont="1" applyFill="1" applyBorder="1" applyAlignment="1">
      <alignment horizontal="center" vertical="center" wrapText="1"/>
    </xf>
    <xf numFmtId="0" fontId="9" fillId="0" borderId="2" xfId="0" applyFont="1" applyBorder="1" applyAlignment="1">
      <alignment horizontal="center" vertical="center" wrapText="1"/>
    </xf>
    <xf numFmtId="0" fontId="7" fillId="15" borderId="1" xfId="0" applyFont="1" applyFill="1" applyBorder="1" applyAlignment="1">
      <alignment horizontal="center" vertical="top" wrapText="1"/>
    </xf>
    <xf numFmtId="0" fontId="7" fillId="20" borderId="1" xfId="1" applyFont="1" applyFill="1" applyBorder="1" applyAlignment="1">
      <alignment horizontal="center" vertical="center" wrapText="1"/>
    </xf>
    <xf numFmtId="164" fontId="9" fillId="0" borderId="2" xfId="6" applyNumberFormat="1" applyFont="1" applyFill="1" applyBorder="1" applyAlignment="1">
      <alignment horizontal="center" vertical="center" wrapText="1"/>
    </xf>
    <xf numFmtId="14" fontId="9" fillId="0" borderId="14" xfId="0" applyNumberFormat="1" applyFont="1" applyBorder="1" applyAlignment="1" applyProtection="1">
      <alignment horizontal="center" vertical="center" wrapText="1"/>
      <protection locked="0"/>
    </xf>
    <xf numFmtId="14" fontId="69" fillId="4" borderId="1" xfId="1" applyNumberFormat="1" applyFont="1" applyFill="1" applyBorder="1" applyAlignment="1">
      <alignment horizontal="center" vertical="center" wrapText="1"/>
    </xf>
    <xf numFmtId="14" fontId="9" fillId="0" borderId="11" xfId="0" applyNumberFormat="1" applyFont="1" applyBorder="1" applyAlignment="1" applyProtection="1">
      <alignment horizontal="center" vertical="center" wrapText="1"/>
      <protection locked="0"/>
    </xf>
    <xf numFmtId="14" fontId="9" fillId="0" borderId="21" xfId="0" applyNumberFormat="1" applyFont="1" applyBorder="1" applyAlignment="1" applyProtection="1">
      <alignment horizontal="center" vertical="center" wrapText="1"/>
      <protection locked="0"/>
    </xf>
    <xf numFmtId="0" fontId="9" fillId="0" borderId="14" xfId="2" applyBorder="1" applyAlignment="1">
      <alignment horizontal="left" vertical="center" wrapText="1"/>
    </xf>
    <xf numFmtId="0" fontId="57" fillId="14" borderId="0" xfId="6" applyNumberFormat="1" applyFont="1" applyFill="1" applyBorder="1" applyAlignment="1">
      <alignment horizontal="center" vertical="center" wrapText="1"/>
    </xf>
    <xf numFmtId="0" fontId="0" fillId="0" borderId="8" xfId="0" applyBorder="1" applyAlignment="1">
      <alignment horizontal="center" vertical="center"/>
    </xf>
    <xf numFmtId="0" fontId="36" fillId="0" borderId="0" xfId="0" applyFont="1" applyAlignment="1">
      <alignment horizontal="center" vertical="center"/>
    </xf>
    <xf numFmtId="0" fontId="7" fillId="2" borderId="0" xfId="0" applyFont="1" applyFill="1" applyAlignment="1" applyProtection="1">
      <alignment horizontal="center" vertical="center" wrapText="1"/>
      <protection locked="0"/>
    </xf>
    <xf numFmtId="0" fontId="7" fillId="2" borderId="0" xfId="0" applyFont="1" applyFill="1" applyAlignment="1" applyProtection="1">
      <alignment horizontal="center" vertical="center"/>
      <protection locked="0"/>
    </xf>
    <xf numFmtId="0" fontId="0" fillId="0" borderId="7" xfId="0" applyBorder="1"/>
    <xf numFmtId="0" fontId="17" fillId="0" borderId="0" xfId="0" applyFont="1" applyAlignment="1" applyProtection="1">
      <alignment horizontal="center" vertical="center"/>
      <protection locked="0"/>
    </xf>
    <xf numFmtId="0" fontId="0" fillId="0" borderId="18" xfId="0" applyBorder="1"/>
    <xf numFmtId="0" fontId="0" fillId="0" borderId="8" xfId="0" applyBorder="1"/>
    <xf numFmtId="0" fontId="17" fillId="0" borderId="0" xfId="0" applyFont="1" applyAlignment="1" applyProtection="1">
      <alignment horizontal="center" vertical="center" wrapText="1"/>
      <protection locked="0"/>
    </xf>
    <xf numFmtId="0" fontId="0" fillId="0" borderId="15" xfId="0" applyBorder="1"/>
    <xf numFmtId="0" fontId="7" fillId="0" borderId="0" xfId="0" applyFont="1" applyAlignment="1" applyProtection="1">
      <alignment horizontal="center" wrapText="1"/>
      <protection locked="0"/>
    </xf>
    <xf numFmtId="0" fontId="0" fillId="0" borderId="28" xfId="0" applyBorder="1"/>
    <xf numFmtId="0" fontId="7" fillId="10" borderId="0" xfId="0" applyFont="1" applyFill="1" applyAlignment="1" applyProtection="1">
      <alignment horizontal="center" vertical="center" wrapText="1"/>
      <protection locked="0"/>
    </xf>
    <xf numFmtId="167" fontId="70" fillId="0" borderId="0" xfId="0" applyNumberFormat="1" applyFont="1" applyAlignment="1" applyProtection="1">
      <alignment horizontal="center" vertical="center" wrapText="1"/>
      <protection locked="0"/>
    </xf>
    <xf numFmtId="167" fontId="70" fillId="15" borderId="0" xfId="0" applyNumberFormat="1" applyFont="1" applyFill="1" applyAlignment="1" applyProtection="1">
      <alignment horizontal="center" vertical="center" wrapText="1"/>
      <protection locked="0"/>
    </xf>
    <xf numFmtId="0" fontId="0" fillId="0" borderId="17" xfId="0" applyBorder="1"/>
    <xf numFmtId="0" fontId="7" fillId="9" borderId="0" xfId="0" applyFont="1" applyFill="1" applyAlignment="1" applyProtection="1">
      <alignment horizontal="left" vertical="center" wrapText="1"/>
      <protection locked="0"/>
    </xf>
    <xf numFmtId="0" fontId="7" fillId="14" borderId="0" xfId="0" applyFont="1" applyFill="1" applyAlignment="1" applyProtection="1">
      <alignment vertical="center" wrapText="1"/>
      <protection locked="0"/>
    </xf>
    <xf numFmtId="167" fontId="69" fillId="0" borderId="0" xfId="0" applyNumberFormat="1" applyFont="1" applyAlignment="1">
      <alignment horizontal="center" vertical="center"/>
    </xf>
    <xf numFmtId="167" fontId="7" fillId="14" borderId="2" xfId="0" applyNumberFormat="1" applyFont="1" applyFill="1" applyBorder="1" applyAlignment="1">
      <alignment horizontal="left" vertical="top"/>
    </xf>
    <xf numFmtId="167" fontId="7" fillId="14" borderId="0" xfId="0" applyNumberFormat="1" applyFont="1" applyFill="1" applyAlignment="1">
      <alignment horizontal="left" vertical="top"/>
    </xf>
    <xf numFmtId="0" fontId="0" fillId="9" borderId="0" xfId="0" applyFill="1"/>
    <xf numFmtId="0" fontId="7" fillId="0" borderId="0" xfId="1" applyFont="1" applyAlignment="1">
      <alignment vertical="top" wrapText="1"/>
    </xf>
    <xf numFmtId="0" fontId="7" fillId="14" borderId="0" xfId="0" applyFont="1" applyFill="1" applyAlignment="1" applyProtection="1">
      <alignment horizontal="left" vertical="top" wrapText="1"/>
      <protection locked="0"/>
    </xf>
    <xf numFmtId="0" fontId="7" fillId="9" borderId="0" xfId="0" applyFont="1" applyFill="1" applyAlignment="1" applyProtection="1">
      <alignment vertical="center" wrapText="1"/>
      <protection locked="0"/>
    </xf>
    <xf numFmtId="167" fontId="7" fillId="0" borderId="0" xfId="0" applyNumberFormat="1" applyFont="1" applyAlignment="1">
      <alignment horizontal="left" vertical="top"/>
    </xf>
    <xf numFmtId="14" fontId="7" fillId="0" borderId="0" xfId="0" applyNumberFormat="1" applyFont="1" applyAlignment="1" applyProtection="1">
      <alignment horizontal="center" wrapText="1"/>
      <protection locked="0"/>
    </xf>
    <xf numFmtId="167" fontId="7" fillId="0" borderId="0" xfId="0" applyNumberFormat="1" applyFont="1" applyAlignment="1">
      <alignment horizontal="center" vertical="center"/>
    </xf>
    <xf numFmtId="165" fontId="69" fillId="0" borderId="0" xfId="0" applyNumberFormat="1" applyFont="1" applyAlignment="1" applyProtection="1">
      <alignment horizontal="left" vertical="center" wrapText="1"/>
      <protection locked="0"/>
    </xf>
    <xf numFmtId="14" fontId="68" fillId="0" borderId="0" xfId="2" applyNumberFormat="1" applyFont="1" applyAlignment="1">
      <alignment horizontal="left" vertical="center" wrapText="1"/>
    </xf>
    <xf numFmtId="14" fontId="68" fillId="0" borderId="0" xfId="6" applyNumberFormat="1" applyFont="1" applyFill="1" applyBorder="1" applyAlignment="1">
      <alignment horizontal="left" vertical="center" wrapText="1"/>
    </xf>
    <xf numFmtId="14" fontId="7" fillId="2" borderId="0" xfId="0" applyNumberFormat="1" applyFont="1" applyFill="1" applyAlignment="1" applyProtection="1">
      <alignment horizontal="center" vertical="center" wrapText="1"/>
      <protection locked="0"/>
    </xf>
    <xf numFmtId="167" fontId="7" fillId="0" borderId="0" xfId="0" applyNumberFormat="1" applyFont="1" applyAlignment="1">
      <alignment vertical="center"/>
    </xf>
    <xf numFmtId="0" fontId="9" fillId="0" borderId="0" xfId="0" applyFont="1"/>
    <xf numFmtId="14" fontId="7" fillId="0" borderId="0" xfId="0" applyNumberFormat="1" applyFont="1" applyAlignment="1">
      <alignment horizontal="center" vertical="center" wrapText="1"/>
    </xf>
    <xf numFmtId="0" fontId="7" fillId="0" borderId="2" xfId="0" applyFont="1" applyBorder="1" applyAlignment="1" applyProtection="1">
      <alignment horizontal="center"/>
      <protection locked="0"/>
    </xf>
    <xf numFmtId="49" fontId="7" fillId="0" borderId="0" xfId="0" applyNumberFormat="1" applyFont="1" applyAlignment="1" applyProtection="1">
      <alignment horizontal="left" vertical="center" wrapText="1"/>
      <protection locked="0"/>
    </xf>
    <xf numFmtId="49" fontId="7" fillId="2" borderId="0" xfId="0" applyNumberFormat="1" applyFont="1" applyFill="1" applyAlignment="1" applyProtection="1">
      <alignment horizontal="left" vertical="center" wrapText="1"/>
      <protection locked="0"/>
    </xf>
    <xf numFmtId="0" fontId="7" fillId="2" borderId="0" xfId="0" quotePrefix="1" applyFont="1" applyFill="1" applyAlignment="1" applyProtection="1">
      <alignment horizontal="left" vertical="center" wrapText="1"/>
      <protection locked="0"/>
    </xf>
    <xf numFmtId="49" fontId="7" fillId="0" borderId="8" xfId="0" applyNumberFormat="1" applyFont="1" applyBorder="1" applyAlignment="1" applyProtection="1">
      <alignment horizontal="left" vertical="center" wrapText="1"/>
      <protection locked="0"/>
    </xf>
    <xf numFmtId="0" fontId="7" fillId="0" borderId="0" xfId="1" applyFont="1" applyAlignment="1" applyProtection="1">
      <alignment horizontal="left" vertical="center" wrapText="1"/>
      <protection locked="0"/>
    </xf>
    <xf numFmtId="0" fontId="69" fillId="0" borderId="0" xfId="0" applyFont="1" applyAlignment="1">
      <alignment horizontal="left" vertical="center" wrapText="1"/>
    </xf>
    <xf numFmtId="49" fontId="7" fillId="0" borderId="0" xfId="0" applyNumberFormat="1" applyFont="1" applyAlignment="1">
      <alignment horizontal="left" vertical="center" wrapText="1"/>
    </xf>
    <xf numFmtId="0" fontId="17" fillId="0" borderId="0" xfId="0" applyFont="1" applyAlignment="1" applyProtection="1">
      <alignment horizontal="left" vertical="center" wrapText="1"/>
      <protection locked="0"/>
    </xf>
    <xf numFmtId="49" fontId="18" fillId="0" borderId="0" xfId="0" applyNumberFormat="1" applyFont="1" applyAlignment="1" applyProtection="1">
      <alignment horizontal="left" vertical="center" wrapText="1"/>
      <protection locked="0"/>
    </xf>
    <xf numFmtId="14" fontId="0" fillId="0" borderId="0" xfId="0" applyNumberFormat="1"/>
    <xf numFmtId="49" fontId="7" fillId="0" borderId="0" xfId="0" applyNumberFormat="1" applyFont="1" applyAlignment="1" applyProtection="1">
      <alignment horizontal="left" wrapText="1"/>
      <protection locked="0"/>
    </xf>
    <xf numFmtId="49" fontId="69" fillId="2" borderId="0" xfId="0" applyNumberFormat="1" applyFont="1" applyFill="1" applyAlignment="1" applyProtection="1">
      <alignment horizontal="left" vertical="center" wrapText="1"/>
      <protection locked="0"/>
    </xf>
    <xf numFmtId="0" fontId="68" fillId="0" borderId="0" xfId="0" applyFont="1" applyAlignment="1">
      <alignment horizontal="left" vertical="center" wrapText="1"/>
    </xf>
    <xf numFmtId="0" fontId="6" fillId="0" borderId="1" xfId="0" applyFont="1" applyBorder="1" applyAlignment="1" applyProtection="1">
      <alignment vertical="center" wrapText="1"/>
      <protection locked="0"/>
    </xf>
    <xf numFmtId="0" fontId="0" fillId="0" borderId="21" xfId="0" applyBorder="1"/>
    <xf numFmtId="0" fontId="7" fillId="4" borderId="0" xfId="0" applyFont="1" applyFill="1" applyAlignment="1" applyProtection="1">
      <alignment horizontal="center" vertical="center"/>
      <protection locked="0"/>
    </xf>
    <xf numFmtId="0" fontId="10" fillId="0" borderId="3" xfId="0" applyFont="1" applyBorder="1" applyAlignment="1" applyProtection="1">
      <alignment vertical="center"/>
      <protection locked="0"/>
    </xf>
    <xf numFmtId="0" fontId="10" fillId="0" borderId="3" xfId="0" applyFont="1" applyBorder="1" applyAlignment="1" applyProtection="1">
      <alignment vertical="center" wrapText="1"/>
      <protection locked="0"/>
    </xf>
    <xf numFmtId="0" fontId="7" fillId="7" borderId="0" xfId="0" applyFont="1" applyFill="1" applyAlignment="1" applyProtection="1">
      <alignment horizontal="center" vertical="center"/>
      <protection locked="0"/>
    </xf>
    <xf numFmtId="14" fontId="7" fillId="14" borderId="3" xfId="0" applyNumberFormat="1" applyFont="1" applyFill="1" applyBorder="1" applyAlignment="1" applyProtection="1">
      <alignment horizontal="left" vertical="top" wrapText="1"/>
      <protection locked="0"/>
    </xf>
    <xf numFmtId="164" fontId="7" fillId="0" borderId="0" xfId="0" applyNumberFormat="1" applyFont="1" applyAlignment="1" applyProtection="1">
      <alignment horizontal="right" vertical="center" wrapText="1"/>
      <protection locked="0"/>
    </xf>
    <xf numFmtId="168" fontId="7" fillId="2" borderId="0" xfId="0" applyNumberFormat="1" applyFont="1" applyFill="1" applyAlignment="1" applyProtection="1">
      <alignment horizontal="center" vertical="center"/>
      <protection locked="0"/>
    </xf>
    <xf numFmtId="168" fontId="7" fillId="2" borderId="0" xfId="0" applyNumberFormat="1" applyFont="1" applyFill="1" applyAlignment="1" applyProtection="1">
      <alignment horizontal="center" vertical="center" wrapText="1"/>
      <protection locked="0"/>
    </xf>
    <xf numFmtId="6" fontId="7" fillId="0" borderId="0" xfId="0" applyNumberFormat="1" applyFont="1" applyAlignment="1">
      <alignment horizontal="center" vertical="center"/>
    </xf>
    <xf numFmtId="0" fontId="0" fillId="0" borderId="2" xfId="0" applyBorder="1" applyAlignment="1">
      <alignment vertical="center"/>
    </xf>
    <xf numFmtId="167" fontId="7" fillId="0" borderId="0" xfId="0" applyNumberFormat="1" applyFont="1" applyAlignment="1" applyProtection="1">
      <alignment horizontal="center" vertical="center" wrapText="1"/>
      <protection locked="0"/>
    </xf>
    <xf numFmtId="168" fontId="12" fillId="0" borderId="0" xfId="0" applyNumberFormat="1" applyFont="1" applyAlignment="1" applyProtection="1">
      <alignment horizontal="center" vertical="center" wrapText="1"/>
      <protection locked="0"/>
    </xf>
    <xf numFmtId="6" fontId="7" fillId="0" borderId="2" xfId="0" applyNumberFormat="1" applyFont="1" applyBorder="1" applyAlignment="1" applyProtection="1">
      <alignment horizontal="center" vertical="center"/>
      <protection locked="0"/>
    </xf>
    <xf numFmtId="6" fontId="7" fillId="0" borderId="0" xfId="0" applyNumberFormat="1" applyFont="1" applyAlignment="1" applyProtection="1">
      <alignment horizontal="center" vertical="center" wrapText="1"/>
      <protection locked="0"/>
    </xf>
    <xf numFmtId="164" fontId="7" fillId="0" borderId="2" xfId="0" applyNumberFormat="1" applyFont="1" applyBorder="1" applyAlignment="1" applyProtection="1">
      <alignment horizontal="right" vertical="center"/>
      <protection locked="0"/>
    </xf>
    <xf numFmtId="0" fontId="7" fillId="17" borderId="2" xfId="0" applyFont="1" applyFill="1" applyBorder="1" applyAlignment="1">
      <alignment horizontal="left" vertical="top"/>
    </xf>
    <xf numFmtId="168" fontId="7" fillId="0" borderId="0" xfId="0" quotePrefix="1" applyNumberFormat="1" applyFont="1" applyAlignment="1" applyProtection="1">
      <alignment horizontal="center" vertical="center" wrapText="1"/>
      <protection locked="0"/>
    </xf>
    <xf numFmtId="168" fontId="12" fillId="0" borderId="0" xfId="6" applyNumberFormat="1" applyFont="1" applyFill="1" applyBorder="1" applyAlignment="1" applyProtection="1">
      <alignment horizontal="center" vertical="center" wrapText="1"/>
      <protection locked="0"/>
    </xf>
    <xf numFmtId="168" fontId="16" fillId="0" borderId="0" xfId="0" applyNumberFormat="1" applyFont="1" applyAlignment="1" applyProtection="1">
      <alignment horizontal="center" vertical="center" wrapText="1"/>
      <protection locked="0"/>
    </xf>
    <xf numFmtId="168" fontId="7" fillId="0" borderId="0" xfId="6" applyNumberFormat="1" applyFont="1" applyFill="1" applyBorder="1" applyAlignment="1" applyProtection="1">
      <alignment horizontal="center" vertical="center"/>
      <protection locked="0"/>
    </xf>
    <xf numFmtId="167" fontId="7" fillId="2" borderId="0" xfId="0" applyNumberFormat="1" applyFont="1" applyFill="1" applyAlignment="1" applyProtection="1">
      <alignment horizontal="center" vertical="center" wrapText="1"/>
      <protection locked="0"/>
    </xf>
    <xf numFmtId="167" fontId="7" fillId="0" borderId="2" xfId="0" applyNumberFormat="1" applyFont="1" applyBorder="1" applyAlignment="1" applyProtection="1">
      <alignment horizontal="center"/>
      <protection locked="0"/>
    </xf>
    <xf numFmtId="168" fontId="7" fillId="0" borderId="0" xfId="0" applyNumberFormat="1" applyFont="1" applyAlignment="1" applyProtection="1">
      <alignment horizontal="left" vertical="center" wrapText="1"/>
      <protection locked="0"/>
    </xf>
    <xf numFmtId="168" fontId="7" fillId="0" borderId="0" xfId="0" applyNumberFormat="1" applyFont="1" applyAlignment="1" applyProtection="1">
      <alignment horizontal="center" wrapText="1"/>
      <protection locked="0"/>
    </xf>
    <xf numFmtId="8" fontId="7" fillId="0" borderId="2" xfId="0" applyNumberFormat="1" applyFont="1" applyBorder="1" applyAlignment="1" applyProtection="1">
      <alignment horizontal="center" vertical="center"/>
      <protection locked="0"/>
    </xf>
    <xf numFmtId="0" fontId="3" fillId="0" borderId="0" xfId="0" applyFont="1"/>
    <xf numFmtId="0" fontId="3" fillId="0" borderId="0" xfId="0" applyFont="1" applyAlignment="1">
      <alignment vertical="center"/>
    </xf>
    <xf numFmtId="0" fontId="68" fillId="0" borderId="1" xfId="0" applyFont="1" applyBorder="1"/>
    <xf numFmtId="0" fontId="69" fillId="14" borderId="2" xfId="2" applyFont="1" applyFill="1" applyBorder="1" applyAlignment="1">
      <alignment horizontal="center" vertical="center" wrapText="1"/>
    </xf>
    <xf numFmtId="165" fontId="69" fillId="0" borderId="7" xfId="0" applyNumberFormat="1" applyFont="1" applyBorder="1" applyAlignment="1">
      <alignment horizontal="center" vertical="center" wrapText="1"/>
    </xf>
    <xf numFmtId="14" fontId="69" fillId="0" borderId="7" xfId="2" applyNumberFormat="1" applyFont="1" applyBorder="1" applyAlignment="1">
      <alignment horizontal="center" vertical="center" wrapText="1"/>
    </xf>
    <xf numFmtId="1" fontId="69" fillId="0" borderId="6" xfId="2" applyNumberFormat="1" applyFont="1" applyBorder="1" applyAlignment="1">
      <alignment horizontal="center" vertical="center" wrapText="1"/>
    </xf>
    <xf numFmtId="0" fontId="68" fillId="0" borderId="2" xfId="0" applyFont="1" applyBorder="1" applyAlignment="1" applyProtection="1">
      <alignment horizontal="center" vertical="center"/>
      <protection locked="0"/>
    </xf>
    <xf numFmtId="14" fontId="69" fillId="0" borderId="5" xfId="0" applyNumberFormat="1" applyFont="1" applyBorder="1" applyAlignment="1" applyProtection="1">
      <alignment horizontal="center" vertical="center" wrapText="1"/>
      <protection locked="0"/>
    </xf>
    <xf numFmtId="0" fontId="68" fillId="0" borderId="31" xfId="0" applyFont="1" applyBorder="1" applyAlignment="1">
      <alignment horizontal="center" vertical="center"/>
    </xf>
    <xf numFmtId="0" fontId="69" fillId="0" borderId="34" xfId="0" applyFont="1" applyBorder="1" applyAlignment="1">
      <alignment horizontal="left" vertical="center" wrapText="1"/>
    </xf>
    <xf numFmtId="14" fontId="69" fillId="0" borderId="13" xfId="0" applyNumberFormat="1" applyFont="1" applyBorder="1" applyAlignment="1">
      <alignment horizontal="center" vertical="center" wrapText="1"/>
    </xf>
    <xf numFmtId="14" fontId="69" fillId="2" borderId="13" xfId="2" applyNumberFormat="1" applyFont="1" applyFill="1" applyBorder="1" applyAlignment="1">
      <alignment horizontal="center" vertical="center" wrapText="1"/>
    </xf>
    <xf numFmtId="165" fontId="68" fillId="0" borderId="1" xfId="6" applyNumberFormat="1" applyFont="1" applyBorder="1" applyAlignment="1" applyProtection="1">
      <alignment horizontal="left" vertical="center"/>
      <protection locked="0"/>
    </xf>
    <xf numFmtId="167" fontId="69" fillId="0" borderId="3" xfId="0" applyNumberFormat="1" applyFont="1" applyBorder="1" applyAlignment="1">
      <alignment horizontal="center" vertical="center"/>
    </xf>
    <xf numFmtId="0" fontId="69" fillId="0" borderId="13" xfId="2" applyFont="1" applyBorder="1" applyAlignment="1">
      <alignment horizontal="center" vertical="center" wrapText="1"/>
    </xf>
    <xf numFmtId="14" fontId="68" fillId="0" borderId="7" xfId="0" applyNumberFormat="1" applyFont="1" applyBorder="1" applyAlignment="1">
      <alignment horizontal="center" vertical="center"/>
    </xf>
    <xf numFmtId="0" fontId="68" fillId="0" borderId="6" xfId="0" applyFont="1" applyBorder="1" applyAlignment="1">
      <alignment horizontal="center" vertical="center"/>
    </xf>
    <xf numFmtId="14" fontId="69" fillId="0" borderId="16" xfId="0" applyNumberFormat="1"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167" fontId="69" fillId="9" borderId="1" xfId="0" applyNumberFormat="1" applyFont="1" applyFill="1" applyBorder="1" applyAlignment="1" applyProtection="1">
      <alignment horizontal="center" vertical="center" wrapText="1"/>
      <protection locked="0"/>
    </xf>
    <xf numFmtId="14" fontId="68" fillId="10" borderId="1" xfId="2" applyNumberFormat="1" applyFont="1" applyFill="1" applyBorder="1" applyAlignment="1">
      <alignment horizontal="left" vertical="center" wrapText="1"/>
    </xf>
    <xf numFmtId="0" fontId="68" fillId="0" borderId="7" xfId="0" applyFont="1" applyBorder="1" applyAlignment="1">
      <alignment horizontal="left" vertical="center" wrapText="1"/>
    </xf>
    <xf numFmtId="0" fontId="71" fillId="0" borderId="6" xfId="0" applyFont="1" applyBorder="1" applyAlignment="1">
      <alignment horizontal="left" vertical="center" wrapText="1"/>
    </xf>
    <xf numFmtId="14" fontId="69" fillId="0" borderId="13" xfId="0" applyNumberFormat="1" applyFont="1" applyBorder="1" applyAlignment="1" applyProtection="1">
      <alignment horizontal="center" vertical="center"/>
      <protection locked="0"/>
    </xf>
    <xf numFmtId="0" fontId="69" fillId="0" borderId="6" xfId="0" applyFont="1" applyBorder="1" applyAlignment="1" applyProtection="1">
      <alignment horizontal="center" vertical="center" wrapText="1"/>
      <protection locked="0"/>
    </xf>
    <xf numFmtId="168" fontId="69" fillId="12" borderId="7" xfId="0" applyNumberFormat="1" applyFont="1" applyFill="1" applyBorder="1" applyAlignment="1" applyProtection="1">
      <alignment horizontal="center" vertical="center" wrapText="1"/>
      <protection locked="0"/>
    </xf>
    <xf numFmtId="0" fontId="68" fillId="0" borderId="2" xfId="0" applyFont="1" applyBorder="1" applyAlignment="1">
      <alignment horizontal="left" vertical="center" wrapText="1"/>
    </xf>
    <xf numFmtId="168" fontId="69" fillId="2" borderId="7" xfId="0" applyNumberFormat="1" applyFont="1" applyFill="1" applyBorder="1" applyAlignment="1" applyProtection="1">
      <alignment horizontal="center" vertical="center"/>
      <protection locked="0"/>
    </xf>
    <xf numFmtId="0" fontId="69" fillId="0" borderId="16" xfId="0" applyFont="1" applyBorder="1" applyAlignment="1" applyProtection="1">
      <alignment horizontal="center" vertical="center" wrapText="1"/>
      <protection locked="0"/>
    </xf>
    <xf numFmtId="165" fontId="69" fillId="0" borderId="3" xfId="0" applyNumberFormat="1" applyFont="1" applyBorder="1" applyAlignment="1">
      <alignment horizontal="center" vertical="center" wrapText="1"/>
    </xf>
    <xf numFmtId="14" fontId="0" fillId="0" borderId="13" xfId="0" applyNumberFormat="1" applyBorder="1"/>
    <xf numFmtId="14" fontId="0" fillId="14" borderId="0" xfId="0" applyNumberFormat="1" applyFill="1"/>
    <xf numFmtId="14" fontId="7" fillId="0" borderId="0" xfId="0" applyNumberFormat="1" applyFont="1" applyAlignment="1" applyProtection="1">
      <alignment horizontal="left" vertical="center"/>
      <protection locked="0"/>
    </xf>
    <xf numFmtId="14" fontId="7" fillId="0" borderId="0" xfId="0" applyNumberFormat="1" applyFont="1" applyAlignment="1" applyProtection="1">
      <alignment vertical="center"/>
      <protection locked="0"/>
    </xf>
    <xf numFmtId="14" fontId="0" fillId="0" borderId="0" xfId="0" applyNumberFormat="1" applyAlignment="1">
      <alignment vertical="center"/>
    </xf>
    <xf numFmtId="14" fontId="7" fillId="0" borderId="0" xfId="0" applyNumberFormat="1" applyFont="1" applyAlignment="1">
      <alignment horizontal="center"/>
    </xf>
    <xf numFmtId="14" fontId="7" fillId="0" borderId="0" xfId="0" applyNumberFormat="1" applyFont="1" applyAlignment="1">
      <alignment horizontal="center" vertical="center"/>
    </xf>
    <xf numFmtId="14" fontId="0" fillId="4" borderId="0" xfId="0" applyNumberFormat="1" applyFill="1"/>
    <xf numFmtId="14" fontId="7" fillId="14" borderId="0" xfId="0" applyNumberFormat="1" applyFont="1" applyFill="1" applyAlignment="1">
      <alignment vertical="top"/>
    </xf>
    <xf numFmtId="14" fontId="7" fillId="0" borderId="0" xfId="0" applyNumberFormat="1" applyFont="1" applyAlignment="1">
      <alignment horizontal="left" vertical="top"/>
    </xf>
    <xf numFmtId="14" fontId="0" fillId="0" borderId="0" xfId="0" applyNumberFormat="1" applyProtection="1">
      <protection locked="0"/>
    </xf>
    <xf numFmtId="14" fontId="7" fillId="2" borderId="0" xfId="0" applyNumberFormat="1" applyFont="1" applyFill="1" applyAlignment="1">
      <alignment vertical="top"/>
    </xf>
    <xf numFmtId="14" fontId="0" fillId="17" borderId="0" xfId="0" applyNumberFormat="1" applyFill="1"/>
    <xf numFmtId="14" fontId="7" fillId="4" borderId="0" xfId="0" applyNumberFormat="1" applyFont="1" applyFill="1" applyAlignment="1">
      <alignment vertical="top"/>
    </xf>
    <xf numFmtId="14" fontId="10" fillId="0" borderId="0" xfId="0" applyNumberFormat="1" applyFont="1" applyAlignment="1" applyProtection="1">
      <alignment vertical="center"/>
      <protection locked="0"/>
    </xf>
    <xf numFmtId="14" fontId="0" fillId="2" borderId="0" xfId="0" applyNumberFormat="1" applyFill="1"/>
    <xf numFmtId="14" fontId="11" fillId="0" borderId="0" xfId="0" applyNumberFormat="1" applyFont="1" applyAlignment="1">
      <alignment vertical="center"/>
    </xf>
    <xf numFmtId="14" fontId="68" fillId="0" borderId="0" xfId="0" applyNumberFormat="1" applyFont="1"/>
    <xf numFmtId="14" fontId="0" fillId="0" borderId="1" xfId="0" applyNumberFormat="1" applyBorder="1"/>
    <xf numFmtId="14" fontId="7" fillId="0" borderId="1" xfId="0" applyNumberFormat="1" applyFont="1" applyBorder="1" applyAlignment="1" applyProtection="1">
      <alignment horizontal="left" vertical="center"/>
      <protection locked="0"/>
    </xf>
    <xf numFmtId="0" fontId="69" fillId="10" borderId="13" xfId="2" applyFont="1" applyFill="1" applyBorder="1" applyAlignment="1">
      <alignment horizontal="center" vertical="center" wrapText="1"/>
    </xf>
    <xf numFmtId="0" fontId="69" fillId="10" borderId="13" xfId="0" applyFont="1" applyFill="1" applyBorder="1" applyAlignment="1">
      <alignment horizontal="center" vertical="center" wrapText="1"/>
    </xf>
    <xf numFmtId="0" fontId="68" fillId="10" borderId="22" xfId="0" applyFont="1" applyFill="1" applyBorder="1" applyAlignment="1">
      <alignment horizontal="center" vertical="center"/>
    </xf>
    <xf numFmtId="0" fontId="69" fillId="10" borderId="1" xfId="0" applyFont="1" applyFill="1" applyBorder="1" applyAlignment="1" applyProtection="1">
      <alignment horizontal="center" vertical="center"/>
      <protection locked="0"/>
    </xf>
    <xf numFmtId="0" fontId="69" fillId="10" borderId="3" xfId="0" applyFont="1" applyFill="1" applyBorder="1" applyAlignment="1" applyProtection="1">
      <alignment horizontal="center" vertical="center" wrapText="1"/>
      <protection locked="0"/>
    </xf>
    <xf numFmtId="0" fontId="69" fillId="10" borderId="1" xfId="0" applyFont="1" applyFill="1" applyBorder="1" applyAlignment="1" applyProtection="1">
      <alignment horizontal="center" vertical="center" wrapText="1"/>
      <protection locked="0"/>
    </xf>
    <xf numFmtId="0" fontId="68" fillId="25" borderId="1" xfId="0" applyFont="1" applyFill="1" applyBorder="1" applyAlignment="1">
      <alignment horizontal="center" vertical="center"/>
    </xf>
    <xf numFmtId="0" fontId="68" fillId="25" borderId="22" xfId="0" applyFont="1" applyFill="1" applyBorder="1" applyAlignment="1">
      <alignment horizontal="center" vertical="center"/>
    </xf>
    <xf numFmtId="0" fontId="69" fillId="25" borderId="1" xfId="0" applyFont="1" applyFill="1" applyBorder="1" applyAlignment="1" applyProtection="1">
      <alignment horizontal="center" vertical="center"/>
      <protection locked="0"/>
    </xf>
    <xf numFmtId="0" fontId="69" fillId="25" borderId="3" xfId="0" applyFont="1" applyFill="1" applyBorder="1" applyAlignment="1" applyProtection="1">
      <alignment horizontal="center" vertical="center" wrapText="1"/>
      <protection locked="0"/>
    </xf>
    <xf numFmtId="0" fontId="69" fillId="25" borderId="1" xfId="0" applyFont="1" applyFill="1" applyBorder="1" applyAlignment="1" applyProtection="1">
      <alignment horizontal="left" vertical="center" wrapText="1"/>
      <protection locked="0"/>
    </xf>
    <xf numFmtId="0" fontId="69" fillId="25" borderId="1" xfId="0" applyFont="1" applyFill="1" applyBorder="1" applyAlignment="1" applyProtection="1">
      <alignment horizontal="left" vertical="center"/>
      <protection locked="0"/>
    </xf>
    <xf numFmtId="14" fontId="69" fillId="25" borderId="1" xfId="0" applyNumberFormat="1" applyFont="1" applyFill="1" applyBorder="1" applyAlignment="1" applyProtection="1">
      <alignment horizontal="center" vertical="center" wrapText="1"/>
      <protection locked="0"/>
    </xf>
    <xf numFmtId="49" fontId="69" fillId="25" borderId="13" xfId="0" applyNumberFormat="1" applyFont="1" applyFill="1" applyBorder="1" applyAlignment="1" applyProtection="1">
      <alignment horizontal="center" vertical="center" wrapText="1"/>
      <protection locked="0"/>
    </xf>
    <xf numFmtId="168" fontId="69" fillId="25" borderId="3" xfId="6" applyNumberFormat="1" applyFont="1" applyFill="1" applyBorder="1" applyAlignment="1" applyProtection="1">
      <alignment horizontal="center" vertical="center" wrapText="1"/>
      <protection locked="0"/>
    </xf>
    <xf numFmtId="0" fontId="69" fillId="25" borderId="1" xfId="0" applyFont="1" applyFill="1" applyBorder="1" applyAlignment="1" applyProtection="1">
      <alignment horizontal="center" vertical="center" wrapText="1"/>
      <protection locked="0"/>
    </xf>
    <xf numFmtId="0" fontId="68" fillId="25" borderId="0" xfId="0" applyFont="1" applyFill="1"/>
    <xf numFmtId="0" fontId="69" fillId="25" borderId="1" xfId="0" applyFont="1" applyFill="1" applyBorder="1" applyAlignment="1">
      <alignment horizontal="center" vertical="center"/>
    </xf>
    <xf numFmtId="14" fontId="69" fillId="25" borderId="1" xfId="0" applyNumberFormat="1" applyFont="1" applyFill="1" applyBorder="1" applyAlignment="1">
      <alignment horizontal="center" vertical="center" wrapText="1"/>
    </xf>
    <xf numFmtId="14" fontId="69" fillId="25" borderId="1" xfId="1" applyNumberFormat="1" applyFont="1" applyFill="1" applyBorder="1" applyAlignment="1">
      <alignment horizontal="center" vertical="center" wrapText="1"/>
    </xf>
    <xf numFmtId="0" fontId="69" fillId="25" borderId="1" xfId="1" applyFont="1" applyFill="1" applyBorder="1" applyAlignment="1">
      <alignment horizontal="center" vertical="center" wrapText="1"/>
    </xf>
    <xf numFmtId="165" fontId="69" fillId="25" borderId="1" xfId="0" applyNumberFormat="1" applyFont="1" applyFill="1" applyBorder="1" applyAlignment="1" applyProtection="1">
      <alignment horizontal="left" vertical="center" wrapText="1"/>
      <protection locked="0"/>
    </xf>
    <xf numFmtId="0" fontId="69" fillId="25" borderId="1" xfId="0" applyFont="1" applyFill="1" applyBorder="1" applyAlignment="1">
      <alignment horizontal="center" vertical="center" wrapText="1"/>
    </xf>
    <xf numFmtId="0" fontId="69" fillId="25" borderId="3" xfId="0" applyFont="1" applyFill="1" applyBorder="1" applyAlignment="1" applyProtection="1">
      <alignment horizontal="center" vertical="center"/>
      <protection locked="0"/>
    </xf>
    <xf numFmtId="168" fontId="69" fillId="25" borderId="1" xfId="0" applyNumberFormat="1" applyFont="1" applyFill="1" applyBorder="1" applyAlignment="1" applyProtection="1">
      <alignment horizontal="center" vertical="center" wrapText="1"/>
      <protection locked="0"/>
    </xf>
    <xf numFmtId="168" fontId="69" fillId="25" borderId="1" xfId="0" applyNumberFormat="1" applyFont="1" applyFill="1" applyBorder="1" applyAlignment="1">
      <alignment horizontal="center" vertical="center" wrapText="1"/>
    </xf>
    <xf numFmtId="0" fontId="0" fillId="0" borderId="0" xfId="0" applyAlignment="1">
      <alignment horizontal="center" vertical="center"/>
    </xf>
    <xf numFmtId="167" fontId="67" fillId="5" borderId="8" xfId="0" applyNumberFormat="1" applyFont="1" applyFill="1" applyBorder="1" applyAlignment="1" applyProtection="1">
      <alignment horizontal="center" vertical="center" wrapText="1"/>
      <protection locked="0"/>
    </xf>
    <xf numFmtId="0" fontId="15" fillId="0" borderId="0" xfId="0" applyFont="1" applyAlignment="1">
      <alignment horizontal="center" vertical="center" wrapText="1"/>
    </xf>
    <xf numFmtId="0" fontId="79" fillId="0" borderId="0" xfId="0" applyFont="1"/>
    <xf numFmtId="0" fontId="69" fillId="25" borderId="6" xfId="0" applyFont="1" applyFill="1" applyBorder="1" applyAlignment="1" applyProtection="1">
      <alignment horizontal="center" vertical="center" wrapText="1"/>
      <protection locked="0"/>
    </xf>
    <xf numFmtId="165" fontId="69" fillId="25" borderId="1" xfId="0" applyNumberFormat="1" applyFont="1" applyFill="1" applyBorder="1" applyAlignment="1" applyProtection="1">
      <alignment horizontal="center" vertical="center" wrapText="1"/>
      <protection locked="0"/>
    </xf>
    <xf numFmtId="0" fontId="71" fillId="25" borderId="1" xfId="0" applyFont="1" applyFill="1" applyBorder="1" applyAlignment="1" applyProtection="1">
      <alignment horizontal="center" vertical="center" wrapText="1"/>
      <protection locked="0"/>
    </xf>
    <xf numFmtId="0" fontId="68" fillId="25" borderId="13" xfId="0" applyFont="1" applyFill="1" applyBorder="1" applyAlignment="1">
      <alignment horizontal="center" vertical="center"/>
    </xf>
    <xf numFmtId="165" fontId="68" fillId="0" borderId="1" xfId="0" applyNumberFormat="1" applyFont="1" applyBorder="1" applyAlignment="1">
      <alignment horizontal="center" vertical="center"/>
    </xf>
    <xf numFmtId="165" fontId="69" fillId="0" borderId="1" xfId="1" applyNumberFormat="1" applyFont="1" applyBorder="1" applyAlignment="1" applyProtection="1">
      <alignment horizontal="center" vertical="center" wrapText="1"/>
      <protection locked="0"/>
    </xf>
    <xf numFmtId="165" fontId="69" fillId="2" borderId="1" xfId="0" applyNumberFormat="1" applyFont="1" applyFill="1" applyBorder="1" applyAlignment="1" applyProtection="1">
      <alignment horizontal="center" vertical="center"/>
      <protection locked="0"/>
    </xf>
    <xf numFmtId="165" fontId="68" fillId="0" borderId="1" xfId="0" applyNumberFormat="1" applyFont="1" applyBorder="1" applyAlignment="1" applyProtection="1">
      <alignment horizontal="center" vertical="center"/>
      <protection locked="0"/>
    </xf>
    <xf numFmtId="165" fontId="69" fillId="0" borderId="13" xfId="0" applyNumberFormat="1" applyFont="1" applyBorder="1" applyAlignment="1" applyProtection="1">
      <alignment horizontal="center" vertical="center"/>
      <protection locked="0"/>
    </xf>
    <xf numFmtId="165" fontId="69" fillId="0" borderId="7" xfId="0" applyNumberFormat="1" applyFont="1" applyBorder="1" applyAlignment="1" applyProtection="1">
      <alignment horizontal="center" vertical="center"/>
      <protection locked="0"/>
    </xf>
    <xf numFmtId="165" fontId="69" fillId="25" borderId="7" xfId="0" applyNumberFormat="1" applyFont="1" applyFill="1" applyBorder="1" applyAlignment="1" applyProtection="1">
      <alignment horizontal="center" vertical="center" wrapText="1"/>
      <protection locked="0"/>
    </xf>
    <xf numFmtId="165" fontId="69" fillId="0" borderId="1" xfId="0" applyNumberFormat="1" applyFont="1" applyBorder="1" applyAlignment="1">
      <alignment horizontal="center" vertical="center"/>
    </xf>
    <xf numFmtId="165" fontId="68" fillId="0" borderId="1" xfId="0" applyNumberFormat="1" applyFont="1" applyBorder="1" applyAlignment="1">
      <alignment horizontal="center" vertical="center" wrapText="1"/>
    </xf>
    <xf numFmtId="165" fontId="68" fillId="0" borderId="0" xfId="0" applyNumberFormat="1" applyFont="1" applyAlignment="1">
      <alignment horizontal="center" vertical="center"/>
    </xf>
    <xf numFmtId="165" fontId="69" fillId="10" borderId="1" xfId="0" applyNumberFormat="1" applyFont="1" applyFill="1" applyBorder="1" applyAlignment="1" applyProtection="1">
      <alignment horizontal="center" vertical="center" wrapText="1"/>
      <protection locked="0"/>
    </xf>
    <xf numFmtId="165" fontId="69" fillId="0" borderId="13" xfId="0" applyNumberFormat="1" applyFont="1" applyBorder="1" applyAlignment="1" applyProtection="1">
      <alignment horizontal="center" vertical="center" wrapText="1"/>
      <protection locked="0"/>
    </xf>
    <xf numFmtId="165" fontId="69" fillId="0" borderId="8" xfId="0" applyNumberFormat="1" applyFont="1" applyBorder="1" applyAlignment="1" applyProtection="1">
      <alignment horizontal="center" vertical="center" wrapText="1"/>
      <protection locked="0"/>
    </xf>
    <xf numFmtId="165" fontId="68" fillId="25" borderId="1" xfId="0" applyNumberFormat="1" applyFont="1" applyFill="1" applyBorder="1" applyAlignment="1">
      <alignment horizontal="center" vertical="center"/>
    </xf>
    <xf numFmtId="165" fontId="68" fillId="10" borderId="1" xfId="0" applyNumberFormat="1" applyFont="1" applyFill="1" applyBorder="1" applyAlignment="1">
      <alignment horizontal="center" vertical="center"/>
    </xf>
    <xf numFmtId="165" fontId="69" fillId="2" borderId="1" xfId="0" applyNumberFormat="1" applyFont="1" applyFill="1" applyBorder="1" applyAlignment="1">
      <alignment horizontal="center" vertical="center" wrapText="1"/>
    </xf>
    <xf numFmtId="165" fontId="68" fillId="0" borderId="1" xfId="0" applyNumberFormat="1" applyFont="1" applyBorder="1" applyAlignment="1" applyProtection="1">
      <alignment horizontal="center" vertical="center" wrapText="1"/>
      <protection locked="0"/>
    </xf>
    <xf numFmtId="165" fontId="68" fillId="0" borderId="1" xfId="0" applyNumberFormat="1" applyFont="1" applyBorder="1" applyAlignment="1">
      <alignment horizontal="left" vertical="center"/>
    </xf>
    <xf numFmtId="0" fontId="69" fillId="0" borderId="1" xfId="1" applyFont="1" applyBorder="1" applyAlignment="1" applyProtection="1">
      <alignment horizontal="center" vertical="center" wrapText="1"/>
      <protection locked="0"/>
    </xf>
    <xf numFmtId="49" fontId="69" fillId="0" borderId="1" xfId="1" applyNumberFormat="1" applyFont="1" applyBorder="1" applyAlignment="1" applyProtection="1">
      <alignment horizontal="center" vertical="center" wrapText="1"/>
      <protection locked="0"/>
    </xf>
    <xf numFmtId="168" fontId="69" fillId="0" borderId="13" xfId="0" applyNumberFormat="1" applyFont="1" applyBorder="1" applyAlignment="1" applyProtection="1">
      <alignment horizontal="center" vertical="center"/>
      <protection locked="0"/>
    </xf>
    <xf numFmtId="16" fontId="68" fillId="0" borderId="1" xfId="0" applyNumberFormat="1" applyFont="1" applyBorder="1" applyAlignment="1">
      <alignment horizontal="center" vertical="center"/>
    </xf>
    <xf numFmtId="168" fontId="69" fillId="0" borderId="13" xfId="0" applyNumberFormat="1" applyFont="1" applyBorder="1" applyAlignment="1">
      <alignment horizontal="center" vertical="center" wrapText="1"/>
    </xf>
    <xf numFmtId="0" fontId="69" fillId="0" borderId="18"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protection locked="0"/>
    </xf>
    <xf numFmtId="0" fontId="69" fillId="0" borderId="32" xfId="0" applyFont="1" applyBorder="1" applyAlignment="1" applyProtection="1">
      <alignment horizontal="left" vertical="center" wrapText="1"/>
      <protection locked="0"/>
    </xf>
    <xf numFmtId="0" fontId="69" fillId="0" borderId="31" xfId="0" applyFont="1" applyBorder="1" applyAlignment="1" applyProtection="1">
      <alignment horizontal="center" vertical="center" wrapText="1"/>
      <protection locked="0"/>
    </xf>
    <xf numFmtId="0" fontId="69" fillId="0" borderId="22" xfId="0" applyFont="1" applyBorder="1" applyAlignment="1" applyProtection="1">
      <alignment horizontal="center" vertical="center" wrapText="1"/>
      <protection locked="0"/>
    </xf>
    <xf numFmtId="0" fontId="79" fillId="0" borderId="36" xfId="0" applyFont="1" applyBorder="1"/>
    <xf numFmtId="0" fontId="0" fillId="0" borderId="36" xfId="0" applyBorder="1"/>
    <xf numFmtId="0" fontId="15" fillId="27" borderId="37" xfId="0" applyFont="1" applyFill="1" applyBorder="1"/>
    <xf numFmtId="0" fontId="0" fillId="0" borderId="39" xfId="0" applyBorder="1"/>
    <xf numFmtId="0" fontId="0" fillId="0" borderId="39" xfId="0" applyBorder="1" applyAlignment="1">
      <alignment horizontal="center" vertical="center"/>
    </xf>
    <xf numFmtId="0" fontId="0" fillId="0" borderId="39" xfId="0" applyBorder="1" applyAlignment="1">
      <alignment horizontal="center"/>
    </xf>
    <xf numFmtId="9" fontId="0" fillId="0" borderId="39" xfId="0" applyNumberFormat="1" applyBorder="1" applyAlignment="1">
      <alignment horizontal="center"/>
    </xf>
    <xf numFmtId="0" fontId="79" fillId="0" borderId="39" xfId="0" applyFont="1" applyBorder="1"/>
    <xf numFmtId="0" fontId="69" fillId="2" borderId="13" xfId="0" applyFont="1" applyFill="1" applyBorder="1" applyAlignment="1" applyProtection="1">
      <alignment horizontal="center" vertical="center" wrapText="1"/>
      <protection locked="0"/>
    </xf>
    <xf numFmtId="165" fontId="69" fillId="0" borderId="8" xfId="0" applyNumberFormat="1" applyFont="1" applyBorder="1" applyAlignment="1">
      <alignment horizontal="center" vertical="center" wrapText="1"/>
    </xf>
    <xf numFmtId="14" fontId="69" fillId="0" borderId="13" xfId="2" applyNumberFormat="1" applyFont="1" applyBorder="1" applyAlignment="1">
      <alignment horizontal="center" vertical="center" wrapText="1"/>
    </xf>
    <xf numFmtId="0" fontId="68" fillId="0" borderId="3" xfId="0" applyFont="1" applyBorder="1" applyAlignment="1" applyProtection="1">
      <alignment horizontal="center" vertical="center" wrapText="1"/>
      <protection locked="0"/>
    </xf>
    <xf numFmtId="49" fontId="69" fillId="2" borderId="2" xfId="0" applyNumberFormat="1" applyFont="1" applyFill="1" applyBorder="1" applyAlignment="1" applyProtection="1">
      <alignment horizontal="left" vertical="center" wrapText="1"/>
      <protection locked="0"/>
    </xf>
    <xf numFmtId="0" fontId="69" fillId="0" borderId="34" xfId="2" applyFont="1" applyBorder="1" applyAlignment="1">
      <alignment horizontal="left" vertical="top" wrapText="1"/>
    </xf>
    <xf numFmtId="0" fontId="69" fillId="0" borderId="5" xfId="0" applyFont="1" applyBorder="1" applyAlignment="1" applyProtection="1">
      <alignment horizontal="center" vertical="center"/>
      <protection locked="0"/>
    </xf>
    <xf numFmtId="0" fontId="69" fillId="0" borderId="2" xfId="2" applyFont="1" applyBorder="1" applyAlignment="1">
      <alignment horizontal="left" vertical="top" wrapText="1"/>
    </xf>
    <xf numFmtId="0" fontId="69" fillId="0" borderId="12" xfId="0" applyFont="1" applyBorder="1" applyAlignment="1" applyProtection="1">
      <alignment horizontal="center" vertical="center" wrapText="1"/>
      <protection locked="0"/>
    </xf>
    <xf numFmtId="0" fontId="0" fillId="27" borderId="38" xfId="0" applyFill="1" applyBorder="1" applyAlignment="1">
      <alignment horizontal="center" vertical="center"/>
    </xf>
    <xf numFmtId="9" fontId="0" fillId="27" borderId="38" xfId="0" applyNumberFormat="1" applyFill="1" applyBorder="1" applyAlignment="1">
      <alignment horizontal="center" vertical="center"/>
    </xf>
    <xf numFmtId="14" fontId="69" fillId="2" borderId="13"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horizontal="left" vertical="top" wrapText="1"/>
      <protection locked="0"/>
    </xf>
    <xf numFmtId="0" fontId="69" fillId="0" borderId="34" xfId="2" applyFont="1" applyBorder="1" applyAlignment="1">
      <alignment vertical="top" wrapText="1"/>
    </xf>
    <xf numFmtId="164" fontId="69" fillId="0" borderId="13" xfId="0" applyNumberFormat="1" applyFont="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168" fontId="69" fillId="2" borderId="13" xfId="0" applyNumberFormat="1" applyFont="1" applyFill="1" applyBorder="1" applyAlignment="1" applyProtection="1">
      <alignment horizontal="center" vertical="center"/>
      <protection locked="0"/>
    </xf>
    <xf numFmtId="8" fontId="68" fillId="0" borderId="13" xfId="0" applyNumberFormat="1" applyFont="1" applyBorder="1" applyAlignment="1">
      <alignment horizontal="center" vertical="center"/>
    </xf>
    <xf numFmtId="168" fontId="69" fillId="0" borderId="13" xfId="6" applyNumberFormat="1" applyFont="1" applyBorder="1" applyAlignment="1" applyProtection="1">
      <alignment horizontal="center" vertical="center" wrapText="1"/>
      <protection locked="0"/>
    </xf>
    <xf numFmtId="14" fontId="69" fillId="0" borderId="2" xfId="2" applyNumberFormat="1" applyFont="1" applyBorder="1" applyAlignment="1">
      <alignment horizontal="left" vertical="top" wrapText="1"/>
    </xf>
    <xf numFmtId="49" fontId="69" fillId="0" borderId="2" xfId="0" applyNumberFormat="1" applyFont="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protection locked="0"/>
    </xf>
    <xf numFmtId="0" fontId="69" fillId="0" borderId="2" xfId="0" applyFont="1" applyBorder="1" applyAlignment="1">
      <alignment horizontal="left" vertical="top" wrapText="1"/>
    </xf>
    <xf numFmtId="14" fontId="69" fillId="0" borderId="2" xfId="0" applyNumberFormat="1" applyFont="1" applyBorder="1" applyAlignment="1" applyProtection="1">
      <alignment horizontal="left" vertical="top" wrapText="1"/>
      <protection locked="0"/>
    </xf>
    <xf numFmtId="0" fontId="74" fillId="0" borderId="2" xfId="0" applyFont="1" applyBorder="1" applyAlignment="1" applyProtection="1">
      <alignment horizontal="left" vertical="center" wrapText="1"/>
      <protection locked="0"/>
    </xf>
    <xf numFmtId="0" fontId="69" fillId="0" borderId="34" xfId="0" applyFont="1" applyBorder="1" applyAlignment="1">
      <alignment horizontal="left" vertical="top" wrapText="1"/>
    </xf>
    <xf numFmtId="167" fontId="69" fillId="0" borderId="13" xfId="0" applyNumberFormat="1" applyFont="1" applyBorder="1" applyAlignment="1" applyProtection="1">
      <alignment horizontal="center" vertical="center"/>
      <protection locked="0"/>
    </xf>
    <xf numFmtId="0" fontId="69" fillId="2" borderId="2" xfId="0" applyFont="1" applyFill="1" applyBorder="1" applyAlignment="1" applyProtection="1">
      <alignment horizontal="left" vertical="top" wrapText="1"/>
      <protection locked="0"/>
    </xf>
    <xf numFmtId="0" fontId="69" fillId="0" borderId="2" xfId="0" quotePrefix="1" applyFont="1" applyBorder="1" applyAlignment="1" applyProtection="1">
      <alignment horizontal="left" vertical="center" wrapText="1"/>
      <protection locked="0"/>
    </xf>
    <xf numFmtId="0" fontId="69" fillId="14" borderId="2" xfId="2" applyFont="1" applyFill="1" applyBorder="1" applyAlignment="1">
      <alignment horizontal="left" vertical="top" wrapText="1"/>
    </xf>
    <xf numFmtId="0" fontId="71" fillId="0" borderId="2" xfId="0" applyFont="1" applyBorder="1" applyAlignment="1" applyProtection="1">
      <alignment horizontal="left" vertical="center" wrapText="1"/>
      <protection locked="0"/>
    </xf>
    <xf numFmtId="14" fontId="69" fillId="0" borderId="2" xfId="2" applyNumberFormat="1" applyFont="1" applyBorder="1" applyAlignment="1">
      <alignment vertical="top" wrapText="1"/>
    </xf>
    <xf numFmtId="168" fontId="68" fillId="0" borderId="13" xfId="0" applyNumberFormat="1" applyFont="1" applyBorder="1" applyAlignment="1">
      <alignment horizontal="center" vertical="center"/>
    </xf>
    <xf numFmtId="0" fontId="69" fillId="10" borderId="13" xfId="0" applyFont="1" applyFill="1" applyBorder="1" applyAlignment="1" applyProtection="1">
      <alignment horizontal="center" vertical="center" wrapText="1"/>
      <protection locked="0"/>
    </xf>
    <xf numFmtId="0" fontId="69" fillId="0" borderId="10" xfId="0" applyFont="1" applyBorder="1" applyAlignment="1" applyProtection="1">
      <alignment horizontal="left" vertical="top" wrapText="1"/>
      <protection locked="0"/>
    </xf>
    <xf numFmtId="0" fontId="69" fillId="10" borderId="2" xfId="2" applyFont="1" applyFill="1" applyBorder="1" applyAlignment="1">
      <alignment horizontal="left" vertical="top" wrapText="1"/>
    </xf>
    <xf numFmtId="0" fontId="68" fillId="11" borderId="0" xfId="0" applyFont="1" applyFill="1"/>
    <xf numFmtId="167" fontId="69" fillId="15" borderId="1" xfId="0" applyNumberFormat="1" applyFont="1" applyFill="1" applyBorder="1" applyAlignment="1" applyProtection="1">
      <alignment horizontal="center" vertical="center" wrapText="1"/>
      <protection locked="0"/>
    </xf>
    <xf numFmtId="167" fontId="69" fillId="0" borderId="2" xfId="0" applyNumberFormat="1" applyFont="1" applyBorder="1" applyAlignment="1" applyProtection="1">
      <alignment horizontal="center" vertical="center" wrapText="1"/>
      <protection locked="0"/>
    </xf>
    <xf numFmtId="167" fontId="69" fillId="15" borderId="2" xfId="0" applyNumberFormat="1"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wrapText="1"/>
      <protection locked="0"/>
    </xf>
    <xf numFmtId="0" fontId="69" fillId="0" borderId="30" xfId="0" applyFont="1" applyBorder="1" applyAlignment="1" applyProtection="1">
      <alignment horizontal="center" vertical="center" wrapText="1"/>
      <protection locked="0"/>
    </xf>
    <xf numFmtId="168" fontId="69" fillId="0" borderId="15" xfId="6" applyNumberFormat="1" applyFont="1" applyFill="1" applyBorder="1" applyAlignment="1" applyProtection="1">
      <alignment horizontal="center" vertical="center" wrapText="1"/>
      <protection locked="0"/>
    </xf>
    <xf numFmtId="165" fontId="69" fillId="0" borderId="27" xfId="0" applyNumberFormat="1" applyFont="1" applyBorder="1" applyAlignment="1" applyProtection="1">
      <alignment horizontal="left" vertical="center" wrapText="1"/>
      <protection locked="0"/>
    </xf>
    <xf numFmtId="165" fontId="69" fillId="0" borderId="3" xfId="0" applyNumberFormat="1" applyFont="1" applyBorder="1" applyAlignment="1" applyProtection="1">
      <alignment horizontal="center" vertical="center" wrapText="1"/>
      <protection locked="0"/>
    </xf>
    <xf numFmtId="0" fontId="69" fillId="0" borderId="16" xfId="0" applyFont="1" applyBorder="1" applyAlignment="1" applyProtection="1">
      <alignment horizontal="center" vertical="center"/>
      <protection locked="0"/>
    </xf>
    <xf numFmtId="14" fontId="69" fillId="0" borderId="10" xfId="0" applyNumberFormat="1" applyFont="1" applyBorder="1" applyAlignment="1" applyProtection="1">
      <alignment horizontal="center" vertical="center" wrapText="1"/>
      <protection locked="0"/>
    </xf>
    <xf numFmtId="0" fontId="69" fillId="0" borderId="7" xfId="2" applyFont="1" applyBorder="1" applyAlignment="1">
      <alignment horizontal="center" vertical="center" wrapText="1"/>
    </xf>
    <xf numFmtId="0" fontId="69" fillId="2" borderId="7" xfId="0" applyFont="1" applyFill="1" applyBorder="1" applyAlignment="1" applyProtection="1">
      <alignment horizontal="left" vertical="center" wrapText="1"/>
      <protection locked="0"/>
    </xf>
    <xf numFmtId="165" fontId="69" fillId="0" borderId="27" xfId="0" applyNumberFormat="1" applyFont="1" applyBorder="1" applyAlignment="1" applyProtection="1">
      <alignment horizontal="center" vertical="center" wrapText="1"/>
      <protection locked="0"/>
    </xf>
    <xf numFmtId="165" fontId="69" fillId="2" borderId="27" xfId="0" applyNumberFormat="1" applyFont="1" applyFill="1" applyBorder="1" applyAlignment="1" applyProtection="1">
      <alignment horizontal="center" vertical="center"/>
      <protection locked="0"/>
    </xf>
    <xf numFmtId="0" fontId="69" fillId="2" borderId="33"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14" fontId="69" fillId="0" borderId="3" xfId="0" applyNumberFormat="1" applyFont="1" applyBorder="1" applyAlignment="1" applyProtection="1">
      <alignment horizontal="center" vertical="center"/>
      <protection locked="0"/>
    </xf>
    <xf numFmtId="0" fontId="69" fillId="6" borderId="13"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protection locked="0"/>
    </xf>
    <xf numFmtId="0" fontId="69" fillId="2" borderId="27" xfId="0" applyFont="1" applyFill="1" applyBorder="1" applyAlignment="1" applyProtection="1">
      <alignment horizontal="left" vertical="center" wrapText="1"/>
      <protection locked="0"/>
    </xf>
    <xf numFmtId="168" fontId="69" fillId="2" borderId="27" xfId="0" applyNumberFormat="1" applyFont="1" applyFill="1" applyBorder="1" applyAlignment="1" applyProtection="1">
      <alignment horizontal="center" vertical="center" wrapText="1"/>
      <protection locked="0"/>
    </xf>
    <xf numFmtId="165" fontId="69" fillId="0" borderId="8" xfId="0" applyNumberFormat="1" applyFont="1" applyBorder="1" applyAlignment="1" applyProtection="1">
      <alignment horizontal="center" vertical="center"/>
      <protection locked="0"/>
    </xf>
    <xf numFmtId="167" fontId="69" fillId="0" borderId="13" xfId="0" applyNumberFormat="1" applyFont="1" applyBorder="1" applyAlignment="1">
      <alignment horizontal="center" vertical="center"/>
    </xf>
    <xf numFmtId="0" fontId="69" fillId="2" borderId="13" xfId="0" applyFont="1" applyFill="1" applyBorder="1" applyAlignment="1" applyProtection="1">
      <alignment horizontal="center" vertical="center"/>
      <protection locked="0"/>
    </xf>
    <xf numFmtId="0" fontId="68" fillId="0" borderId="7" xfId="0" applyFont="1" applyBorder="1" applyAlignment="1">
      <alignment horizontal="center" vertical="center"/>
    </xf>
    <xf numFmtId="0" fontId="69" fillId="7" borderId="1" xfId="0" applyFont="1" applyFill="1" applyBorder="1" applyAlignment="1" applyProtection="1">
      <alignment horizontal="center" vertical="center" wrapText="1"/>
      <protection locked="0"/>
    </xf>
    <xf numFmtId="0" fontId="69" fillId="0" borderId="1" xfId="2" applyFont="1" applyBorder="1" applyAlignment="1" applyProtection="1">
      <alignment horizontal="center" vertical="center" wrapText="1"/>
      <protection locked="0"/>
    </xf>
    <xf numFmtId="14" fontId="68" fillId="0" borderId="1" xfId="6" applyNumberFormat="1" applyFont="1" applyFill="1" applyBorder="1" applyAlignment="1" applyProtection="1">
      <alignment horizontal="center" vertical="center" wrapText="1"/>
      <protection locked="0"/>
    </xf>
    <xf numFmtId="165" fontId="68" fillId="0" borderId="1" xfId="6" applyNumberFormat="1" applyFont="1" applyFill="1" applyBorder="1" applyAlignment="1" applyProtection="1">
      <alignment horizontal="center" vertical="center"/>
      <protection locked="0"/>
    </xf>
    <xf numFmtId="14" fontId="68" fillId="0" borderId="1" xfId="6" applyNumberFormat="1" applyFont="1" applyFill="1" applyBorder="1" applyAlignment="1">
      <alignment horizontal="center" vertical="center" wrapText="1"/>
    </xf>
    <xf numFmtId="14" fontId="68" fillId="0" borderId="1" xfId="6" applyNumberFormat="1" applyFont="1" applyBorder="1" applyAlignment="1">
      <alignment horizontal="center" vertical="center" wrapText="1"/>
    </xf>
    <xf numFmtId="165" fontId="68" fillId="0" borderId="1" xfId="6" applyNumberFormat="1" applyFont="1" applyBorder="1" applyAlignment="1">
      <alignment horizontal="center" vertical="center" wrapText="1"/>
    </xf>
    <xf numFmtId="14" fontId="68" fillId="0" borderId="1" xfId="2" applyNumberFormat="1" applyFont="1" applyBorder="1" applyAlignment="1">
      <alignment horizontal="center" vertical="center" wrapText="1"/>
    </xf>
    <xf numFmtId="14" fontId="68" fillId="14" borderId="1" xfId="6" applyNumberFormat="1" applyFont="1" applyFill="1" applyBorder="1" applyAlignment="1">
      <alignment horizontal="center" vertical="center" wrapText="1"/>
    </xf>
    <xf numFmtId="165" fontId="68" fillId="0" borderId="1" xfId="6" applyNumberFormat="1" applyFont="1" applyBorder="1" applyAlignment="1" applyProtection="1">
      <alignment horizontal="center" vertical="center"/>
      <protection locked="0"/>
    </xf>
    <xf numFmtId="14" fontId="68" fillId="0" borderId="3" xfId="6" applyNumberFormat="1" applyFont="1" applyFill="1" applyBorder="1" applyAlignment="1">
      <alignment horizontal="center" vertical="center" wrapText="1"/>
    </xf>
    <xf numFmtId="168" fontId="67" fillId="5" borderId="8" xfId="0" applyNumberFormat="1" applyFont="1" applyFill="1" applyBorder="1" applyAlignment="1" applyProtection="1">
      <alignment horizontal="center" vertical="center" wrapText="1"/>
      <protection locked="0"/>
    </xf>
    <xf numFmtId="0" fontId="68" fillId="0" borderId="13" xfId="0" applyFont="1" applyBorder="1"/>
    <xf numFmtId="0" fontId="69" fillId="0" borderId="13" xfId="0" applyFont="1" applyBorder="1" applyAlignment="1">
      <alignment vertical="top"/>
    </xf>
    <xf numFmtId="0" fontId="68" fillId="0" borderId="1" xfId="0" quotePrefix="1" applyFont="1" applyBorder="1" applyAlignment="1">
      <alignment horizontal="center" vertical="center" wrapText="1"/>
    </xf>
    <xf numFmtId="0" fontId="69" fillId="0" borderId="26" xfId="0" applyFont="1" applyBorder="1" applyAlignment="1" applyProtection="1">
      <alignment horizontal="center" vertical="center" wrapText="1"/>
      <protection locked="0"/>
    </xf>
    <xf numFmtId="0" fontId="69" fillId="0" borderId="8" xfId="0" applyFont="1" applyBorder="1" applyAlignment="1">
      <alignment horizontal="center" vertical="center"/>
    </xf>
    <xf numFmtId="0" fontId="69" fillId="0" borderId="21" xfId="0" applyFont="1" applyBorder="1" applyAlignment="1" applyProtection="1">
      <alignment horizontal="center" vertical="center" wrapText="1"/>
      <protection locked="0"/>
    </xf>
    <xf numFmtId="165" fontId="69" fillId="0" borderId="15" xfId="0" applyNumberFormat="1" applyFont="1" applyBorder="1" applyAlignment="1" applyProtection="1">
      <alignment horizontal="center" vertical="center" wrapText="1"/>
      <protection locked="0"/>
    </xf>
    <xf numFmtId="14" fontId="69" fillId="0" borderId="2" xfId="1" applyNumberFormat="1" applyFont="1" applyBorder="1" applyAlignment="1">
      <alignment horizontal="center" vertical="center" wrapText="1"/>
    </xf>
    <xf numFmtId="0" fontId="69" fillId="0" borderId="22" xfId="0" applyFont="1" applyBorder="1" applyAlignment="1" applyProtection="1">
      <alignment horizontal="center" vertical="center"/>
      <protection locked="0"/>
    </xf>
    <xf numFmtId="14" fontId="69" fillId="0" borderId="9" xfId="0" applyNumberFormat="1" applyFont="1" applyBorder="1" applyAlignment="1" applyProtection="1">
      <alignment horizontal="center" vertical="center" wrapText="1"/>
      <protection locked="0"/>
    </xf>
    <xf numFmtId="0" fontId="69" fillId="0" borderId="28" xfId="2" applyFont="1" applyBorder="1" applyAlignment="1">
      <alignment horizontal="center" vertical="center" wrapText="1"/>
    </xf>
    <xf numFmtId="167" fontId="69" fillId="0" borderId="31" xfId="0" applyNumberFormat="1" applyFont="1" applyBorder="1" applyAlignment="1" applyProtection="1">
      <alignment horizontal="center" vertical="center" wrapText="1"/>
      <protection locked="0"/>
    </xf>
    <xf numFmtId="167" fontId="69" fillId="0" borderId="24" xfId="0" applyNumberFormat="1" applyFont="1" applyBorder="1" applyAlignment="1" applyProtection="1">
      <alignment horizontal="center" vertical="center" wrapText="1"/>
      <protection locked="0"/>
    </xf>
    <xf numFmtId="14" fontId="68" fillId="0" borderId="27" xfId="2" applyNumberFormat="1" applyFont="1" applyBorder="1" applyAlignment="1">
      <alignment horizontal="center" vertical="center" wrapText="1"/>
    </xf>
    <xf numFmtId="1" fontId="69" fillId="0" borderId="1" xfId="1" applyNumberFormat="1" applyFont="1" applyBorder="1" applyAlignment="1">
      <alignment horizontal="center" vertical="center"/>
    </xf>
    <xf numFmtId="14" fontId="69" fillId="0" borderId="15" xfId="0" applyNumberFormat="1" applyFont="1" applyBorder="1" applyAlignment="1">
      <alignment horizontal="center" vertical="center" wrapText="1"/>
    </xf>
    <xf numFmtId="14" fontId="69" fillId="0" borderId="15" xfId="0" applyNumberFormat="1" applyFont="1" applyBorder="1" applyAlignment="1" applyProtection="1">
      <alignment horizontal="center" vertical="center" wrapText="1"/>
      <protection locked="0"/>
    </xf>
    <xf numFmtId="0" fontId="68" fillId="0" borderId="15" xfId="0" applyFont="1" applyBorder="1" applyAlignment="1">
      <alignment horizontal="center" vertical="center"/>
    </xf>
    <xf numFmtId="0" fontId="69" fillId="0" borderId="15" xfId="0" applyFont="1" applyBorder="1" applyAlignment="1">
      <alignment horizontal="center" vertical="center"/>
    </xf>
    <xf numFmtId="14" fontId="69" fillId="0" borderId="22" xfId="0" applyNumberFormat="1" applyFont="1" applyBorder="1" applyAlignment="1" applyProtection="1">
      <alignment horizontal="center" vertical="center" wrapText="1"/>
      <protection locked="0"/>
    </xf>
    <xf numFmtId="49" fontId="74" fillId="2" borderId="2" xfId="0" applyNumberFormat="1" applyFont="1" applyFill="1" applyBorder="1" applyAlignment="1" applyProtection="1">
      <alignment horizontal="left" vertical="center" wrapText="1"/>
      <protection locked="0"/>
    </xf>
    <xf numFmtId="0" fontId="69" fillId="14" borderId="15" xfId="0" applyFont="1" applyFill="1" applyBorder="1" applyAlignment="1">
      <alignment horizontal="center" vertical="center" wrapText="1"/>
    </xf>
    <xf numFmtId="49" fontId="69" fillId="2" borderId="2" xfId="0" applyNumberFormat="1" applyFont="1" applyFill="1" applyBorder="1" applyAlignment="1" applyProtection="1">
      <alignment horizontal="center" vertical="center" wrapText="1"/>
      <protection locked="0"/>
    </xf>
    <xf numFmtId="166" fontId="69" fillId="0" borderId="13" xfId="0" applyNumberFormat="1" applyFont="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167" fontId="69" fillId="14" borderId="3" xfId="0" applyNumberFormat="1" applyFont="1" applyFill="1" applyBorder="1" applyAlignment="1" applyProtection="1">
      <alignment horizontal="center" vertical="center" wrapText="1"/>
      <protection locked="0"/>
    </xf>
    <xf numFmtId="167" fontId="69" fillId="0" borderId="8" xfId="0" applyNumberFormat="1" applyFont="1" applyBorder="1" applyAlignment="1">
      <alignment horizontal="center" vertical="center"/>
    </xf>
    <xf numFmtId="165" fontId="68" fillId="0" borderId="3" xfId="6" applyNumberFormat="1" applyFont="1" applyBorder="1" applyAlignment="1" applyProtection="1">
      <alignment horizontal="center" vertical="center"/>
      <protection locked="0"/>
    </xf>
    <xf numFmtId="0" fontId="71" fillId="0" borderId="2" xfId="0" applyFont="1" applyBorder="1" applyAlignment="1" applyProtection="1">
      <alignment horizontal="left" vertical="top" wrapText="1"/>
      <protection locked="0"/>
    </xf>
    <xf numFmtId="49" fontId="69" fillId="0" borderId="0" xfId="0" applyNumberFormat="1" applyFont="1" applyAlignment="1" applyProtection="1">
      <alignment horizontal="left" vertical="center" wrapText="1"/>
      <protection locked="0"/>
    </xf>
    <xf numFmtId="0" fontId="69" fillId="0" borderId="22" xfId="0" applyFont="1" applyBorder="1" applyAlignment="1">
      <alignment horizontal="center" vertical="center" wrapText="1"/>
    </xf>
    <xf numFmtId="0" fontId="68" fillId="0" borderId="23" xfId="0" applyFont="1" applyBorder="1" applyAlignment="1">
      <alignment horizontal="center" vertical="center"/>
    </xf>
    <xf numFmtId="0" fontId="68" fillId="0" borderId="13" xfId="0" applyFont="1" applyBorder="1" applyAlignment="1">
      <alignment horizontal="left" vertical="center" wrapText="1"/>
    </xf>
    <xf numFmtId="1" fontId="69" fillId="0" borderId="7" xfId="2" applyNumberFormat="1" applyFont="1" applyBorder="1" applyAlignment="1">
      <alignment horizontal="center" vertical="center" wrapText="1"/>
    </xf>
    <xf numFmtId="14" fontId="69" fillId="0" borderId="24" xfId="0" applyNumberFormat="1" applyFont="1" applyBorder="1" applyAlignment="1" applyProtection="1">
      <alignment horizontal="center" vertical="center" wrapText="1"/>
      <protection locked="0"/>
    </xf>
    <xf numFmtId="167" fontId="69" fillId="0" borderId="16" xfId="0" applyNumberFormat="1" applyFont="1" applyBorder="1" applyAlignment="1">
      <alignment horizontal="center" vertical="center"/>
    </xf>
    <xf numFmtId="0" fontId="69" fillId="0" borderId="23" xfId="0" applyFont="1" applyBorder="1" applyAlignment="1" applyProtection="1">
      <alignment horizontal="center" vertical="center" wrapText="1"/>
      <protection locked="0"/>
    </xf>
    <xf numFmtId="0" fontId="0" fillId="0" borderId="40" xfId="0" applyBorder="1"/>
    <xf numFmtId="165" fontId="69" fillId="0" borderId="22" xfId="0" applyNumberFormat="1" applyFont="1" applyBorder="1" applyAlignment="1" applyProtection="1">
      <alignment horizontal="center" vertical="center" wrapText="1"/>
      <protection locked="0"/>
    </xf>
    <xf numFmtId="0" fontId="69" fillId="2" borderId="9" xfId="0" applyFont="1" applyFill="1" applyBorder="1" applyAlignment="1" applyProtection="1">
      <alignment horizontal="center" vertical="center" wrapText="1"/>
      <protection locked="0"/>
    </xf>
    <xf numFmtId="0" fontId="69" fillId="0" borderId="5" xfId="0" applyFont="1" applyBorder="1" applyAlignment="1">
      <alignment horizontal="center" vertical="center" wrapText="1"/>
    </xf>
    <xf numFmtId="0" fontId="69" fillId="7" borderId="1" xfId="0" applyFont="1" applyFill="1" applyBorder="1" applyAlignment="1">
      <alignment horizontal="center" vertical="center" wrapText="1"/>
    </xf>
    <xf numFmtId="0" fontId="69" fillId="7" borderId="1" xfId="2" applyFont="1" applyFill="1" applyBorder="1" applyAlignment="1">
      <alignment horizontal="center" vertical="center" wrapText="1"/>
    </xf>
    <xf numFmtId="0" fontId="69" fillId="12" borderId="13" xfId="0" applyFont="1" applyFill="1" applyBorder="1" applyAlignment="1" applyProtection="1">
      <alignment horizontal="center" vertical="center" wrapText="1"/>
      <protection locked="0"/>
    </xf>
    <xf numFmtId="0" fontId="68" fillId="11" borderId="1" xfId="0" applyFont="1" applyFill="1" applyBorder="1" applyAlignment="1">
      <alignment horizontal="center" vertical="center"/>
    </xf>
    <xf numFmtId="0" fontId="71" fillId="11" borderId="13" xfId="0" applyFont="1" applyFill="1" applyBorder="1" applyAlignment="1">
      <alignment horizontal="center" vertical="center"/>
    </xf>
    <xf numFmtId="0" fontId="69" fillId="11" borderId="13" xfId="0" applyFont="1" applyFill="1" applyBorder="1" applyAlignment="1" applyProtection="1">
      <alignment horizontal="center" vertical="center" wrapText="1"/>
      <protection locked="0"/>
    </xf>
    <xf numFmtId="0" fontId="68" fillId="0" borderId="9" xfId="0" applyFont="1" applyBorder="1" applyAlignment="1">
      <alignment horizontal="center" vertical="center"/>
    </xf>
    <xf numFmtId="168" fontId="69" fillId="0" borderId="8" xfId="6" applyNumberFormat="1" applyFont="1" applyFill="1" applyBorder="1" applyAlignment="1" applyProtection="1">
      <alignment horizontal="center" vertical="center" wrapText="1"/>
      <protection locked="0"/>
    </xf>
    <xf numFmtId="0" fontId="68" fillId="0" borderId="16" xfId="0" applyFont="1" applyBorder="1" applyAlignment="1">
      <alignment horizontal="center" vertical="center"/>
    </xf>
    <xf numFmtId="16" fontId="68" fillId="0" borderId="0" xfId="0" applyNumberFormat="1" applyFont="1"/>
    <xf numFmtId="14" fontId="68" fillId="7" borderId="1" xfId="0" applyNumberFormat="1" applyFont="1" applyFill="1" applyBorder="1" applyAlignment="1">
      <alignment horizontal="center" vertical="center"/>
    </xf>
    <xf numFmtId="0" fontId="69" fillId="7" borderId="22" xfId="2" applyFont="1" applyFill="1" applyBorder="1" applyAlignment="1">
      <alignment horizontal="center" vertical="center" wrapText="1"/>
    </xf>
    <xf numFmtId="165" fontId="69" fillId="7" borderId="1" xfId="0" applyNumberFormat="1" applyFont="1" applyFill="1" applyBorder="1" applyAlignment="1">
      <alignment horizontal="center" vertical="center" wrapText="1"/>
    </xf>
    <xf numFmtId="167" fontId="69" fillId="7" borderId="1" xfId="0" applyNumberFormat="1" applyFont="1" applyFill="1" applyBorder="1" applyAlignment="1" applyProtection="1">
      <alignment horizontal="center" vertical="center" wrapText="1"/>
      <protection locked="0"/>
    </xf>
    <xf numFmtId="0" fontId="68" fillId="7" borderId="13" xfId="0" applyFont="1" applyFill="1" applyBorder="1"/>
    <xf numFmtId="0" fontId="68" fillId="7" borderId="0" xfId="0" applyFont="1" applyFill="1"/>
    <xf numFmtId="0" fontId="69" fillId="0" borderId="13" xfId="0" applyFont="1" applyBorder="1" applyAlignment="1" applyProtection="1">
      <alignment horizontal="left" vertical="top" wrapText="1"/>
      <protection locked="0"/>
    </xf>
    <xf numFmtId="14" fontId="68" fillId="0" borderId="8" xfId="0" applyNumberFormat="1" applyFont="1" applyBorder="1" applyAlignment="1">
      <alignment horizontal="center" vertical="center"/>
    </xf>
    <xf numFmtId="0" fontId="69" fillId="0" borderId="24" xfId="2" applyFont="1" applyBorder="1" applyAlignment="1">
      <alignment horizontal="center" vertical="center" wrapText="1"/>
    </xf>
    <xf numFmtId="0" fontId="69" fillId="0" borderId="14" xfId="2" applyFont="1" applyBorder="1" applyAlignment="1">
      <alignment horizontal="center" vertical="center" wrapText="1"/>
    </xf>
    <xf numFmtId="0" fontId="69" fillId="0" borderId="5" xfId="2" applyFont="1" applyBorder="1" applyAlignment="1">
      <alignment horizontal="center" vertical="center" wrapText="1"/>
    </xf>
    <xf numFmtId="0" fontId="68" fillId="0" borderId="5" xfId="0" applyFont="1" applyBorder="1" applyAlignment="1">
      <alignment horizontal="center" vertical="center"/>
    </xf>
    <xf numFmtId="0" fontId="69" fillId="2" borderId="11" xfId="0" applyFont="1" applyFill="1" applyBorder="1" applyAlignment="1" applyProtection="1">
      <alignment horizontal="center" vertical="center" wrapText="1"/>
      <protection locked="0"/>
    </xf>
    <xf numFmtId="0" fontId="69" fillId="0" borderId="13" xfId="0" applyFont="1" applyBorder="1" applyAlignment="1">
      <alignment horizontal="left" vertical="center" wrapText="1"/>
    </xf>
    <xf numFmtId="0" fontId="69" fillId="0" borderId="1" xfId="0" applyFont="1" applyBorder="1" applyAlignment="1" applyProtection="1">
      <alignment horizontal="left" vertical="top" wrapText="1"/>
      <protection locked="0"/>
    </xf>
    <xf numFmtId="0" fontId="69" fillId="0" borderId="16" xfId="0" applyFont="1" applyBorder="1" applyAlignment="1">
      <alignment horizontal="center" vertical="center" wrapText="1"/>
    </xf>
    <xf numFmtId="0" fontId="69" fillId="2" borderId="15" xfId="0" applyFont="1" applyFill="1" applyBorder="1" applyAlignment="1" applyProtection="1">
      <alignment horizontal="center" vertical="center" wrapText="1"/>
      <protection locked="0"/>
    </xf>
    <xf numFmtId="165" fontId="69" fillId="0" borderId="22" xfId="0" applyNumberFormat="1" applyFont="1" applyBorder="1" applyAlignment="1">
      <alignment horizontal="center" vertical="center" wrapText="1"/>
    </xf>
    <xf numFmtId="165" fontId="68" fillId="0" borderId="2" xfId="0" applyNumberFormat="1" applyFont="1" applyBorder="1" applyAlignment="1" applyProtection="1">
      <alignment horizontal="center" vertical="center"/>
      <protection locked="0"/>
    </xf>
    <xf numFmtId="14" fontId="69" fillId="0" borderId="8" xfId="2" applyNumberFormat="1" applyFont="1" applyBorder="1" applyAlignment="1">
      <alignment horizontal="center" vertical="center" wrapText="1"/>
    </xf>
    <xf numFmtId="1" fontId="69" fillId="0" borderId="8" xfId="0" applyNumberFormat="1" applyFont="1" applyBorder="1" applyAlignment="1" applyProtection="1">
      <alignment horizontal="center" vertical="center" wrapText="1"/>
      <protection locked="0"/>
    </xf>
    <xf numFmtId="0" fontId="69" fillId="0" borderId="8" xfId="2"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67" fontId="69" fillId="0" borderId="14" xfId="0" applyNumberFormat="1" applyFont="1" applyBorder="1" applyAlignment="1" applyProtection="1">
      <alignment horizontal="center" vertical="center" wrapText="1"/>
      <protection locked="0"/>
    </xf>
    <xf numFmtId="167" fontId="69" fillId="0" borderId="15" xfId="0" applyNumberFormat="1" applyFont="1" applyBorder="1" applyAlignment="1" applyProtection="1">
      <alignment horizontal="center" vertical="center" wrapText="1"/>
      <protection locked="0"/>
    </xf>
    <xf numFmtId="14" fontId="68" fillId="0" borderId="27" xfId="6" applyNumberFormat="1" applyFont="1" applyBorder="1" applyAlignment="1">
      <alignment horizontal="center" vertical="center" wrapText="1"/>
    </xf>
    <xf numFmtId="165" fontId="69" fillId="0" borderId="26" xfId="0" applyNumberFormat="1" applyFont="1" applyBorder="1" applyAlignment="1" applyProtection="1">
      <alignment horizontal="center" vertical="center" wrapText="1"/>
      <protection locked="0"/>
    </xf>
    <xf numFmtId="14" fontId="68" fillId="0" borderId="27" xfId="0" applyNumberFormat="1" applyFont="1" applyBorder="1" applyAlignment="1">
      <alignment horizontal="center" vertical="center"/>
    </xf>
    <xf numFmtId="0" fontId="69" fillId="0" borderId="13" xfId="2" applyFont="1" applyBorder="1" applyAlignment="1">
      <alignment horizontal="left" vertical="top" wrapText="1"/>
    </xf>
    <xf numFmtId="49" fontId="71" fillId="0" borderId="2" xfId="0" applyNumberFormat="1" applyFont="1" applyBorder="1" applyAlignment="1" applyProtection="1">
      <alignment horizontal="left" vertical="center" wrapText="1"/>
      <protection locked="0"/>
    </xf>
    <xf numFmtId="14" fontId="69" fillId="0" borderId="21" xfId="0" applyNumberFormat="1" applyFont="1" applyBorder="1" applyAlignment="1" applyProtection="1">
      <alignment horizontal="left" vertical="center" wrapText="1"/>
      <protection locked="0"/>
    </xf>
    <xf numFmtId="0" fontId="69" fillId="0" borderId="16" xfId="2" applyFont="1" applyBorder="1" applyAlignment="1">
      <alignment horizontal="left" vertical="top" wrapText="1"/>
    </xf>
    <xf numFmtId="0" fontId="69" fillId="7" borderId="22" xfId="0" applyFont="1" applyFill="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2" borderId="8" xfId="0" applyFont="1" applyFill="1" applyBorder="1" applyAlignment="1" applyProtection="1">
      <alignment horizontal="center" vertical="center" wrapText="1"/>
      <protection locked="0"/>
    </xf>
    <xf numFmtId="0" fontId="68" fillId="0" borderId="5" xfId="0" applyFont="1" applyBorder="1" applyAlignment="1">
      <alignment horizontal="center" vertical="center" wrapText="1"/>
    </xf>
    <xf numFmtId="0" fontId="69" fillId="0" borderId="14" xfId="0" applyFont="1" applyBorder="1" applyAlignment="1" applyProtection="1">
      <alignment horizontal="center" vertical="center"/>
      <protection locked="0"/>
    </xf>
    <xf numFmtId="0" fontId="68" fillId="0" borderId="15" xfId="0" applyFont="1" applyBorder="1" applyAlignment="1">
      <alignment horizontal="center" vertical="center" wrapText="1"/>
    </xf>
    <xf numFmtId="165" fontId="69" fillId="0" borderId="15" xfId="0" applyNumberFormat="1" applyFont="1" applyBorder="1" applyAlignment="1">
      <alignment horizontal="center" vertical="center" wrapText="1"/>
    </xf>
    <xf numFmtId="0" fontId="69" fillId="0" borderId="10" xfId="0" applyFont="1" applyBorder="1" applyAlignment="1" applyProtection="1">
      <alignment horizontal="center" vertical="center"/>
      <protection locked="0"/>
    </xf>
    <xf numFmtId="49" fontId="69" fillId="0" borderId="15" xfId="0" applyNumberFormat="1"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167" fontId="69" fillId="4" borderId="1" xfId="0" applyNumberFormat="1" applyFont="1" applyFill="1" applyBorder="1" applyAlignment="1" applyProtection="1">
      <alignment horizontal="center" vertical="center" wrapText="1"/>
      <protection locked="0"/>
    </xf>
    <xf numFmtId="165" fontId="69" fillId="0" borderId="16" xfId="0" applyNumberFormat="1" applyFont="1" applyBorder="1" applyAlignment="1">
      <alignment horizontal="center" vertical="center" wrapText="1"/>
    </xf>
    <xf numFmtId="165" fontId="69" fillId="0" borderId="15" xfId="0" applyNumberFormat="1" applyFont="1" applyBorder="1" applyAlignment="1" applyProtection="1">
      <alignment horizontal="center" vertical="center"/>
      <protection locked="0"/>
    </xf>
    <xf numFmtId="1" fontId="69" fillId="0" borderId="16" xfId="0" applyNumberFormat="1" applyFont="1" applyBorder="1" applyAlignment="1" applyProtection="1">
      <alignment horizontal="center" vertical="center" wrapText="1"/>
      <protection locked="0"/>
    </xf>
    <xf numFmtId="0" fontId="69" fillId="0" borderId="14" xfId="1" applyFont="1" applyBorder="1" applyAlignment="1">
      <alignment horizontal="center" vertical="center" wrapText="1"/>
    </xf>
    <xf numFmtId="167" fontId="69" fillId="0" borderId="5" xfId="0" applyNumberFormat="1" applyFont="1" applyBorder="1" applyAlignment="1" applyProtection="1">
      <alignment horizontal="center" vertical="center" wrapText="1"/>
      <protection locked="0"/>
    </xf>
    <xf numFmtId="0" fontId="71" fillId="0" borderId="1" xfId="0" applyFont="1" applyBorder="1" applyAlignment="1">
      <alignment wrapText="1"/>
    </xf>
    <xf numFmtId="0" fontId="71" fillId="0" borderId="7" xfId="0" applyFont="1" applyBorder="1" applyAlignment="1">
      <alignment wrapText="1"/>
    </xf>
    <xf numFmtId="0" fontId="71" fillId="0" borderId="5" xfId="0" applyFont="1" applyBorder="1" applyAlignment="1">
      <alignment wrapText="1"/>
    </xf>
    <xf numFmtId="0" fontId="71" fillId="0" borderId="13" xfId="0" applyFont="1" applyBorder="1" applyAlignment="1">
      <alignment wrapText="1"/>
    </xf>
    <xf numFmtId="0" fontId="69" fillId="0" borderId="15" xfId="2" applyFont="1" applyBorder="1" applyAlignment="1">
      <alignment horizontal="center" vertical="center" wrapText="1"/>
    </xf>
    <xf numFmtId="0" fontId="69" fillId="0" borderId="5" xfId="0" applyFont="1" applyBorder="1" applyAlignment="1" applyProtection="1">
      <alignment horizontal="left" vertical="center" wrapText="1"/>
      <protection locked="0"/>
    </xf>
    <xf numFmtId="0" fontId="69" fillId="0" borderId="13" xfId="1" applyFont="1" applyBorder="1" applyAlignment="1" applyProtection="1">
      <alignment horizontal="left" vertical="center" wrapText="1"/>
      <protection locked="0"/>
    </xf>
    <xf numFmtId="0" fontId="69" fillId="0" borderId="5" xfId="0" applyFont="1" applyBorder="1" applyAlignment="1">
      <alignment horizontal="left" vertical="center" wrapText="1"/>
    </xf>
    <xf numFmtId="0" fontId="69" fillId="2" borderId="13" xfId="0" applyFont="1" applyFill="1" applyBorder="1" applyAlignment="1" applyProtection="1">
      <alignment horizontal="left" vertical="center" wrapText="1"/>
      <protection locked="0"/>
    </xf>
    <xf numFmtId="0" fontId="69" fillId="0" borderId="5" xfId="0" applyFont="1" applyBorder="1" applyAlignment="1" applyProtection="1">
      <alignment horizontal="left" vertical="top" wrapText="1"/>
      <protection locked="0"/>
    </xf>
    <xf numFmtId="0" fontId="68" fillId="0" borderId="5" xfId="0" applyFont="1" applyBorder="1" applyAlignment="1">
      <alignment horizontal="left" vertical="center" wrapText="1"/>
    </xf>
    <xf numFmtId="0" fontId="69" fillId="2" borderId="5" xfId="0" applyFont="1" applyFill="1" applyBorder="1" applyAlignment="1" applyProtection="1">
      <alignment horizontal="left" vertical="center" wrapText="1"/>
      <protection locked="0"/>
    </xf>
    <xf numFmtId="0" fontId="69" fillId="0" borderId="16" xfId="2" applyFont="1" applyBorder="1" applyAlignment="1">
      <alignment horizontal="center" vertical="center" wrapText="1"/>
    </xf>
    <xf numFmtId="165" fontId="69" fillId="0" borderId="5" xfId="0" applyNumberFormat="1" applyFont="1" applyBorder="1" applyAlignment="1" applyProtection="1">
      <alignment horizontal="center" vertical="center" wrapText="1"/>
      <protection locked="0"/>
    </xf>
    <xf numFmtId="165" fontId="69" fillId="0" borderId="5" xfId="0" applyNumberFormat="1" applyFont="1" applyBorder="1" applyAlignment="1">
      <alignment horizontal="center" vertical="center" wrapText="1"/>
    </xf>
    <xf numFmtId="165" fontId="69" fillId="0" borderId="5" xfId="0" applyNumberFormat="1" applyFont="1" applyBorder="1" applyAlignment="1" applyProtection="1">
      <alignment horizontal="center" vertical="center"/>
      <protection locked="0"/>
    </xf>
    <xf numFmtId="14" fontId="69" fillId="0" borderId="5" xfId="0" applyNumberFormat="1" applyFont="1" applyBorder="1" applyAlignment="1" applyProtection="1">
      <alignment horizontal="center" vertical="center"/>
      <protection locked="0"/>
    </xf>
    <xf numFmtId="14" fontId="69" fillId="0" borderId="5" xfId="0" applyNumberFormat="1" applyFont="1" applyBorder="1" applyAlignment="1">
      <alignment horizontal="center" vertical="center" wrapText="1"/>
    </xf>
    <xf numFmtId="165" fontId="69" fillId="2" borderId="7" xfId="0" applyNumberFormat="1" applyFont="1" applyFill="1" applyBorder="1" applyAlignment="1" applyProtection="1">
      <alignment horizontal="center" vertical="center"/>
      <protection locked="0"/>
    </xf>
    <xf numFmtId="14" fontId="69" fillId="0" borderId="15" xfId="2" applyNumberFormat="1" applyFont="1" applyBorder="1" applyAlignment="1">
      <alignment horizontal="center" vertical="center" wrapText="1"/>
    </xf>
    <xf numFmtId="14" fontId="69" fillId="0" borderId="5" xfId="2" applyNumberFormat="1" applyFont="1" applyBorder="1" applyAlignment="1">
      <alignment horizontal="center" vertical="center" wrapText="1"/>
    </xf>
    <xf numFmtId="1" fontId="69" fillId="0" borderId="5" xfId="2" applyNumberFormat="1" applyFont="1" applyBorder="1" applyAlignment="1">
      <alignment horizontal="center" vertical="center" wrapText="1"/>
    </xf>
    <xf numFmtId="1" fontId="69" fillId="0" borderId="5" xfId="0" applyNumberFormat="1" applyFont="1" applyBorder="1" applyAlignment="1" applyProtection="1">
      <alignment horizontal="center" vertical="center" wrapText="1"/>
      <protection locked="0"/>
    </xf>
    <xf numFmtId="0" fontId="69" fillId="0" borderId="13" xfId="0" quotePrefix="1" applyFont="1" applyBorder="1" applyAlignment="1" applyProtection="1">
      <alignment horizontal="center" vertical="center" wrapText="1"/>
      <protection locked="0"/>
    </xf>
    <xf numFmtId="49" fontId="69" fillId="0" borderId="5" xfId="0" applyNumberFormat="1" applyFont="1" applyBorder="1" applyAlignment="1" applyProtection="1">
      <alignment horizontal="center" vertical="center" wrapText="1"/>
      <protection locked="0"/>
    </xf>
    <xf numFmtId="1" fontId="69" fillId="0" borderId="14" xfId="2" applyNumberFormat="1" applyFont="1" applyBorder="1" applyAlignment="1">
      <alignment horizontal="center" vertical="center" wrapText="1"/>
    </xf>
    <xf numFmtId="3" fontId="69" fillId="0" borderId="13" xfId="0" applyNumberFormat="1" applyFont="1" applyBorder="1" applyAlignment="1" applyProtection="1">
      <alignment horizontal="center" vertical="center" wrapText="1"/>
      <protection locked="0"/>
    </xf>
    <xf numFmtId="168" fontId="69" fillId="0" borderId="5" xfId="6" applyNumberFormat="1" applyFont="1" applyBorder="1" applyAlignment="1" applyProtection="1">
      <alignment horizontal="center" vertical="center" wrapText="1"/>
      <protection locked="0"/>
    </xf>
    <xf numFmtId="168" fontId="69" fillId="0" borderId="7" xfId="6" applyNumberFormat="1" applyFont="1" applyFill="1" applyBorder="1" applyAlignment="1" applyProtection="1">
      <alignment horizontal="center" vertical="center" wrapText="1"/>
      <protection locked="0"/>
    </xf>
    <xf numFmtId="14" fontId="69" fillId="0" borderId="23" xfId="0" applyNumberFormat="1" applyFont="1" applyBorder="1" applyAlignment="1" applyProtection="1">
      <alignment horizontal="center" vertical="center" wrapText="1"/>
      <protection locked="0"/>
    </xf>
    <xf numFmtId="14" fontId="69" fillId="2" borderId="5" xfId="0" applyNumberFormat="1" applyFont="1" applyFill="1" applyBorder="1" applyAlignment="1" applyProtection="1">
      <alignment horizontal="center" vertical="center" wrapText="1"/>
      <protection locked="0"/>
    </xf>
    <xf numFmtId="168" fontId="69" fillId="0" borderId="3" xfId="0" applyNumberFormat="1" applyFont="1" applyBorder="1" applyAlignment="1" applyProtection="1">
      <alignment horizontal="center" vertical="center" wrapText="1"/>
      <protection locked="0"/>
    </xf>
    <xf numFmtId="0" fontId="69" fillId="6" borderId="5" xfId="0" applyFont="1" applyFill="1" applyBorder="1" applyAlignment="1" applyProtection="1">
      <alignment horizontal="center" vertical="center" wrapText="1"/>
      <protection locked="0"/>
    </xf>
    <xf numFmtId="168" fontId="69" fillId="0" borderId="5" xfId="0" applyNumberFormat="1" applyFont="1" applyBorder="1" applyAlignment="1" applyProtection="1">
      <alignment horizontal="center" vertical="center" wrapText="1"/>
      <protection locked="0"/>
    </xf>
    <xf numFmtId="0" fontId="69" fillId="12" borderId="5"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protection locked="0"/>
    </xf>
    <xf numFmtId="0" fontId="69" fillId="12" borderId="5" xfId="0" applyFont="1" applyFill="1" applyBorder="1" applyAlignment="1" applyProtection="1">
      <alignment horizontal="center" vertical="center"/>
      <protection locked="0"/>
    </xf>
    <xf numFmtId="165" fontId="69" fillId="12" borderId="5" xfId="0" applyNumberFormat="1" applyFont="1" applyFill="1" applyBorder="1" applyAlignment="1">
      <alignment horizontal="center" vertical="center" wrapText="1"/>
    </xf>
    <xf numFmtId="0" fontId="69" fillId="12" borderId="3" xfId="0" applyFont="1" applyFill="1" applyBorder="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167" fontId="69" fillId="15" borderId="5" xfId="0" applyNumberFormat="1" applyFont="1" applyFill="1" applyBorder="1" applyAlignment="1" applyProtection="1">
      <alignment horizontal="center" vertical="center" wrapText="1"/>
      <protection locked="0"/>
    </xf>
    <xf numFmtId="167" fontId="69" fillId="0" borderId="5" xfId="0" applyNumberFormat="1" applyFont="1" applyBorder="1" applyAlignment="1">
      <alignment horizontal="center" vertical="center"/>
    </xf>
    <xf numFmtId="0" fontId="69" fillId="0" borderId="16" xfId="0" applyFont="1" applyBorder="1" applyAlignment="1">
      <alignment horizontal="center" vertical="center"/>
    </xf>
    <xf numFmtId="165" fontId="68" fillId="0" borderId="5" xfId="6" applyNumberFormat="1" applyFont="1" applyFill="1" applyBorder="1" applyAlignment="1" applyProtection="1">
      <alignment horizontal="center" vertical="center"/>
      <protection locked="0"/>
    </xf>
    <xf numFmtId="0" fontId="69" fillId="0" borderId="5" xfId="2" applyFont="1" applyBorder="1" applyAlignment="1">
      <alignment horizontal="left" vertical="top" wrapText="1"/>
    </xf>
    <xf numFmtId="0" fontId="69" fillId="0" borderId="5" xfId="0" applyFont="1" applyBorder="1" applyAlignment="1">
      <alignment horizontal="left" vertical="top" wrapText="1"/>
    </xf>
    <xf numFmtId="0" fontId="71" fillId="0" borderId="5" xfId="0" applyFont="1" applyBorder="1" applyAlignment="1">
      <alignment horizontal="left" vertical="center" wrapText="1"/>
    </xf>
    <xf numFmtId="0" fontId="69" fillId="2" borderId="22" xfId="2" applyFont="1" applyFill="1" applyBorder="1" applyAlignment="1">
      <alignment horizontal="center" vertical="center" wrapText="1"/>
    </xf>
    <xf numFmtId="0" fontId="69" fillId="2" borderId="5" xfId="2" applyFont="1" applyFill="1" applyBorder="1" applyAlignment="1">
      <alignment horizontal="center" vertical="center" wrapText="1"/>
    </xf>
    <xf numFmtId="168" fontId="69" fillId="2" borderId="5" xfId="0" applyNumberFormat="1" applyFont="1" applyFill="1" applyBorder="1" applyAlignment="1" applyProtection="1">
      <alignment horizontal="center" vertical="center" wrapText="1"/>
      <protection locked="0"/>
    </xf>
    <xf numFmtId="168" fontId="69" fillId="0" borderId="5" xfId="0" applyNumberFormat="1" applyFont="1" applyBorder="1" applyAlignment="1" applyProtection="1">
      <alignment horizontal="center" vertical="center"/>
      <protection locked="0"/>
    </xf>
    <xf numFmtId="0" fontId="2" fillId="0" borderId="0" xfId="0" applyFont="1" applyAlignment="1">
      <alignment vertical="center" wrapText="1"/>
    </xf>
    <xf numFmtId="0" fontId="59" fillId="0" borderId="5" xfId="2" applyFont="1" applyBorder="1" applyAlignment="1">
      <alignment horizontal="center" vertical="center" wrapText="1"/>
    </xf>
    <xf numFmtId="0" fontId="69" fillId="0" borderId="3" xfId="0" applyFont="1" applyBorder="1" applyAlignment="1" applyProtection="1">
      <alignment horizontal="left" vertical="center" wrapText="1"/>
      <protection locked="0"/>
    </xf>
    <xf numFmtId="14" fontId="69" fillId="0" borderId="0" xfId="0" applyNumberFormat="1" applyFont="1" applyAlignment="1" applyProtection="1">
      <alignment horizontal="center" vertical="center" wrapText="1"/>
      <protection locked="0"/>
    </xf>
    <xf numFmtId="165" fontId="69" fillId="0" borderId="0" xfId="0" applyNumberFormat="1" applyFont="1" applyAlignment="1" applyProtection="1">
      <alignment horizontal="center" vertical="center" wrapText="1"/>
      <protection locked="0"/>
    </xf>
    <xf numFmtId="14" fontId="69" fillId="2" borderId="1" xfId="0" applyNumberFormat="1" applyFont="1" applyFill="1" applyBorder="1" applyAlignment="1">
      <alignment horizontal="center" vertical="center" wrapText="1"/>
    </xf>
    <xf numFmtId="14" fontId="69" fillId="0" borderId="14" xfId="2" applyNumberFormat="1" applyFont="1" applyBorder="1" applyAlignment="1">
      <alignment horizontal="center" vertical="center" wrapText="1"/>
    </xf>
    <xf numFmtId="0" fontId="69" fillId="0" borderId="0" xfId="2" applyFont="1" applyAlignment="1">
      <alignment horizontal="center" vertical="center" wrapText="1"/>
    </xf>
    <xf numFmtId="49" fontId="69" fillId="0" borderId="8" xfId="0" applyNumberFormat="1" applyFont="1" applyBorder="1" applyAlignment="1" applyProtection="1">
      <alignment horizontal="center" vertical="center" wrapText="1"/>
      <protection locked="0"/>
    </xf>
    <xf numFmtId="165" fontId="69" fillId="12" borderId="13" xfId="0" applyNumberFormat="1" applyFont="1" applyFill="1" applyBorder="1" applyAlignment="1" applyProtection="1">
      <alignment horizontal="center" vertical="center" wrapText="1"/>
      <protection locked="0"/>
    </xf>
    <xf numFmtId="14" fontId="69" fillId="0" borderId="6" xfId="0" applyNumberFormat="1" applyFont="1" applyBorder="1" applyAlignment="1" applyProtection="1">
      <alignment horizontal="center" vertical="center" wrapText="1"/>
      <protection locked="0"/>
    </xf>
    <xf numFmtId="14" fontId="69" fillId="0" borderId="7" xfId="0" applyNumberFormat="1" applyFont="1" applyBorder="1" applyAlignment="1" applyProtection="1">
      <alignment horizontal="center" vertical="center"/>
      <protection locked="0"/>
    </xf>
    <xf numFmtId="0" fontId="69" fillId="12" borderId="13" xfId="0" applyFont="1" applyFill="1" applyBorder="1" applyAlignment="1" applyProtection="1">
      <alignment horizontal="center" vertical="center"/>
      <protection locked="0"/>
    </xf>
    <xf numFmtId="0" fontId="69" fillId="2" borderId="8" xfId="0" applyFont="1" applyFill="1" applyBorder="1" applyAlignment="1" applyProtection="1">
      <alignment horizontal="center" vertical="center"/>
      <protection locked="0"/>
    </xf>
    <xf numFmtId="167" fontId="69" fillId="14" borderId="5" xfId="0" applyNumberFormat="1" applyFont="1" applyFill="1" applyBorder="1" applyAlignment="1" applyProtection="1">
      <alignment horizontal="center" vertical="center" wrapText="1"/>
      <protection locked="0"/>
    </xf>
    <xf numFmtId="167" fontId="69" fillId="0" borderId="3" xfId="0" applyNumberFormat="1" applyFont="1" applyBorder="1" applyAlignment="1" applyProtection="1">
      <alignment horizontal="center" vertical="center" wrapText="1"/>
      <protection locked="0"/>
    </xf>
    <xf numFmtId="167" fontId="69" fillId="14" borderId="13" xfId="0" applyNumberFormat="1" applyFont="1" applyFill="1" applyBorder="1" applyAlignment="1" applyProtection="1">
      <alignment horizontal="center" vertical="center" wrapText="1"/>
      <protection locked="0"/>
    </xf>
    <xf numFmtId="0" fontId="69" fillId="0" borderId="0" xfId="0" applyFont="1" applyAlignment="1">
      <alignment horizontal="left" vertical="top" wrapText="1"/>
    </xf>
    <xf numFmtId="0" fontId="59" fillId="0" borderId="5" xfId="0" applyFont="1" applyBorder="1" applyAlignment="1" applyProtection="1">
      <alignment horizontal="left" vertical="center" wrapText="1"/>
      <protection locked="0"/>
    </xf>
    <xf numFmtId="0" fontId="69" fillId="0" borderId="34" xfId="2" applyFont="1" applyBorder="1" applyAlignment="1">
      <alignment horizontal="left" vertical="center" wrapText="1"/>
    </xf>
    <xf numFmtId="0" fontId="69" fillId="0" borderId="0" xfId="2" applyFont="1" applyAlignment="1">
      <alignment horizontal="left" vertical="top" wrapText="1"/>
    </xf>
    <xf numFmtId="0" fontId="69" fillId="0" borderId="0" xfId="0" applyFont="1" applyAlignment="1" applyProtection="1">
      <alignment horizontal="left" vertical="top" wrapText="1"/>
      <protection locked="0"/>
    </xf>
    <xf numFmtId="0" fontId="68" fillId="0" borderId="3" xfId="0" applyFont="1" applyBorder="1" applyAlignment="1">
      <alignment horizontal="left" vertical="center" wrapText="1"/>
    </xf>
    <xf numFmtId="165" fontId="69" fillId="0" borderId="8" xfId="0" applyNumberFormat="1" applyFont="1" applyBorder="1" applyAlignment="1">
      <alignment horizontal="center" vertical="center"/>
    </xf>
    <xf numFmtId="0" fontId="68" fillId="0" borderId="10" xfId="0" applyFont="1" applyBorder="1" applyAlignment="1">
      <alignment horizontal="center" vertical="center"/>
    </xf>
    <xf numFmtId="49" fontId="69" fillId="2" borderId="10" xfId="0" applyNumberFormat="1" applyFont="1" applyFill="1" applyBorder="1" applyAlignment="1" applyProtection="1">
      <alignment horizontal="left" vertical="center" wrapText="1"/>
      <protection locked="0"/>
    </xf>
    <xf numFmtId="0" fontId="20" fillId="3" borderId="3" xfId="2" applyFont="1" applyFill="1" applyBorder="1" applyAlignment="1" applyProtection="1">
      <alignment horizontal="center" vertical="center" textRotation="180" wrapText="1"/>
      <protection locked="0"/>
    </xf>
    <xf numFmtId="0" fontId="20" fillId="3" borderId="1" xfId="2" applyFont="1" applyFill="1" applyBorder="1" applyAlignment="1" applyProtection="1">
      <alignment horizontal="center" vertical="center" textRotation="180" wrapText="1"/>
      <protection locked="0"/>
    </xf>
    <xf numFmtId="0" fontId="20" fillId="25" borderId="8" xfId="2" applyFont="1" applyFill="1" applyBorder="1" applyAlignment="1" applyProtection="1">
      <alignment horizontal="center" vertical="center" textRotation="180" wrapText="1"/>
      <protection locked="0"/>
    </xf>
    <xf numFmtId="0" fontId="20" fillId="3" borderId="8" xfId="0" applyFont="1" applyFill="1" applyBorder="1" applyAlignment="1" applyProtection="1">
      <alignment horizontal="center" vertical="center" wrapText="1"/>
      <protection locked="0"/>
    </xf>
    <xf numFmtId="0" fontId="20" fillId="25" borderId="8" xfId="0" applyFont="1" applyFill="1" applyBorder="1" applyAlignment="1" applyProtection="1">
      <alignment horizontal="center" vertical="center" wrapText="1"/>
      <protection locked="0"/>
    </xf>
    <xf numFmtId="165" fontId="20" fillId="3" borderId="8" xfId="0" applyNumberFormat="1" applyFont="1" applyFill="1" applyBorder="1" applyAlignment="1" applyProtection="1">
      <alignment horizontal="center" vertical="center" wrapText="1"/>
      <protection locked="0"/>
    </xf>
    <xf numFmtId="165" fontId="20" fillId="3" borderId="1" xfId="0" applyNumberFormat="1"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168" fontId="20" fillId="3" borderId="8" xfId="0" applyNumberFormat="1" applyFont="1" applyFill="1" applyBorder="1" applyAlignment="1" applyProtection="1">
      <alignment horizontal="center" vertical="center" wrapText="1"/>
      <protection locked="0"/>
    </xf>
    <xf numFmtId="0" fontId="20" fillId="3" borderId="10" xfId="0" applyFont="1" applyFill="1" applyBorder="1" applyAlignment="1" applyProtection="1">
      <alignment horizontal="center" vertical="center" wrapText="1"/>
      <protection locked="0"/>
    </xf>
    <xf numFmtId="0" fontId="20" fillId="3" borderId="1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wrapText="1"/>
      <protection locked="0"/>
    </xf>
    <xf numFmtId="0" fontId="19" fillId="0" borderId="0" xfId="0" applyFont="1"/>
    <xf numFmtId="49" fontId="28" fillId="0" borderId="1" xfId="0" applyNumberFormat="1" applyFont="1" applyBorder="1" applyAlignment="1" applyProtection="1">
      <alignment horizontal="left" vertical="center" wrapText="1"/>
      <protection locked="0"/>
    </xf>
    <xf numFmtId="0" fontId="28" fillId="0" borderId="1" xfId="0" applyFont="1" applyBorder="1" applyAlignment="1" applyProtection="1">
      <alignment horizontal="left" vertical="top" wrapText="1"/>
      <protection locked="0"/>
    </xf>
    <xf numFmtId="14" fontId="7" fillId="0" borderId="0" xfId="0" applyNumberFormat="1" applyFont="1"/>
    <xf numFmtId="0" fontId="7" fillId="0" borderId="0" xfId="0" applyFont="1"/>
    <xf numFmtId="0" fontId="7" fillId="0" borderId="1" xfId="0" applyFont="1" applyBorder="1" applyAlignment="1">
      <alignment wrapText="1"/>
    </xf>
    <xf numFmtId="14" fontId="7" fillId="0" borderId="1" xfId="0" applyNumberFormat="1" applyFont="1" applyBorder="1" applyAlignment="1">
      <alignment wrapText="1"/>
    </xf>
    <xf numFmtId="167" fontId="7" fillId="0" borderId="1" xfId="0" applyNumberFormat="1" applyFont="1" applyBorder="1"/>
    <xf numFmtId="166" fontId="7" fillId="0" borderId="1" xfId="0" applyNumberFormat="1" applyFont="1" applyBorder="1" applyAlignment="1">
      <alignment wrapText="1"/>
    </xf>
    <xf numFmtId="0" fontId="7" fillId="0" borderId="0" xfId="0" applyFont="1" applyAlignment="1">
      <alignment wrapText="1"/>
    </xf>
    <xf numFmtId="14" fontId="7" fillId="0" borderId="0" xfId="0" applyNumberFormat="1" applyFont="1" applyAlignment="1">
      <alignment wrapText="1"/>
    </xf>
    <xf numFmtId="49" fontId="7" fillId="0" borderId="0" xfId="0" applyNumberFormat="1" applyFont="1" applyAlignment="1">
      <alignment wrapText="1"/>
    </xf>
    <xf numFmtId="168" fontId="7" fillId="0" borderId="0" xfId="0" applyNumberFormat="1" applyFont="1" applyAlignment="1">
      <alignment wrapText="1"/>
    </xf>
    <xf numFmtId="167" fontId="7" fillId="0" borderId="1" xfId="0" applyNumberFormat="1" applyFont="1" applyBorder="1" applyAlignment="1" applyProtection="1">
      <alignment wrapText="1"/>
      <protection locked="0"/>
    </xf>
    <xf numFmtId="168" fontId="7" fillId="0" borderId="1" xfId="6" applyNumberFormat="1" applyFont="1" applyBorder="1" applyAlignment="1" applyProtection="1">
      <alignment horizontal="center" vertical="center" wrapText="1"/>
      <protection locked="0"/>
    </xf>
    <xf numFmtId="14" fontId="7" fillId="12" borderId="1" xfId="0" applyNumberFormat="1" applyFont="1" applyFill="1" applyBorder="1" applyAlignment="1" applyProtection="1">
      <alignment horizontal="center" vertical="center"/>
      <protection locked="0"/>
    </xf>
    <xf numFmtId="0" fontId="18" fillId="0" borderId="1" xfId="0" applyFont="1" applyBorder="1" applyAlignment="1">
      <alignment horizontal="left" vertical="center"/>
    </xf>
    <xf numFmtId="168" fontId="18" fillId="0" borderId="1" xfId="0" applyNumberFormat="1" applyFont="1" applyBorder="1" applyAlignment="1">
      <alignment horizontal="center" vertical="center" wrapText="1"/>
    </xf>
    <xf numFmtId="0" fontId="18" fillId="20" borderId="1" xfId="0" applyFont="1" applyFill="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7" fillId="0" borderId="0" xfId="0" applyFont="1" applyAlignment="1">
      <alignment horizontal="center" vertical="center"/>
    </xf>
    <xf numFmtId="168" fontId="7" fillId="0" borderId="0" xfId="0" applyNumberFormat="1" applyFont="1" applyAlignment="1">
      <alignment horizontal="center" vertical="center" wrapText="1"/>
    </xf>
    <xf numFmtId="14" fontId="18" fillId="0" borderId="1" xfId="0" applyNumberFormat="1" applyFont="1" applyBorder="1" applyAlignment="1">
      <alignment horizontal="center" vertical="center" wrapText="1"/>
    </xf>
    <xf numFmtId="0" fontId="7" fillId="0" borderId="1" xfId="0" quotePrefix="1" applyFont="1" applyBorder="1" applyAlignment="1" applyProtection="1">
      <alignment horizontal="center" vertical="center" wrapText="1"/>
      <protection locked="0"/>
    </xf>
    <xf numFmtId="0" fontId="7" fillId="2" borderId="1" xfId="0" applyFont="1" applyFill="1" applyBorder="1" applyAlignment="1" applyProtection="1">
      <alignment horizontal="center" wrapText="1"/>
      <protection locked="0"/>
    </xf>
    <xf numFmtId="168" fontId="7" fillId="0" borderId="1" xfId="0" applyNumberFormat="1" applyFont="1" applyBorder="1" applyAlignment="1" applyProtection="1">
      <alignment horizontal="center" wrapText="1"/>
      <protection locked="0"/>
    </xf>
    <xf numFmtId="0" fontId="7" fillId="0" borderId="0" xfId="0" applyFont="1" applyAlignment="1" applyProtection="1">
      <alignment horizontal="center"/>
      <protection locked="0"/>
    </xf>
    <xf numFmtId="168" fontId="7" fillId="2" borderId="0" xfId="0" applyNumberFormat="1" applyFont="1" applyFill="1" applyAlignment="1" applyProtection="1">
      <alignment horizontal="center" wrapText="1"/>
      <protection locked="0"/>
    </xf>
    <xf numFmtId="0" fontId="17" fillId="2" borderId="1" xfId="0" applyFont="1" applyFill="1" applyBorder="1" applyAlignment="1" applyProtection="1">
      <alignment horizontal="center" vertical="center" wrapText="1"/>
      <protection locked="0"/>
    </xf>
    <xf numFmtId="165" fontId="68" fillId="0" borderId="13" xfId="0" applyNumberFormat="1" applyFont="1" applyBorder="1" applyAlignment="1">
      <alignment horizontal="center" vertical="center"/>
    </xf>
    <xf numFmtId="14" fontId="71" fillId="0" borderId="1" xfId="0" applyNumberFormat="1" applyFont="1" applyBorder="1"/>
    <xf numFmtId="0" fontId="71" fillId="0" borderId="3" xfId="0" applyFont="1" applyBorder="1"/>
    <xf numFmtId="14" fontId="71" fillId="0" borderId="7" xfId="0" applyNumberFormat="1" applyFont="1" applyBorder="1"/>
    <xf numFmtId="0" fontId="71" fillId="0" borderId="5" xfId="0" applyFont="1" applyBorder="1"/>
    <xf numFmtId="14" fontId="71" fillId="0" borderId="1" xfId="0" applyNumberFormat="1" applyFont="1" applyBorder="1" applyAlignment="1">
      <alignment horizontal="center"/>
    </xf>
    <xf numFmtId="0" fontId="71" fillId="0" borderId="3" xfId="0" applyFont="1" applyBorder="1" applyAlignment="1">
      <alignment horizontal="center"/>
    </xf>
    <xf numFmtId="0" fontId="69" fillId="0" borderId="3" xfId="0" applyFont="1" applyBorder="1" applyAlignment="1">
      <alignment horizontal="center"/>
    </xf>
    <xf numFmtId="0" fontId="71" fillId="0" borderId="5" xfId="0" applyFont="1" applyBorder="1" applyAlignment="1">
      <alignment horizontal="center"/>
    </xf>
    <xf numFmtId="0" fontId="69" fillId="0" borderId="5" xfId="0" applyFont="1" applyBorder="1" applyAlignment="1">
      <alignment horizontal="center"/>
    </xf>
    <xf numFmtId="14" fontId="69" fillId="0" borderId="5" xfId="0" applyNumberFormat="1" applyFont="1" applyBorder="1" applyAlignment="1">
      <alignment horizontal="center"/>
    </xf>
    <xf numFmtId="6" fontId="69" fillId="0" borderId="5" xfId="0" applyNumberFormat="1" applyFont="1" applyBorder="1" applyAlignment="1">
      <alignment horizontal="center"/>
    </xf>
    <xf numFmtId="0" fontId="69" fillId="0" borderId="5" xfId="0" applyFont="1" applyBorder="1" applyAlignment="1">
      <alignment horizontal="center" wrapText="1"/>
    </xf>
    <xf numFmtId="0" fontId="6" fillId="3" borderId="1" xfId="0" applyFont="1" applyFill="1" applyBorder="1" applyAlignment="1" applyProtection="1">
      <alignment vertical="center" wrapText="1"/>
      <protection locked="0"/>
    </xf>
    <xf numFmtId="0" fontId="59" fillId="0" borderId="1"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69" fillId="11" borderId="1" xfId="0" applyFont="1" applyFill="1" applyBorder="1" applyAlignment="1" applyProtection="1">
      <alignment vertical="center" wrapText="1"/>
      <protection locked="0"/>
    </xf>
    <xf numFmtId="0" fontId="9" fillId="0" borderId="1" xfId="2" applyBorder="1" applyAlignment="1">
      <alignment vertical="center" wrapText="1"/>
    </xf>
    <xf numFmtId="0" fontId="7" fillId="14" borderId="1" xfId="0" applyFont="1" applyFill="1" applyBorder="1" applyAlignment="1" applyProtection="1">
      <alignment vertical="top" wrapText="1"/>
      <protection locked="0"/>
    </xf>
    <xf numFmtId="0" fontId="9" fillId="0" borderId="13" xfId="0" applyFont="1" applyBorder="1" applyAlignment="1" applyProtection="1">
      <alignment vertical="center" wrapText="1"/>
      <protection locked="0"/>
    </xf>
    <xf numFmtId="0" fontId="9" fillId="0" borderId="17" xfId="0" applyFont="1" applyBorder="1" applyAlignment="1" applyProtection="1">
      <alignment vertical="center" wrapText="1"/>
      <protection locked="0"/>
    </xf>
    <xf numFmtId="0" fontId="7" fillId="14" borderId="1" xfId="0" applyFont="1" applyFill="1" applyBorder="1" applyAlignment="1" applyProtection="1">
      <alignment vertical="center" wrapText="1"/>
      <protection locked="0"/>
    </xf>
    <xf numFmtId="0" fontId="7" fillId="16" borderId="1" xfId="0" applyFont="1" applyFill="1" applyBorder="1" applyAlignment="1" applyProtection="1">
      <alignment vertical="center" wrapText="1"/>
      <protection locked="0"/>
    </xf>
    <xf numFmtId="0" fontId="7" fillId="0" borderId="1" xfId="0" applyFont="1" applyBorder="1" applyAlignment="1" applyProtection="1">
      <alignment vertical="top" wrapText="1"/>
      <protection locked="0"/>
    </xf>
    <xf numFmtId="0" fontId="7" fillId="17" borderId="1" xfId="0" applyFont="1" applyFill="1" applyBorder="1" applyAlignment="1" applyProtection="1">
      <alignment vertical="center" wrapText="1"/>
      <protection locked="0"/>
    </xf>
    <xf numFmtId="0" fontId="11" fillId="0" borderId="1" xfId="0" applyFont="1" applyBorder="1" applyAlignment="1">
      <alignment vertical="center" wrapText="1"/>
    </xf>
    <xf numFmtId="0" fontId="36" fillId="0" borderId="1" xfId="0" applyFont="1" applyBorder="1" applyAlignment="1">
      <alignment wrapText="1"/>
    </xf>
    <xf numFmtId="0" fontId="7" fillId="0" borderId="1" xfId="1" applyFont="1" applyBorder="1" applyAlignment="1" applyProtection="1">
      <alignment vertical="center" wrapText="1"/>
      <protection locked="0"/>
    </xf>
    <xf numFmtId="0" fontId="9" fillId="0" borderId="1" xfId="0" applyFont="1" applyBorder="1" applyAlignment="1" applyProtection="1">
      <alignment vertical="top" wrapText="1"/>
      <protection locked="0"/>
    </xf>
    <xf numFmtId="0" fontId="9" fillId="14" borderId="1" xfId="0" applyFont="1" applyFill="1" applyBorder="1" applyAlignment="1" applyProtection="1">
      <alignment vertical="center" wrapText="1"/>
      <protection locked="0"/>
    </xf>
    <xf numFmtId="0" fontId="36" fillId="0" borderId="1" xfId="0" applyFont="1" applyBorder="1" applyAlignment="1" applyProtection="1">
      <alignment vertical="center" wrapText="1"/>
      <protection locked="0"/>
    </xf>
    <xf numFmtId="0" fontId="58" fillId="13" borderId="1" xfId="2" applyFont="1" applyFill="1" applyBorder="1" applyAlignment="1">
      <alignment vertical="center" wrapText="1"/>
    </xf>
    <xf numFmtId="0" fontId="9" fillId="7" borderId="1" xfId="2" applyFill="1" applyBorder="1" applyAlignment="1">
      <alignment vertical="center" wrapText="1"/>
    </xf>
    <xf numFmtId="0" fontId="55" fillId="13" borderId="1" xfId="2" applyFont="1" applyFill="1" applyBorder="1" applyAlignment="1">
      <alignment vertical="center" wrapText="1"/>
    </xf>
    <xf numFmtId="0" fontId="9" fillId="23" borderId="1" xfId="2" applyFill="1" applyBorder="1" applyAlignment="1">
      <alignment vertical="center" wrapText="1"/>
    </xf>
    <xf numFmtId="0" fontId="9" fillId="23" borderId="1" xfId="0" applyFont="1" applyFill="1" applyBorder="1" applyAlignment="1" applyProtection="1">
      <alignment vertical="center" wrapText="1"/>
      <protection locked="0"/>
    </xf>
    <xf numFmtId="0" fontId="9" fillId="0" borderId="7" xfId="2" applyBorder="1" applyAlignment="1">
      <alignment vertical="center" wrapText="1"/>
    </xf>
    <xf numFmtId="0" fontId="9" fillId="0" borderId="8" xfId="0" applyFont="1" applyBorder="1" applyAlignment="1" applyProtection="1">
      <alignment vertical="center" wrapText="1"/>
      <protection locked="0"/>
    </xf>
    <xf numFmtId="0" fontId="7" fillId="0" borderId="7" xfId="0" applyFont="1" applyBorder="1" applyAlignment="1" applyProtection="1">
      <alignment vertical="top" wrapText="1"/>
      <protection locked="0"/>
    </xf>
    <xf numFmtId="0" fontId="69" fillId="7" borderId="1" xfId="0" applyFont="1" applyFill="1" applyBorder="1" applyAlignment="1" applyProtection="1">
      <alignment vertical="center" wrapText="1"/>
      <protection locked="0"/>
    </xf>
    <xf numFmtId="0" fontId="9" fillId="10" borderId="1" xfId="2" applyFill="1" applyBorder="1" applyAlignment="1">
      <alignment vertical="center" wrapText="1"/>
    </xf>
    <xf numFmtId="0" fontId="69" fillId="0" borderId="1" xfId="2" applyFont="1" applyBorder="1" applyAlignment="1">
      <alignment vertical="center" wrapText="1"/>
    </xf>
    <xf numFmtId="0" fontId="9" fillId="24" borderId="1" xfId="2" applyFill="1" applyBorder="1" applyAlignment="1">
      <alignment vertical="center" wrapText="1"/>
    </xf>
    <xf numFmtId="0" fontId="9" fillId="13" borderId="1" xfId="2" applyFill="1" applyBorder="1" applyAlignment="1">
      <alignment vertical="center" wrapText="1"/>
    </xf>
    <xf numFmtId="0" fontId="68" fillId="0" borderId="1" xfId="0" applyFont="1" applyBorder="1" applyAlignment="1">
      <alignment vertical="center" wrapText="1"/>
    </xf>
    <xf numFmtId="0" fontId="69" fillId="0" borderId="1" xfId="0" applyFont="1" applyBorder="1" applyAlignment="1" applyProtection="1">
      <alignment vertical="center" wrapText="1"/>
      <protection locked="0"/>
    </xf>
    <xf numFmtId="0" fontId="69" fillId="0" borderId="1" xfId="1" applyFont="1" applyBorder="1" applyAlignment="1" applyProtection="1">
      <alignment vertical="center" wrapText="1"/>
      <protection locked="0"/>
    </xf>
    <xf numFmtId="0" fontId="68" fillId="7" borderId="1" xfId="0" applyFont="1" applyFill="1" applyBorder="1" applyAlignment="1">
      <alignment vertical="center" wrapText="1"/>
    </xf>
    <xf numFmtId="0" fontId="9" fillId="21" borderId="1" xfId="2" applyFill="1" applyBorder="1" applyAlignment="1">
      <alignment vertical="center" wrapText="1"/>
    </xf>
    <xf numFmtId="0" fontId="9" fillId="2" borderId="1" xfId="2" applyFill="1" applyBorder="1" applyAlignment="1">
      <alignment vertical="center" wrapText="1"/>
    </xf>
    <xf numFmtId="0" fontId="69" fillId="0" borderId="13" xfId="0" applyFont="1" applyBorder="1" applyAlignment="1" applyProtection="1">
      <alignment vertical="center" wrapText="1"/>
      <protection locked="0"/>
    </xf>
    <xf numFmtId="0" fontId="69" fillId="0" borderId="13" xfId="1" applyFont="1" applyBorder="1" applyAlignment="1" applyProtection="1">
      <alignment vertical="center" wrapText="1"/>
      <protection locked="0"/>
    </xf>
    <xf numFmtId="0" fontId="69" fillId="7" borderId="1" xfId="1" applyFont="1" applyFill="1" applyBorder="1" applyAlignment="1" applyProtection="1">
      <alignment vertical="center" wrapText="1"/>
      <protection locked="0"/>
    </xf>
    <xf numFmtId="0" fontId="59" fillId="0" borderId="13" xfId="0" applyFont="1" applyBorder="1" applyAlignment="1" applyProtection="1">
      <alignment vertical="center" wrapText="1"/>
      <protection locked="0"/>
    </xf>
    <xf numFmtId="0" fontId="69" fillId="0" borderId="1" xfId="0" applyFont="1" applyBorder="1" applyAlignment="1">
      <alignment vertical="center" wrapText="1"/>
    </xf>
    <xf numFmtId="0" fontId="69" fillId="25" borderId="1" xfId="0" applyFont="1" applyFill="1" applyBorder="1" applyAlignment="1" applyProtection="1">
      <alignment vertical="center" wrapText="1"/>
      <protection locked="0"/>
    </xf>
    <xf numFmtId="0" fontId="69" fillId="10" borderId="1" xfId="2" applyFont="1" applyFill="1" applyBorder="1" applyAlignment="1">
      <alignment vertical="center" wrapText="1"/>
    </xf>
    <xf numFmtId="0" fontId="68" fillId="0" borderId="1" xfId="0" applyFont="1" applyBorder="1" applyAlignment="1" applyProtection="1">
      <alignment vertical="center" wrapText="1"/>
      <protection locked="0"/>
    </xf>
    <xf numFmtId="0" fontId="71" fillId="0" borderId="1" xfId="2" applyFont="1" applyBorder="1" applyAlignment="1">
      <alignment vertical="center" wrapText="1"/>
    </xf>
    <xf numFmtId="0" fontId="69" fillId="14" borderId="1" xfId="2" applyFont="1" applyFill="1" applyBorder="1" applyAlignment="1">
      <alignment vertical="center" wrapText="1"/>
    </xf>
    <xf numFmtId="0" fontId="69" fillId="0" borderId="15" xfId="0" applyFont="1" applyBorder="1" applyAlignment="1" applyProtection="1">
      <alignment vertical="center" wrapText="1"/>
      <protection locked="0"/>
    </xf>
    <xf numFmtId="0" fontId="71" fillId="0" borderId="1" xfId="0" applyFont="1" applyBorder="1" applyAlignment="1" applyProtection="1">
      <alignment vertical="center" wrapText="1"/>
      <protection locked="0"/>
    </xf>
    <xf numFmtId="0" fontId="69" fillId="7" borderId="1" xfId="2" applyFont="1" applyFill="1" applyBorder="1" applyAlignment="1">
      <alignment vertical="center" wrapText="1"/>
    </xf>
    <xf numFmtId="0" fontId="68" fillId="7" borderId="1" xfId="0" quotePrefix="1" applyFont="1" applyFill="1" applyBorder="1" applyAlignment="1">
      <alignment vertical="center" wrapText="1"/>
    </xf>
    <xf numFmtId="0" fontId="69" fillId="0" borderId="1" xfId="0" applyFont="1" applyBorder="1" applyAlignment="1" applyProtection="1">
      <alignment vertical="top" wrapText="1"/>
      <protection locked="0"/>
    </xf>
    <xf numFmtId="0" fontId="69" fillId="0" borderId="5" xfId="0" applyFont="1" applyBorder="1" applyAlignment="1" applyProtection="1">
      <alignment vertical="center" wrapText="1"/>
      <protection locked="0"/>
    </xf>
    <xf numFmtId="0" fontId="71" fillId="0" borderId="24" xfId="0" applyFont="1" applyBorder="1" applyAlignment="1">
      <alignment horizontal="center" wrapText="1"/>
    </xf>
    <xf numFmtId="0" fontId="71" fillId="0" borderId="5" xfId="0" applyFont="1" applyBorder="1" applyAlignment="1">
      <alignment horizontal="center" wrapText="1"/>
    </xf>
    <xf numFmtId="0" fontId="71" fillId="0" borderId="13" xfId="0" applyFont="1" applyBorder="1" applyAlignment="1">
      <alignment horizontal="center" wrapText="1"/>
    </xf>
    <xf numFmtId="0" fontId="71" fillId="0" borderId="1" xfId="0" applyFont="1" applyBorder="1" applyAlignment="1">
      <alignment horizontal="center" wrapText="1"/>
    </xf>
    <xf numFmtId="0" fontId="71" fillId="0" borderId="3" xfId="0" applyFont="1" applyBorder="1" applyAlignment="1">
      <alignment horizontal="center" wrapText="1"/>
    </xf>
    <xf numFmtId="0" fontId="71" fillId="0" borderId="2" xfId="0" applyFont="1" applyBorder="1" applyAlignment="1">
      <alignment horizontal="center" wrapText="1"/>
    </xf>
    <xf numFmtId="14" fontId="71" fillId="0" borderId="13" xfId="0" applyNumberFormat="1" applyFont="1" applyBorder="1" applyAlignment="1">
      <alignment horizontal="center" wrapText="1"/>
    </xf>
    <xf numFmtId="6" fontId="71" fillId="0" borderId="13" xfId="0" applyNumberFormat="1" applyFont="1" applyBorder="1" applyAlignment="1">
      <alignment horizontal="center" wrapText="1"/>
    </xf>
    <xf numFmtId="14" fontId="71" fillId="0" borderId="1" xfId="0" applyNumberFormat="1" applyFont="1" applyBorder="1" applyAlignment="1">
      <alignment horizontal="center" wrapText="1"/>
    </xf>
    <xf numFmtId="6" fontId="71" fillId="0" borderId="3" xfId="0" applyNumberFormat="1" applyFont="1" applyBorder="1" applyAlignment="1">
      <alignment horizontal="center" wrapText="1"/>
    </xf>
    <xf numFmtId="6" fontId="71" fillId="0" borderId="5" xfId="0" applyNumberFormat="1" applyFont="1" applyBorder="1" applyAlignment="1">
      <alignment horizontal="center" wrapText="1"/>
    </xf>
    <xf numFmtId="14" fontId="71" fillId="0" borderId="5" xfId="0" applyNumberFormat="1" applyFont="1" applyBorder="1" applyAlignment="1">
      <alignment horizontal="center" wrapText="1"/>
    </xf>
    <xf numFmtId="6" fontId="69" fillId="0" borderId="5" xfId="0" applyNumberFormat="1" applyFont="1" applyBorder="1" applyAlignment="1">
      <alignment horizontal="center" wrapText="1"/>
    </xf>
    <xf numFmtId="0" fontId="86" fillId="0" borderId="0" xfId="0" applyFont="1"/>
    <xf numFmtId="0" fontId="69" fillId="2" borderId="0" xfId="0" applyFont="1" applyFill="1" applyAlignment="1" applyProtection="1">
      <alignment horizontal="left" vertical="top" wrapText="1"/>
      <protection locked="0"/>
    </xf>
    <xf numFmtId="0" fontId="68" fillId="0" borderId="30" xfId="0" applyFont="1" applyBorder="1" applyAlignment="1">
      <alignment horizontal="left" vertical="center" wrapText="1"/>
    </xf>
    <xf numFmtId="0" fontId="71" fillId="0" borderId="3" xfId="0" applyFont="1" applyBorder="1" applyAlignment="1">
      <alignment wrapText="1"/>
    </xf>
    <xf numFmtId="0" fontId="86" fillId="11" borderId="0" xfId="0" applyFont="1" applyFill="1"/>
    <xf numFmtId="14" fontId="71" fillId="0" borderId="13" xfId="0" applyNumberFormat="1" applyFont="1" applyBorder="1" applyAlignment="1">
      <alignment horizontal="center"/>
    </xf>
    <xf numFmtId="14" fontId="71" fillId="0" borderId="0" xfId="0" applyNumberFormat="1" applyFont="1" applyAlignment="1">
      <alignment horizontal="center"/>
    </xf>
    <xf numFmtId="14" fontId="0" fillId="0" borderId="7" xfId="0" applyNumberFormat="1" applyBorder="1"/>
    <xf numFmtId="14" fontId="68" fillId="10" borderId="0" xfId="0" applyNumberFormat="1" applyFont="1" applyFill="1" applyAlignment="1">
      <alignment horizontal="center" vertical="center"/>
    </xf>
    <xf numFmtId="165" fontId="68" fillId="25" borderId="0" xfId="0" applyNumberFormat="1" applyFont="1" applyFill="1" applyAlignment="1">
      <alignment horizontal="center" vertical="center"/>
    </xf>
    <xf numFmtId="0" fontId="68" fillId="25" borderId="0" xfId="0" applyFont="1" applyFill="1" applyAlignment="1">
      <alignment horizontal="center" vertical="center"/>
    </xf>
    <xf numFmtId="0" fontId="71" fillId="0" borderId="13" xfId="0" applyFont="1" applyBorder="1" applyAlignment="1">
      <alignment horizontal="center"/>
    </xf>
    <xf numFmtId="0" fontId="71" fillId="0" borderId="22" xfId="0" applyFont="1" applyBorder="1" applyAlignment="1">
      <alignment horizontal="center"/>
    </xf>
    <xf numFmtId="0" fontId="71" fillId="0" borderId="1" xfId="0" applyFont="1" applyBorder="1" applyAlignment="1">
      <alignment horizontal="center"/>
    </xf>
    <xf numFmtId="0" fontId="7" fillId="0" borderId="24" xfId="0" applyFont="1" applyBorder="1" applyAlignment="1" applyProtection="1">
      <alignment vertical="center"/>
      <protection locked="0"/>
    </xf>
    <xf numFmtId="0" fontId="71" fillId="0" borderId="0" xfId="0" applyFont="1" applyAlignment="1">
      <alignment horizontal="center"/>
    </xf>
    <xf numFmtId="0" fontId="59" fillId="0" borderId="24" xfId="2" applyFont="1" applyBorder="1" applyAlignment="1">
      <alignment horizontal="center" vertical="center" wrapText="1"/>
    </xf>
    <xf numFmtId="0" fontId="69" fillId="10" borderId="3" xfId="2" applyFont="1" applyFill="1" applyBorder="1" applyAlignment="1">
      <alignment horizontal="center" vertical="center" wrapText="1"/>
    </xf>
    <xf numFmtId="0" fontId="59" fillId="0" borderId="14" xfId="2" applyFont="1" applyBorder="1" applyAlignment="1">
      <alignment horizontal="center" vertical="center" wrapText="1"/>
    </xf>
    <xf numFmtId="0" fontId="59" fillId="0" borderId="8" xfId="2" applyFont="1" applyBorder="1" applyAlignment="1">
      <alignment horizontal="center" vertical="center" wrapText="1"/>
    </xf>
    <xf numFmtId="0" fontId="69" fillId="7" borderId="3" xfId="2" applyFont="1" applyFill="1" applyBorder="1" applyAlignment="1">
      <alignment horizontal="center" vertical="center" wrapText="1"/>
    </xf>
    <xf numFmtId="0" fontId="68" fillId="0" borderId="17" xfId="0" applyFont="1" applyBorder="1" applyAlignment="1">
      <alignment horizontal="center" vertical="center"/>
    </xf>
    <xf numFmtId="0" fontId="69" fillId="0" borderId="1" xfId="0" applyFont="1" applyBorder="1" applyAlignment="1">
      <alignment horizontal="center"/>
    </xf>
    <xf numFmtId="0" fontId="9" fillId="0" borderId="5" xfId="0" applyFont="1" applyBorder="1" applyAlignment="1">
      <alignment horizontal="center" vertical="center" wrapText="1"/>
    </xf>
    <xf numFmtId="0" fontId="9" fillId="0" borderId="5" xfId="2" applyBorder="1" applyAlignment="1">
      <alignment horizontal="center" vertical="center" wrapText="1"/>
    </xf>
    <xf numFmtId="0" fontId="69" fillId="0" borderId="2" xfId="0" applyFont="1" applyBorder="1" applyAlignment="1">
      <alignment horizontal="center"/>
    </xf>
    <xf numFmtId="0" fontId="31" fillId="0" borderId="2" xfId="0" applyFont="1" applyBorder="1"/>
    <xf numFmtId="167" fontId="59" fillId="0" borderId="5" xfId="6" applyNumberFormat="1" applyFont="1" applyFill="1" applyBorder="1" applyAlignment="1" applyProtection="1">
      <alignment horizontal="center" vertical="center" wrapText="1"/>
      <protection locked="0"/>
    </xf>
    <xf numFmtId="0" fontId="57" fillId="14" borderId="13" xfId="2" applyFont="1" applyFill="1" applyBorder="1" applyAlignment="1">
      <alignment horizontal="center" vertical="center" wrapText="1"/>
    </xf>
    <xf numFmtId="0" fontId="69" fillId="14" borderId="7" xfId="2" applyFont="1" applyFill="1" applyBorder="1" applyAlignment="1">
      <alignment horizontal="center" vertical="center" wrapText="1"/>
    </xf>
    <xf numFmtId="0" fontId="9" fillId="0" borderId="6" xfId="2" applyBorder="1" applyAlignment="1">
      <alignment horizontal="center" vertical="center" wrapText="1"/>
    </xf>
    <xf numFmtId="0" fontId="69" fillId="0" borderId="13" xfId="0" applyFont="1" applyBorder="1" applyAlignment="1">
      <alignment horizontal="center"/>
    </xf>
    <xf numFmtId="0" fontId="36" fillId="0" borderId="5" xfId="0" applyFont="1" applyBorder="1" applyAlignment="1">
      <alignment vertical="center"/>
    </xf>
    <xf numFmtId="0" fontId="36" fillId="0" borderId="5" xfId="0" applyFont="1" applyBorder="1" applyAlignment="1">
      <alignment horizontal="center" vertical="center"/>
    </xf>
    <xf numFmtId="0" fontId="85" fillId="0" borderId="1" xfId="0" applyFont="1" applyBorder="1" applyAlignment="1">
      <alignment horizontal="center"/>
    </xf>
    <xf numFmtId="0" fontId="57" fillId="14" borderId="3" xfId="0" applyFont="1" applyFill="1" applyBorder="1" applyAlignment="1">
      <alignment horizontal="center" vertical="center" wrapText="1"/>
    </xf>
    <xf numFmtId="0" fontId="69" fillId="11" borderId="7" xfId="0" applyFont="1" applyFill="1" applyBorder="1" applyAlignment="1" applyProtection="1">
      <alignment horizontal="center" vertical="center" wrapText="1"/>
      <protection locked="0"/>
    </xf>
    <xf numFmtId="0" fontId="69" fillId="10" borderId="5" xfId="0" applyFont="1" applyFill="1" applyBorder="1" applyAlignment="1">
      <alignment horizontal="center" vertical="center" wrapText="1"/>
    </xf>
    <xf numFmtId="0" fontId="69" fillId="0" borderId="7" xfId="0" applyFont="1" applyBorder="1" applyAlignment="1">
      <alignment horizontal="center"/>
    </xf>
    <xf numFmtId="0" fontId="9" fillId="0" borderId="21" xfId="0" applyFont="1" applyBorder="1" applyAlignment="1">
      <alignment horizontal="center" vertical="center" wrapText="1"/>
    </xf>
    <xf numFmtId="0" fontId="69" fillId="10" borderId="5" xfId="0" applyFont="1" applyFill="1" applyBorder="1" applyAlignment="1" applyProtection="1">
      <alignment horizontal="center" vertical="center" wrapText="1"/>
      <protection locked="0"/>
    </xf>
    <xf numFmtId="0" fontId="59" fillId="0" borderId="5" xfId="0" applyFont="1" applyBorder="1" applyAlignment="1">
      <alignment horizontal="center" vertical="center" wrapText="1"/>
    </xf>
    <xf numFmtId="0" fontId="57" fillId="14" borderId="13" xfId="0" applyFont="1" applyFill="1" applyBorder="1" applyAlignment="1">
      <alignment horizontal="center" vertical="center" wrapText="1"/>
    </xf>
    <xf numFmtId="0" fontId="69" fillId="14" borderId="7" xfId="0" applyFont="1" applyFill="1" applyBorder="1" applyAlignment="1">
      <alignment horizontal="center" vertical="center" wrapText="1"/>
    </xf>
    <xf numFmtId="0" fontId="7" fillId="0" borderId="7" xfId="0" applyFont="1" applyBorder="1" applyAlignment="1">
      <alignment vertical="top"/>
    </xf>
    <xf numFmtId="0" fontId="7" fillId="2" borderId="5" xfId="0" applyFont="1" applyFill="1" applyBorder="1" applyAlignment="1" applyProtection="1">
      <alignment horizontal="center" vertical="center" wrapText="1"/>
      <protection locked="0"/>
    </xf>
    <xf numFmtId="0" fontId="9"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7" fillId="0" borderId="6"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7" fillId="7" borderId="7" xfId="0" applyFont="1" applyFill="1" applyBorder="1" applyAlignment="1">
      <alignment horizontal="center" vertical="center"/>
    </xf>
    <xf numFmtId="0" fontId="9" fillId="0" borderId="21" xfId="2" applyBorder="1" applyAlignment="1">
      <alignment horizontal="center" vertical="center" wrapText="1"/>
    </xf>
    <xf numFmtId="0" fontId="9" fillId="0" borderId="9" xfId="2" applyBorder="1" applyAlignment="1">
      <alignment horizontal="center" vertical="center" wrapText="1"/>
    </xf>
    <xf numFmtId="0" fontId="69" fillId="14" borderId="13" xfId="2" applyFont="1" applyFill="1" applyBorder="1" applyAlignment="1">
      <alignment horizontal="center" vertical="center" wrapText="1"/>
    </xf>
    <xf numFmtId="0" fontId="9" fillId="0" borderId="9" xfId="0" applyFont="1" applyBorder="1" applyAlignment="1" applyProtection="1">
      <alignment horizontal="center" vertical="center" wrapText="1"/>
      <protection locked="0"/>
    </xf>
    <xf numFmtId="0" fontId="69" fillId="0" borderId="1" xfId="0" applyFont="1" applyBorder="1"/>
    <xf numFmtId="0" fontId="9" fillId="0" borderId="5" xfId="0" applyFont="1" applyBorder="1" applyAlignment="1">
      <alignment vertical="center" wrapText="1"/>
    </xf>
    <xf numFmtId="0" fontId="9" fillId="0" borderId="5" xfId="0" applyFont="1" applyBorder="1" applyAlignment="1" applyProtection="1">
      <alignment vertical="center" wrapText="1"/>
      <protection locked="0"/>
    </xf>
    <xf numFmtId="0" fontId="9" fillId="0" borderId="5" xfId="2" applyBorder="1" applyAlignment="1">
      <alignment vertical="center" wrapText="1"/>
    </xf>
    <xf numFmtId="0" fontId="9" fillId="0" borderId="13" xfId="0" applyFont="1" applyBorder="1" applyAlignment="1">
      <alignment vertical="center" wrapText="1"/>
    </xf>
    <xf numFmtId="0" fontId="9" fillId="0" borderId="14" xfId="2" applyBorder="1" applyAlignment="1">
      <alignment vertical="center" wrapText="1"/>
    </xf>
    <xf numFmtId="0" fontId="69" fillId="0" borderId="5" xfId="2" applyFont="1" applyBorder="1" applyAlignment="1">
      <alignment vertical="center" wrapText="1"/>
    </xf>
    <xf numFmtId="0" fontId="9" fillId="0" borderId="8" xfId="2" applyBorder="1" applyAlignment="1">
      <alignment vertical="center" wrapText="1"/>
    </xf>
    <xf numFmtId="0" fontId="69" fillId="0" borderId="0" xfId="0" applyFont="1" applyAlignment="1" applyProtection="1">
      <alignment vertical="center" wrapText="1"/>
      <protection locked="0"/>
    </xf>
    <xf numFmtId="0" fontId="59" fillId="0" borderId="5" xfId="0" applyFont="1" applyBorder="1" applyAlignment="1" applyProtection="1">
      <alignment vertical="center" wrapText="1"/>
      <protection locked="0"/>
    </xf>
    <xf numFmtId="0" fontId="9" fillId="0" borderId="6" xfId="0" applyFont="1" applyBorder="1" applyAlignment="1" applyProtection="1">
      <alignment vertical="center" wrapText="1"/>
      <protection locked="0"/>
    </xf>
    <xf numFmtId="0" fontId="69" fillId="0" borderId="8" xfId="0" applyFont="1" applyBorder="1" applyAlignment="1" applyProtection="1">
      <alignment vertical="center" wrapText="1"/>
      <protection locked="0"/>
    </xf>
    <xf numFmtId="0" fontId="69" fillId="0" borderId="1" xfId="0" applyFont="1" applyBorder="1" applyAlignment="1">
      <alignment wrapText="1"/>
    </xf>
    <xf numFmtId="0" fontId="57" fillId="14" borderId="0" xfId="2" applyFont="1" applyFill="1" applyAlignment="1">
      <alignment horizontal="left" vertical="center" wrapText="1"/>
    </xf>
    <xf numFmtId="0" fontId="9" fillId="0" borderId="5" xfId="0" applyFont="1" applyBorder="1" applyAlignment="1">
      <alignment horizontal="left" vertical="center" wrapText="1"/>
    </xf>
    <xf numFmtId="0" fontId="9" fillId="0" borderId="5" xfId="0" applyFont="1" applyBorder="1" applyAlignment="1" applyProtection="1">
      <alignment horizontal="left" vertical="center" wrapText="1"/>
      <protection locked="0"/>
    </xf>
    <xf numFmtId="0" fontId="36" fillId="0" borderId="5" xfId="0" applyFont="1" applyBorder="1" applyAlignment="1">
      <alignment horizontal="left" vertical="center" wrapText="1"/>
    </xf>
    <xf numFmtId="0" fontId="9" fillId="0" borderId="5" xfId="2" applyBorder="1" applyAlignment="1">
      <alignment horizontal="left" vertical="center" wrapText="1"/>
    </xf>
    <xf numFmtId="0" fontId="69" fillId="0" borderId="0" xfId="1" applyFont="1" applyAlignment="1" applyProtection="1">
      <alignment horizontal="left" vertical="center" wrapText="1"/>
      <protection locked="0"/>
    </xf>
    <xf numFmtId="0" fontId="69" fillId="10" borderId="0" xfId="2" applyFont="1" applyFill="1" applyAlignment="1">
      <alignment horizontal="left" vertical="center" wrapText="1"/>
    </xf>
    <xf numFmtId="0" fontId="71" fillId="0" borderId="0" xfId="0" applyFont="1" applyAlignment="1" applyProtection="1">
      <alignment horizontal="left" vertical="center" wrapText="1"/>
      <protection locked="0"/>
    </xf>
    <xf numFmtId="0" fontId="7" fillId="0" borderId="16" xfId="0" applyFont="1" applyBorder="1" applyAlignment="1" applyProtection="1">
      <alignment vertical="center" wrapText="1"/>
      <protection locked="0"/>
    </xf>
    <xf numFmtId="0" fontId="9" fillId="0" borderId="16" xfId="0" applyFont="1" applyBorder="1" applyAlignment="1" applyProtection="1">
      <alignment horizontal="left" vertical="center" wrapText="1"/>
      <protection locked="0"/>
    </xf>
    <xf numFmtId="0" fontId="9" fillId="0" borderId="28" xfId="2" applyBorder="1" applyAlignment="1">
      <alignment horizontal="left" vertical="center" wrapText="1"/>
    </xf>
    <xf numFmtId="0" fontId="9" fillId="0" borderId="0" xfId="2" applyAlignment="1">
      <alignment horizontal="left" vertical="center" wrapText="1"/>
    </xf>
    <xf numFmtId="0" fontId="69" fillId="0" borderId="0" xfId="0" applyFont="1" applyAlignment="1">
      <alignment horizontal="center"/>
    </xf>
    <xf numFmtId="0" fontId="57" fillId="14" borderId="8" xfId="0" applyFont="1" applyFill="1" applyBorder="1" applyAlignment="1">
      <alignment horizontal="left" vertical="center" wrapText="1"/>
    </xf>
    <xf numFmtId="0" fontId="7" fillId="0" borderId="0" xfId="0" applyFont="1" applyAlignment="1" applyProtection="1">
      <alignment wrapText="1"/>
      <protection locked="0"/>
    </xf>
    <xf numFmtId="0" fontId="9" fillId="0" borderId="13" xfId="0" applyFont="1" applyBorder="1" applyAlignment="1">
      <alignment horizontal="left" vertical="center" wrapText="1"/>
    </xf>
    <xf numFmtId="0" fontId="9" fillId="0" borderId="6" xfId="0" applyFont="1" applyBorder="1" applyAlignment="1">
      <alignment horizontal="left" vertical="center" wrapText="1"/>
    </xf>
    <xf numFmtId="0" fontId="69" fillId="10" borderId="0" xfId="2" applyFont="1" applyFill="1" applyAlignment="1">
      <alignment horizontal="center" vertical="center" wrapText="1"/>
    </xf>
    <xf numFmtId="14" fontId="9" fillId="0" borderId="5" xfId="0" applyNumberFormat="1" applyFont="1" applyBorder="1" applyAlignment="1" applyProtection="1">
      <alignment horizontal="center" vertical="center" wrapText="1"/>
      <protection locked="0"/>
    </xf>
    <xf numFmtId="169" fontId="9" fillId="0" borderId="5" xfId="0" applyNumberFormat="1" applyFont="1" applyBorder="1" applyAlignment="1" applyProtection="1">
      <alignment horizontal="center" vertical="center" wrapText="1"/>
      <protection locked="0"/>
    </xf>
    <xf numFmtId="14" fontId="9" fillId="0" borderId="5" xfId="0" applyNumberFormat="1" applyFont="1" applyBorder="1" applyAlignment="1">
      <alignment horizontal="center" vertical="center" wrapText="1"/>
    </xf>
    <xf numFmtId="169" fontId="9" fillId="0" borderId="5" xfId="2" applyNumberFormat="1" applyBorder="1" applyAlignment="1">
      <alignment horizontal="center" vertical="center" wrapText="1"/>
    </xf>
    <xf numFmtId="169" fontId="9" fillId="0" borderId="28" xfId="2" applyNumberFormat="1" applyBorder="1" applyAlignment="1">
      <alignment horizontal="center" vertical="center" wrapText="1"/>
    </xf>
    <xf numFmtId="15" fontId="9" fillId="0" borderId="13" xfId="0" applyNumberFormat="1" applyFont="1" applyBorder="1" applyAlignment="1" applyProtection="1">
      <alignment horizontal="center" vertical="center" wrapText="1"/>
      <protection locked="0"/>
    </xf>
    <xf numFmtId="169" fontId="9" fillId="0" borderId="13" xfId="2" applyNumberFormat="1" applyBorder="1" applyAlignment="1">
      <alignment horizontal="center" vertical="center" wrapText="1"/>
    </xf>
    <xf numFmtId="0" fontId="69" fillId="11" borderId="0" xfId="0" applyFont="1" applyFill="1" applyAlignment="1" applyProtection="1">
      <alignment horizontal="center" vertical="center" wrapText="1"/>
      <protection locked="0"/>
    </xf>
    <xf numFmtId="15" fontId="59" fillId="0" borderId="5" xfId="0" applyNumberFormat="1" applyFont="1" applyBorder="1" applyAlignment="1" applyProtection="1">
      <alignment horizontal="center" vertical="center" wrapText="1"/>
      <protection locked="0"/>
    </xf>
    <xf numFmtId="15" fontId="59" fillId="0" borderId="5" xfId="0" quotePrefix="1" applyNumberFormat="1" applyFont="1" applyBorder="1" applyAlignment="1" applyProtection="1">
      <alignment horizontal="center" vertical="center" wrapText="1"/>
      <protection locked="0"/>
    </xf>
    <xf numFmtId="15" fontId="9" fillId="0" borderId="5" xfId="0" quotePrefix="1" applyNumberFormat="1" applyFont="1" applyBorder="1" applyAlignment="1" applyProtection="1">
      <alignment horizontal="center" vertical="center" wrapText="1"/>
      <protection locked="0"/>
    </xf>
    <xf numFmtId="14" fontId="9" fillId="0" borderId="22" xfId="0" applyNumberFormat="1" applyFont="1" applyBorder="1" applyAlignment="1" applyProtection="1">
      <alignment horizontal="center" vertical="center" wrapText="1"/>
      <protection locked="0"/>
    </xf>
    <xf numFmtId="0" fontId="0" fillId="0" borderId="22" xfId="0" applyBorder="1"/>
    <xf numFmtId="169" fontId="9" fillId="0" borderId="14" xfId="2" applyNumberFormat="1" applyBorder="1" applyAlignment="1">
      <alignment horizontal="center" vertical="center" wrapText="1"/>
    </xf>
    <xf numFmtId="165" fontId="7" fillId="0" borderId="13" xfId="0" applyNumberFormat="1" applyFont="1" applyBorder="1" applyAlignment="1" applyProtection="1">
      <alignment horizontal="center" vertical="center" wrapText="1"/>
      <protection locked="0"/>
    </xf>
    <xf numFmtId="15" fontId="9" fillId="0" borderId="22" xfId="0" applyNumberFormat="1" applyFont="1" applyBorder="1" applyAlignment="1" applyProtection="1">
      <alignment horizontal="center" vertical="center" wrapText="1"/>
      <protection locked="0"/>
    </xf>
    <xf numFmtId="169" fontId="9" fillId="0" borderId="8" xfId="2" applyNumberFormat="1" applyBorder="1" applyAlignment="1">
      <alignment horizontal="center" vertical="center" wrapText="1"/>
    </xf>
    <xf numFmtId="14" fontId="57" fillId="14" borderId="13" xfId="0" applyNumberFormat="1" applyFont="1" applyFill="1" applyBorder="1" applyAlignment="1">
      <alignment horizontal="center" vertical="center" wrapText="1"/>
    </xf>
    <xf numFmtId="165" fontId="69" fillId="14" borderId="7" xfId="0" applyNumberFormat="1" applyFont="1" applyFill="1" applyBorder="1" applyAlignment="1">
      <alignment horizontal="center" vertical="center" wrapText="1"/>
    </xf>
    <xf numFmtId="15" fontId="9" fillId="0" borderId="8" xfId="0" quotePrefix="1" applyNumberFormat="1" applyFont="1" applyBorder="1" applyAlignment="1" applyProtection="1">
      <alignment horizontal="center" vertical="center" wrapText="1"/>
      <protection locked="0"/>
    </xf>
    <xf numFmtId="165" fontId="7" fillId="0" borderId="18" xfId="0" applyNumberFormat="1" applyFont="1" applyBorder="1" applyAlignment="1" applyProtection="1">
      <alignment horizontal="center" vertical="center" wrapText="1"/>
      <protection locked="0"/>
    </xf>
    <xf numFmtId="15" fontId="9" fillId="0" borderId="5" xfId="0" applyNumberFormat="1" applyFont="1" applyBorder="1" applyAlignment="1" applyProtection="1">
      <alignment horizontal="center" vertical="center" wrapText="1"/>
      <protection locked="0"/>
    </xf>
    <xf numFmtId="14" fontId="69" fillId="14" borderId="7" xfId="0" applyNumberFormat="1" applyFont="1" applyFill="1" applyBorder="1" applyAlignment="1">
      <alignment horizontal="center" vertical="center" wrapText="1"/>
    </xf>
    <xf numFmtId="14" fontId="7" fillId="0" borderId="7" xfId="0" applyNumberFormat="1" applyFont="1" applyBorder="1" applyAlignment="1">
      <alignment horizontal="center" vertical="center" wrapText="1"/>
    </xf>
    <xf numFmtId="14" fontId="9" fillId="0" borderId="0" xfId="0" applyNumberFormat="1" applyFont="1" applyAlignment="1">
      <alignment horizontal="center" vertical="center" wrapText="1"/>
    </xf>
    <xf numFmtId="14" fontId="7" fillId="2" borderId="7" xfId="0" applyNumberFormat="1" applyFont="1" applyFill="1" applyBorder="1" applyAlignment="1" applyProtection="1">
      <alignment horizontal="center" vertical="center"/>
      <protection locked="0"/>
    </xf>
    <xf numFmtId="14" fontId="69" fillId="0" borderId="1" xfId="0" applyNumberFormat="1" applyFont="1" applyBorder="1" applyAlignment="1">
      <alignment horizontal="center"/>
    </xf>
    <xf numFmtId="14" fontId="9" fillId="0" borderId="5" xfId="2" applyNumberFormat="1" applyBorder="1" applyAlignment="1">
      <alignment horizontal="center" vertical="center" wrapText="1"/>
    </xf>
    <xf numFmtId="14" fontId="69" fillId="0" borderId="7" xfId="0" applyNumberFormat="1" applyFont="1" applyBorder="1" applyAlignment="1">
      <alignment horizontal="center"/>
    </xf>
    <xf numFmtId="169" fontId="9" fillId="0" borderId="21" xfId="2" applyNumberFormat="1" applyBorder="1" applyAlignment="1">
      <alignment horizontal="center" vertical="center" wrapText="1"/>
    </xf>
    <xf numFmtId="14" fontId="69" fillId="0" borderId="0" xfId="2" applyNumberFormat="1" applyFont="1" applyAlignment="1">
      <alignment horizontal="center" vertical="center" wrapText="1"/>
    </xf>
    <xf numFmtId="165" fontId="9" fillId="0" borderId="13" xfId="2" applyNumberFormat="1" applyBorder="1" applyAlignment="1">
      <alignment horizontal="center" vertical="center" wrapText="1"/>
    </xf>
    <xf numFmtId="14" fontId="69" fillId="14" borderId="7" xfId="2" applyNumberFormat="1" applyFont="1" applyFill="1" applyBorder="1" applyAlignment="1">
      <alignment horizontal="center" vertical="center" wrapText="1"/>
    </xf>
    <xf numFmtId="14" fontId="10" fillId="0" borderId="7" xfId="0" applyNumberFormat="1" applyFont="1" applyBorder="1" applyAlignment="1">
      <alignment horizontal="center" vertical="center"/>
    </xf>
    <xf numFmtId="14" fontId="69" fillId="0" borderId="13" xfId="0" applyNumberFormat="1" applyFont="1" applyBorder="1" applyAlignment="1">
      <alignment horizontal="center"/>
    </xf>
    <xf numFmtId="14" fontId="7" fillId="0" borderId="7" xfId="0" applyNumberFormat="1" applyFont="1" applyBorder="1" applyAlignment="1" applyProtection="1">
      <alignment horizontal="center" vertical="top" wrapText="1"/>
      <protection locked="0"/>
    </xf>
    <xf numFmtId="1" fontId="59" fillId="0" borderId="5" xfId="0" applyNumberFormat="1" applyFont="1" applyBorder="1" applyAlignment="1" applyProtection="1">
      <alignment horizontal="center" vertical="center" wrapText="1"/>
      <protection locked="0"/>
    </xf>
    <xf numFmtId="14" fontId="69" fillId="0" borderId="0" xfId="0" applyNumberFormat="1" applyFont="1" applyAlignment="1">
      <alignment horizontal="center"/>
    </xf>
    <xf numFmtId="1" fontId="9" fillId="0" borderId="3" xfId="0" applyNumberFormat="1" applyFont="1" applyBorder="1" applyAlignment="1" applyProtection="1">
      <alignment horizontal="center" vertical="center" wrapText="1"/>
      <protection locked="0"/>
    </xf>
    <xf numFmtId="1" fontId="9" fillId="0" borderId="5" xfId="0" applyNumberFormat="1" applyFont="1" applyBorder="1" applyAlignment="1" applyProtection="1">
      <alignment horizontal="center" vertical="center" wrapText="1"/>
      <protection locked="0"/>
    </xf>
    <xf numFmtId="1" fontId="57" fillId="14" borderId="2" xfId="2" applyNumberFormat="1" applyFont="1" applyFill="1" applyBorder="1" applyAlignment="1">
      <alignment horizontal="center" vertical="center" wrapText="1"/>
    </xf>
    <xf numFmtId="14" fontId="69" fillId="0" borderId="2" xfId="0" applyNumberFormat="1" applyFont="1" applyBorder="1" applyAlignment="1">
      <alignment horizontal="center"/>
    </xf>
    <xf numFmtId="1" fontId="9" fillId="0" borderId="5" xfId="0" applyNumberFormat="1" applyFont="1" applyBorder="1" applyAlignment="1">
      <alignment horizontal="center" vertical="center" wrapText="1"/>
    </xf>
    <xf numFmtId="1" fontId="69" fillId="10" borderId="1" xfId="2" applyNumberFormat="1" applyFont="1" applyFill="1" applyBorder="1" applyAlignment="1">
      <alignment horizontal="center" vertical="center" wrapText="1"/>
    </xf>
    <xf numFmtId="1" fontId="9" fillId="0" borderId="5" xfId="2" applyNumberFormat="1" applyBorder="1" applyAlignment="1">
      <alignment horizontal="center" vertical="center" wrapText="1"/>
    </xf>
    <xf numFmtId="1" fontId="9" fillId="0" borderId="14" xfId="2" applyNumberFormat="1" applyBorder="1" applyAlignment="1">
      <alignment horizontal="center" vertical="center" wrapText="1"/>
    </xf>
    <xf numFmtId="1" fontId="59" fillId="0" borderId="7" xfId="0" applyNumberFormat="1" applyFont="1" applyBorder="1" applyAlignment="1" applyProtection="1">
      <alignment horizontal="center" vertical="center" wrapText="1"/>
      <protection locked="0"/>
    </xf>
    <xf numFmtId="0" fontId="7" fillId="2" borderId="7" xfId="0" applyFont="1" applyFill="1" applyBorder="1" applyAlignment="1" applyProtection="1">
      <alignment horizontal="center" vertical="center"/>
      <protection locked="0"/>
    </xf>
    <xf numFmtId="1" fontId="57" fillId="14" borderId="13" xfId="2" applyNumberFormat="1" applyFont="1" applyFill="1" applyBorder="1" applyAlignment="1">
      <alignment horizontal="center" vertical="center" wrapText="1"/>
    </xf>
    <xf numFmtId="1" fontId="9" fillId="0" borderId="21" xfId="2" applyNumberFormat="1" applyBorder="1" applyAlignment="1">
      <alignment horizontal="center" vertical="center" wrapText="1"/>
    </xf>
    <xf numFmtId="0" fontId="7" fillId="0" borderId="15" xfId="0" applyFont="1" applyBorder="1" applyAlignment="1" applyProtection="1">
      <alignment horizontal="center" vertical="center"/>
      <protection locked="0"/>
    </xf>
    <xf numFmtId="1" fontId="59" fillId="0" borderId="3" xfId="0" applyNumberFormat="1" applyFont="1" applyBorder="1" applyAlignment="1" applyProtection="1">
      <alignment horizontal="center" vertical="center" wrapText="1"/>
      <protection locked="0"/>
    </xf>
    <xf numFmtId="1" fontId="9" fillId="0" borderId="6" xfId="2" applyNumberFormat="1" applyBorder="1" applyAlignment="1">
      <alignment horizontal="center" vertical="center" wrapText="1"/>
    </xf>
    <xf numFmtId="1" fontId="59" fillId="0" borderId="0" xfId="0" applyNumberFormat="1" applyFont="1" applyAlignment="1" applyProtection="1">
      <alignment horizontal="center" vertical="center" wrapText="1"/>
      <protection locked="0"/>
    </xf>
    <xf numFmtId="1" fontId="69" fillId="25" borderId="1" xfId="1" applyNumberFormat="1" applyFont="1" applyFill="1" applyBorder="1" applyAlignment="1">
      <alignment horizontal="center" vertical="center" wrapText="1"/>
    </xf>
    <xf numFmtId="0" fontId="7" fillId="11" borderId="2" xfId="0" applyFont="1" applyFill="1" applyBorder="1" applyAlignment="1" applyProtection="1">
      <alignment horizontal="center" vertical="center" wrapText="1"/>
      <protection locked="0"/>
    </xf>
    <xf numFmtId="0" fontId="7" fillId="0" borderId="7" xfId="1" applyFont="1" applyBorder="1" applyAlignment="1">
      <alignment horizontal="center" vertical="center" wrapText="1"/>
    </xf>
    <xf numFmtId="1" fontId="69" fillId="14" borderId="6" xfId="2" applyNumberFormat="1" applyFont="1" applyFill="1" applyBorder="1" applyAlignment="1">
      <alignment horizontal="center" vertical="center" wrapText="1"/>
    </xf>
    <xf numFmtId="0" fontId="7" fillId="0" borderId="25" xfId="0" applyFont="1" applyBorder="1" applyAlignment="1" applyProtection="1">
      <alignment horizontal="center" vertical="center"/>
      <protection locked="0"/>
    </xf>
    <xf numFmtId="0" fontId="68" fillId="7" borderId="2" xfId="0" applyFont="1" applyFill="1" applyBorder="1" applyAlignment="1">
      <alignment horizontal="center" vertical="center"/>
    </xf>
    <xf numFmtId="0" fontId="7" fillId="0" borderId="13" xfId="0" applyFont="1" applyBorder="1" applyAlignment="1" applyProtection="1">
      <alignment horizontal="center" wrapText="1"/>
      <protection locked="0"/>
    </xf>
    <xf numFmtId="49" fontId="69" fillId="2" borderId="1" xfId="0" applyNumberFormat="1" applyFont="1" applyFill="1" applyBorder="1" applyAlignment="1" applyProtection="1">
      <alignment horizontal="center" vertical="center"/>
      <protection locked="0"/>
    </xf>
    <xf numFmtId="49" fontId="7" fillId="2" borderId="0" xfId="0" applyNumberFormat="1" applyFont="1" applyFill="1" applyAlignment="1" applyProtection="1">
      <alignment horizontal="center" vertical="center"/>
      <protection locked="0"/>
    </xf>
    <xf numFmtId="49" fontId="69" fillId="25" borderId="1" xfId="0" applyNumberFormat="1" applyFont="1" applyFill="1" applyBorder="1" applyAlignment="1" applyProtection="1">
      <alignment horizontal="center" vertical="center" wrapText="1"/>
      <protection locked="0"/>
    </xf>
    <xf numFmtId="14" fontId="69" fillId="0" borderId="15" xfId="0" applyNumberFormat="1" applyFont="1" applyBorder="1" applyAlignment="1">
      <alignment horizontal="center"/>
    </xf>
    <xf numFmtId="0" fontId="7" fillId="14" borderId="0" xfId="0" applyFont="1" applyFill="1" applyAlignment="1">
      <alignment horizontal="center" vertical="top"/>
    </xf>
    <xf numFmtId="0" fontId="7" fillId="0" borderId="13" xfId="0" applyFont="1" applyBorder="1" applyAlignment="1">
      <alignment horizontal="center" vertical="center"/>
    </xf>
    <xf numFmtId="49" fontId="7" fillId="2" borderId="7" xfId="0" applyNumberFormat="1" applyFont="1" applyFill="1" applyBorder="1" applyAlignment="1" applyProtection="1">
      <alignment horizontal="center" vertical="center"/>
      <protection locked="0"/>
    </xf>
    <xf numFmtId="49" fontId="7" fillId="0" borderId="2" xfId="0" applyNumberFormat="1" applyFont="1" applyBorder="1" applyAlignment="1" applyProtection="1">
      <alignment vertical="center" wrapText="1"/>
      <protection locked="0"/>
    </xf>
    <xf numFmtId="3" fontId="69" fillId="25" borderId="1" xfId="0" applyNumberFormat="1" applyFont="1" applyFill="1" applyBorder="1" applyAlignment="1" applyProtection="1">
      <alignment horizontal="center" vertical="center" wrapText="1"/>
      <protection locked="0"/>
    </xf>
    <xf numFmtId="1" fontId="9" fillId="0" borderId="19" xfId="0" applyNumberFormat="1" applyFont="1" applyBorder="1" applyAlignment="1" applyProtection="1">
      <alignment horizontal="center" vertical="center" wrapText="1"/>
      <protection locked="0"/>
    </xf>
    <xf numFmtId="0" fontId="7" fillId="17" borderId="2" xfId="1" applyFont="1" applyFill="1" applyBorder="1" applyAlignment="1">
      <alignment horizontal="center" vertical="center"/>
    </xf>
    <xf numFmtId="49" fontId="7" fillId="0" borderId="7" xfId="0" applyNumberFormat="1" applyFont="1" applyBorder="1" applyAlignment="1" applyProtection="1">
      <alignment horizontal="center" vertical="top" wrapText="1"/>
      <protection locked="0"/>
    </xf>
    <xf numFmtId="49" fontId="7" fillId="0" borderId="14"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164" fontId="9" fillId="0" borderId="5" xfId="6" applyNumberFormat="1" applyFont="1" applyFill="1" applyBorder="1" applyAlignment="1" applyProtection="1">
      <alignment horizontal="center" vertical="center" wrapText="1"/>
      <protection locked="0"/>
    </xf>
    <xf numFmtId="6" fontId="69" fillId="0" borderId="1" xfId="0" applyNumberFormat="1" applyFont="1" applyBorder="1" applyAlignment="1">
      <alignment horizontal="center"/>
    </xf>
    <xf numFmtId="164" fontId="57" fillId="14" borderId="3" xfId="6" applyNumberFormat="1" applyFont="1" applyFill="1" applyBorder="1" applyAlignment="1" applyProtection="1">
      <alignment horizontal="center" vertical="center" wrapText="1"/>
      <protection locked="0"/>
    </xf>
    <xf numFmtId="6" fontId="69" fillId="0" borderId="3" xfId="0" applyNumberFormat="1" applyFont="1" applyBorder="1" applyAlignment="1">
      <alignment horizontal="center"/>
    </xf>
    <xf numFmtId="164" fontId="9" fillId="0" borderId="5" xfId="6" applyNumberFormat="1" applyFont="1" applyFill="1" applyBorder="1" applyAlignment="1" applyProtection="1">
      <alignment horizontal="right" vertical="center" wrapText="1"/>
      <protection locked="0"/>
    </xf>
    <xf numFmtId="164" fontId="9" fillId="0" borderId="5" xfId="6" applyNumberFormat="1" applyFont="1" applyFill="1" applyBorder="1" applyAlignment="1">
      <alignment horizontal="center" vertical="center" wrapText="1"/>
    </xf>
    <xf numFmtId="168" fontId="7" fillId="0" borderId="15" xfId="0" applyNumberFormat="1" applyFont="1" applyBorder="1" applyAlignment="1" applyProtection="1">
      <alignment horizontal="center" vertical="center" wrapText="1"/>
      <protection locked="0"/>
    </xf>
    <xf numFmtId="168" fontId="69" fillId="10" borderId="1" xfId="6" applyNumberFormat="1" applyFont="1" applyFill="1" applyBorder="1" applyAlignment="1" applyProtection="1">
      <alignment horizontal="center" vertical="center" wrapText="1"/>
      <protection locked="0"/>
    </xf>
    <xf numFmtId="168" fontId="7" fillId="0" borderId="5" xfId="6" applyNumberFormat="1" applyFont="1" applyFill="1" applyBorder="1" applyAlignment="1" applyProtection="1">
      <alignment horizontal="center" vertical="center" wrapText="1"/>
      <protection locked="0"/>
    </xf>
    <xf numFmtId="164" fontId="59" fillId="0" borderId="13" xfId="6" applyNumberFormat="1" applyFont="1" applyFill="1" applyBorder="1" applyAlignment="1" applyProtection="1">
      <alignment horizontal="left" vertical="center" wrapText="1"/>
      <protection locked="0"/>
    </xf>
    <xf numFmtId="168" fontId="7" fillId="0" borderId="3" xfId="0" applyNumberFormat="1" applyFont="1" applyBorder="1" applyAlignment="1" applyProtection="1">
      <alignment horizontal="center" vertical="center" wrapText="1"/>
      <protection locked="0"/>
    </xf>
    <xf numFmtId="164" fontId="59" fillId="0" borderId="3" xfId="6" applyNumberFormat="1" applyFont="1" applyFill="1" applyBorder="1" applyAlignment="1">
      <alignment horizontal="left" vertical="center" wrapText="1"/>
    </xf>
    <xf numFmtId="164" fontId="9" fillId="0" borderId="21" xfId="6" applyNumberFormat="1" applyFont="1" applyFill="1" applyBorder="1" applyAlignment="1" applyProtection="1">
      <alignment horizontal="right" vertical="center" wrapText="1"/>
      <protection locked="0"/>
    </xf>
    <xf numFmtId="168" fontId="69" fillId="0" borderId="0" xfId="6" applyNumberFormat="1" applyFont="1" applyBorder="1" applyAlignment="1" applyProtection="1">
      <alignment horizontal="center" vertical="center" wrapText="1"/>
      <protection locked="0"/>
    </xf>
    <xf numFmtId="0" fontId="36" fillId="0" borderId="19" xfId="0" applyFont="1" applyBorder="1" applyAlignment="1">
      <alignment horizontal="center" vertical="center" wrapText="1"/>
    </xf>
    <xf numFmtId="164" fontId="9" fillId="0" borderId="13" xfId="0" applyNumberFormat="1" applyFont="1" applyBorder="1" applyAlignment="1" applyProtection="1">
      <alignment horizontal="right" vertical="center" wrapText="1"/>
      <protection locked="0"/>
    </xf>
    <xf numFmtId="168" fontId="69" fillId="25" borderId="1" xfId="6" applyNumberFormat="1" applyFont="1" applyFill="1" applyBorder="1" applyAlignment="1" applyProtection="1">
      <alignment horizontal="center" vertical="center" wrapText="1"/>
      <protection locked="0"/>
    </xf>
    <xf numFmtId="164" fontId="59" fillId="0" borderId="5" xfId="6" applyNumberFormat="1" applyFont="1" applyFill="1" applyBorder="1" applyAlignment="1" applyProtection="1">
      <alignment horizontal="left" vertical="center" wrapText="1"/>
      <protection locked="0"/>
    </xf>
    <xf numFmtId="168" fontId="7" fillId="0" borderId="3" xfId="0" applyNumberFormat="1" applyFont="1" applyBorder="1" applyAlignment="1" applyProtection="1">
      <alignment horizontal="center" vertical="center"/>
      <protection locked="0"/>
    </xf>
    <xf numFmtId="170" fontId="9" fillId="0" borderId="3" xfId="6" applyNumberFormat="1" applyFont="1" applyFill="1" applyBorder="1" applyAlignment="1" applyProtection="1">
      <alignment horizontal="right" vertical="center" wrapText="1"/>
      <protection locked="0"/>
    </xf>
    <xf numFmtId="168" fontId="7" fillId="0" borderId="22" xfId="6" applyNumberFormat="1" applyFont="1" applyFill="1" applyBorder="1" applyAlignment="1" applyProtection="1">
      <alignment horizontal="center" vertical="center" wrapText="1"/>
      <protection locked="0"/>
    </xf>
    <xf numFmtId="8" fontId="69" fillId="0" borderId="3" xfId="0" applyNumberFormat="1" applyFont="1" applyBorder="1" applyAlignment="1">
      <alignment horizontal="center"/>
    </xf>
    <xf numFmtId="168" fontId="7" fillId="0" borderId="9" xfId="0" applyNumberFormat="1" applyFont="1" applyBorder="1" applyAlignment="1" applyProtection="1">
      <alignment horizontal="center" vertical="center"/>
      <protection locked="0"/>
    </xf>
    <xf numFmtId="0" fontId="69" fillId="7" borderId="3" xfId="2" applyFont="1" applyFill="1" applyBorder="1" applyAlignment="1">
      <alignment horizontal="left" vertical="top" wrapText="1"/>
    </xf>
    <xf numFmtId="6" fontId="69" fillId="0" borderId="0" xfId="0" applyNumberFormat="1" applyFont="1" applyAlignment="1">
      <alignment horizontal="center"/>
    </xf>
    <xf numFmtId="164" fontId="9" fillId="0" borderId="11" xfId="6" applyNumberFormat="1" applyFont="1" applyFill="1" applyBorder="1" applyAlignment="1" applyProtection="1">
      <alignment horizontal="center" vertical="center" wrapText="1"/>
      <protection locked="0"/>
    </xf>
    <xf numFmtId="167" fontId="7" fillId="0" borderId="3" xfId="0" applyNumberFormat="1" applyFont="1" applyBorder="1" applyAlignment="1" applyProtection="1">
      <alignment horizontal="center" wrapText="1"/>
      <protection locked="0"/>
    </xf>
    <xf numFmtId="164" fontId="9" fillId="0" borderId="3" xfId="6" applyNumberFormat="1" applyFont="1" applyFill="1" applyBorder="1" applyAlignment="1" applyProtection="1">
      <alignment horizontal="left" vertical="center" wrapText="1"/>
      <protection locked="0"/>
    </xf>
    <xf numFmtId="168" fontId="7" fillId="0" borderId="7" xfId="0" applyNumberFormat="1" applyFont="1" applyBorder="1" applyAlignment="1" applyProtection="1">
      <alignment horizontal="center" vertical="center" wrapText="1"/>
      <protection locked="0"/>
    </xf>
    <xf numFmtId="14" fontId="9" fillId="0" borderId="5" xfId="0" applyNumberFormat="1" applyFont="1" applyBorder="1" applyAlignment="1" applyProtection="1">
      <alignment horizontal="left" vertical="center" wrapText="1"/>
      <protection locked="0"/>
    </xf>
    <xf numFmtId="14" fontId="57" fillId="14" borderId="3" xfId="0" applyNumberFormat="1" applyFont="1" applyFill="1" applyBorder="1" applyAlignment="1" applyProtection="1">
      <alignment horizontal="center" vertical="center" wrapText="1"/>
      <protection locked="0"/>
    </xf>
    <xf numFmtId="14" fontId="59" fillId="0" borderId="5" xfId="0" applyNumberFormat="1" applyFont="1" applyBorder="1" applyAlignment="1" applyProtection="1">
      <alignment horizontal="left" vertical="center" wrapText="1"/>
      <protection locked="0"/>
    </xf>
    <xf numFmtId="14" fontId="57" fillId="14" borderId="13" xfId="0" applyNumberFormat="1" applyFont="1" applyFill="1" applyBorder="1" applyAlignment="1" applyProtection="1">
      <alignment horizontal="center" vertical="center" wrapText="1"/>
      <protection locked="0"/>
    </xf>
    <xf numFmtId="14" fontId="69" fillId="14" borderId="7"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vertical="center" wrapText="1"/>
      <protection locked="0"/>
    </xf>
    <xf numFmtId="0" fontId="19" fillId="0" borderId="3" xfId="0" applyFont="1" applyBorder="1" applyAlignment="1" applyProtection="1">
      <alignment horizontal="center" vertical="center" wrapText="1"/>
      <protection locked="0"/>
    </xf>
    <xf numFmtId="0" fontId="7" fillId="17" borderId="3" xfId="0" applyFont="1" applyFill="1" applyBorder="1" applyAlignment="1" applyProtection="1">
      <alignment horizontal="center" vertical="center" wrapText="1"/>
      <protection locked="0"/>
    </xf>
    <xf numFmtId="168" fontId="69" fillId="0" borderId="23" xfId="6" applyNumberFormat="1" applyFont="1" applyFill="1" applyBorder="1" applyAlignment="1" applyProtection="1">
      <alignment horizontal="center" vertical="center" wrapText="1"/>
      <protection locked="0"/>
    </xf>
    <xf numFmtId="0" fontId="71" fillId="0" borderId="2" xfId="0" applyFont="1" applyBorder="1" applyAlignment="1">
      <alignment horizontal="center"/>
    </xf>
    <xf numFmtId="165" fontId="7" fillId="6" borderId="7" xfId="0" applyNumberFormat="1" applyFont="1" applyFill="1" applyBorder="1" applyAlignment="1">
      <alignment horizontal="center" vertical="center" wrapText="1"/>
    </xf>
    <xf numFmtId="165" fontId="9" fillId="0" borderId="5" xfId="2" applyNumberFormat="1" applyBorder="1" applyAlignment="1">
      <alignment horizontal="center" vertical="center" wrapText="1"/>
    </xf>
    <xf numFmtId="165" fontId="9" fillId="0" borderId="17" xfId="2" applyNumberFormat="1" applyBorder="1" applyAlignment="1">
      <alignment horizontal="center" vertical="center" wrapText="1"/>
    </xf>
    <xf numFmtId="0" fontId="68" fillId="25" borderId="1" xfId="0" applyFont="1" applyFill="1" applyBorder="1" applyAlignment="1" applyProtection="1">
      <alignment horizontal="center" vertical="center" wrapText="1"/>
      <protection locked="0"/>
    </xf>
    <xf numFmtId="14" fontId="59" fillId="0" borderId="5"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top" wrapText="1"/>
      <protection locked="0"/>
    </xf>
    <xf numFmtId="165" fontId="9" fillId="0" borderId="21" xfId="2" applyNumberFormat="1" applyBorder="1" applyAlignment="1">
      <alignment horizontal="center" vertical="center" wrapText="1"/>
    </xf>
    <xf numFmtId="14" fontId="7" fillId="15" borderId="7" xfId="0" applyNumberFormat="1" applyFont="1" applyFill="1" applyBorder="1" applyAlignment="1" applyProtection="1">
      <alignment horizontal="center" vertical="center" wrapText="1"/>
      <protection locked="0"/>
    </xf>
    <xf numFmtId="0" fontId="68" fillId="7" borderId="1" xfId="0" applyFont="1" applyFill="1" applyBorder="1"/>
    <xf numFmtId="0" fontId="0" fillId="0" borderId="24" xfId="0" applyBorder="1"/>
    <xf numFmtId="167" fontId="57" fillId="0" borderId="8" xfId="0" applyNumberFormat="1" applyFont="1" applyBorder="1" applyAlignment="1" applyProtection="1">
      <alignment horizontal="center" vertical="center" wrapText="1"/>
      <protection locked="0"/>
    </xf>
    <xf numFmtId="0" fontId="9" fillId="0" borderId="5" xfId="2" applyBorder="1" applyAlignment="1" applyProtection="1">
      <alignment horizontal="center" vertical="center" wrapText="1"/>
      <protection locked="0"/>
    </xf>
    <xf numFmtId="0" fontId="9" fillId="0" borderId="17" xfId="2" applyBorder="1" applyAlignment="1">
      <alignment horizontal="left" vertical="center" wrapText="1"/>
    </xf>
    <xf numFmtId="0" fontId="69" fillId="0" borderId="13" xfId="0" applyFont="1" applyBorder="1" applyAlignment="1" applyProtection="1">
      <alignment horizontal="left" vertical="center"/>
      <protection locked="0"/>
    </xf>
    <xf numFmtId="0" fontId="59" fillId="0" borderId="5" xfId="0" applyFont="1" applyBorder="1" applyAlignment="1" applyProtection="1">
      <alignment horizontal="center" vertical="center" wrapText="1"/>
      <protection locked="0"/>
    </xf>
    <xf numFmtId="0" fontId="57" fillId="14" borderId="13" xfId="6" applyNumberFormat="1" applyFont="1" applyFill="1" applyBorder="1" applyAlignment="1">
      <alignment horizontal="center" vertical="center" wrapText="1"/>
    </xf>
    <xf numFmtId="0" fontId="9" fillId="7" borderId="8" xfId="0" applyFont="1" applyFill="1" applyBorder="1" applyAlignment="1">
      <alignment horizontal="center" vertical="center" wrapText="1"/>
    </xf>
    <xf numFmtId="0" fontId="68" fillId="0" borderId="1" xfId="0" applyFont="1" applyBorder="1" applyAlignment="1" applyProtection="1">
      <alignment horizontal="left" vertical="center"/>
      <protection locked="0"/>
    </xf>
    <xf numFmtId="0" fontId="69" fillId="25" borderId="0" xfId="0" applyFont="1" applyFill="1" applyAlignment="1" applyProtection="1">
      <alignment horizontal="left" vertical="center" wrapText="1"/>
      <protection locked="0"/>
    </xf>
    <xf numFmtId="0" fontId="9" fillId="0" borderId="7" xfId="2" applyBorder="1" applyAlignment="1" applyProtection="1">
      <alignment horizontal="center" vertical="center" wrapText="1"/>
      <protection locked="0"/>
    </xf>
    <xf numFmtId="14" fontId="36" fillId="0" borderId="7" xfId="0" applyNumberFormat="1" applyFont="1" applyBorder="1" applyAlignment="1" applyProtection="1">
      <alignment horizontal="center" vertical="center" wrapText="1"/>
      <protection locked="0"/>
    </xf>
    <xf numFmtId="0" fontId="0" fillId="0" borderId="5" xfId="0" applyBorder="1"/>
    <xf numFmtId="167" fontId="69" fillId="10" borderId="0" xfId="0" applyNumberFormat="1" applyFont="1" applyFill="1" applyAlignment="1" applyProtection="1">
      <alignment horizontal="center" vertical="center" wrapText="1"/>
      <protection locked="0"/>
    </xf>
    <xf numFmtId="0" fontId="69" fillId="10" borderId="0" xfId="0" applyFont="1" applyFill="1" applyAlignment="1">
      <alignment horizontal="center" vertical="center" wrapText="1"/>
    </xf>
    <xf numFmtId="0" fontId="69" fillId="25" borderId="0" xfId="0" applyFont="1" applyFill="1" applyAlignment="1" applyProtection="1">
      <alignment horizontal="center" vertical="center" wrapText="1"/>
      <protection locked="0"/>
    </xf>
    <xf numFmtId="0" fontId="80" fillId="29" borderId="1" xfId="0" applyFont="1" applyFill="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9" fillId="0" borderId="8" xfId="0" applyFont="1" applyBorder="1" applyAlignment="1">
      <alignment horizontal="center"/>
    </xf>
    <xf numFmtId="0" fontId="68" fillId="25" borderId="0" xfId="0" applyFont="1" applyFill="1" applyAlignment="1">
      <alignment horizontal="center" vertical="center" wrapText="1"/>
    </xf>
    <xf numFmtId="0" fontId="7" fillId="2" borderId="13" xfId="0" applyFont="1" applyFill="1" applyBorder="1" applyAlignment="1" applyProtection="1">
      <alignment horizontal="center" vertical="center" wrapText="1"/>
      <protection locked="0"/>
    </xf>
    <xf numFmtId="167" fontId="69" fillId="14" borderId="15" xfId="0" applyNumberFormat="1" applyFont="1" applyFill="1" applyBorder="1" applyAlignment="1" applyProtection="1">
      <alignment horizontal="center" vertical="center" wrapText="1"/>
      <protection locked="0"/>
    </xf>
    <xf numFmtId="0" fontId="0" fillId="0" borderId="16" xfId="0" applyBorder="1"/>
    <xf numFmtId="0" fontId="69" fillId="0" borderId="18" xfId="0" applyFont="1" applyBorder="1" applyAlignment="1">
      <alignment horizontal="center"/>
    </xf>
    <xf numFmtId="167" fontId="70" fillId="10" borderId="0" xfId="0" applyNumberFormat="1" applyFont="1" applyFill="1" applyAlignment="1" applyProtection="1">
      <alignment horizontal="center" vertical="center" wrapText="1"/>
      <protection locked="0"/>
    </xf>
    <xf numFmtId="167" fontId="69" fillId="15" borderId="0" xfId="0" applyNumberFormat="1" applyFont="1" applyFill="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68" fillId="10" borderId="0" xfId="0" applyFont="1" applyFill="1" applyAlignment="1">
      <alignment horizontal="center" vertical="center"/>
    </xf>
    <xf numFmtId="0" fontId="18" fillId="0" borderId="0" xfId="0" applyFont="1" applyProtection="1">
      <protection locked="0"/>
    </xf>
    <xf numFmtId="0" fontId="19" fillId="0" borderId="2" xfId="0" applyFont="1" applyBorder="1" applyProtection="1">
      <protection locked="0"/>
    </xf>
    <xf numFmtId="0" fontId="7" fillId="0" borderId="2" xfId="0" applyFont="1" applyBorder="1" applyAlignment="1">
      <alignment horizontal="left" vertical="top"/>
    </xf>
    <xf numFmtId="0" fontId="69" fillId="2" borderId="0" xfId="0" applyFont="1" applyFill="1" applyAlignment="1" applyProtection="1">
      <alignment horizontal="center" vertical="center"/>
      <protection locked="0"/>
    </xf>
    <xf numFmtId="167" fontId="69" fillId="25" borderId="0" xfId="0" applyNumberFormat="1" applyFont="1" applyFill="1" applyAlignment="1">
      <alignment horizontal="center" vertical="center"/>
    </xf>
    <xf numFmtId="0" fontId="7" fillId="16" borderId="0" xfId="0" applyFont="1" applyFill="1" applyAlignment="1" applyProtection="1">
      <alignment horizontal="left" vertical="center" wrapText="1"/>
      <protection locked="0"/>
    </xf>
    <xf numFmtId="167" fontId="16" fillId="0" borderId="1" xfId="0" applyNumberFormat="1" applyFont="1" applyBorder="1" applyAlignment="1" applyProtection="1">
      <alignment horizontal="center" vertical="center" wrapText="1"/>
      <protection locked="0"/>
    </xf>
    <xf numFmtId="0" fontId="19" fillId="0" borderId="2" xfId="0" applyFont="1" applyBorder="1" applyAlignment="1">
      <alignment horizontal="center" vertical="center"/>
    </xf>
    <xf numFmtId="165" fontId="68" fillId="0" borderId="0" xfId="6" applyNumberFormat="1" applyFont="1" applyBorder="1" applyAlignment="1" applyProtection="1">
      <alignment horizontal="left" vertical="center"/>
      <protection locked="0"/>
    </xf>
    <xf numFmtId="14" fontId="68" fillId="0" borderId="0" xfId="0" applyNumberFormat="1" applyFont="1" applyAlignment="1">
      <alignment horizontal="left" vertical="center"/>
    </xf>
    <xf numFmtId="14" fontId="68" fillId="10" borderId="0" xfId="6" applyNumberFormat="1" applyFont="1" applyFill="1" applyBorder="1" applyAlignment="1">
      <alignment horizontal="left" vertical="center" wrapText="1"/>
    </xf>
    <xf numFmtId="167" fontId="69" fillId="0" borderId="26" xfId="0" applyNumberFormat="1" applyFont="1" applyBorder="1" applyAlignment="1">
      <alignment horizontal="center" vertical="center"/>
    </xf>
    <xf numFmtId="14" fontId="7" fillId="0" borderId="5" xfId="0" applyNumberFormat="1" applyFont="1" applyBorder="1" applyAlignment="1" applyProtection="1">
      <alignment horizontal="center" vertical="center" wrapText="1"/>
      <protection locked="0"/>
    </xf>
    <xf numFmtId="165" fontId="69" fillId="0" borderId="0" xfId="0" applyNumberFormat="1" applyFont="1" applyAlignment="1" applyProtection="1">
      <alignment horizontal="left" vertical="center"/>
      <protection locked="0"/>
    </xf>
    <xf numFmtId="0" fontId="0" fillId="0" borderId="26" xfId="0" applyBorder="1"/>
    <xf numFmtId="165" fontId="69" fillId="25" borderId="0" xfId="0" applyNumberFormat="1" applyFont="1" applyFill="1" applyAlignment="1" applyProtection="1">
      <alignment horizontal="left" vertical="center" wrapText="1"/>
      <protection locked="0"/>
    </xf>
    <xf numFmtId="14" fontId="68" fillId="0" borderId="0" xfId="2" applyNumberFormat="1" applyFont="1" applyAlignment="1">
      <alignment horizontal="center" vertical="center" wrapText="1"/>
    </xf>
    <xf numFmtId="14" fontId="7" fillId="0" borderId="2" xfId="0" applyNumberFormat="1" applyFont="1" applyBorder="1" applyAlignment="1" applyProtection="1">
      <alignment vertical="center" wrapText="1"/>
      <protection locked="0"/>
    </xf>
    <xf numFmtId="14" fontId="68" fillId="0" borderId="0" xfId="6" applyNumberFormat="1" applyFont="1" applyFill="1" applyBorder="1" applyAlignment="1">
      <alignment horizontal="center" vertical="center" wrapText="1"/>
    </xf>
    <xf numFmtId="14" fontId="71" fillId="25" borderId="0" xfId="0" applyNumberFormat="1" applyFont="1" applyFill="1" applyAlignment="1" applyProtection="1">
      <alignment horizontal="left" vertical="center" wrapText="1"/>
      <protection locked="0"/>
    </xf>
    <xf numFmtId="14" fontId="68" fillId="0" borderId="8" xfId="2" applyNumberFormat="1" applyFont="1" applyBorder="1" applyAlignment="1">
      <alignment horizontal="center" vertical="center" wrapText="1"/>
    </xf>
    <xf numFmtId="165" fontId="68" fillId="0" borderId="0" xfId="6" applyNumberFormat="1" applyFont="1" applyFill="1" applyBorder="1" applyAlignment="1" applyProtection="1">
      <alignment horizontal="center" vertical="center"/>
      <protection locked="0"/>
    </xf>
    <xf numFmtId="165" fontId="69" fillId="0" borderId="2" xfId="0" applyNumberFormat="1" applyFont="1" applyBorder="1" applyAlignment="1" applyProtection="1">
      <alignment horizontal="left" vertical="center" wrapText="1"/>
      <protection locked="0"/>
    </xf>
    <xf numFmtId="0" fontId="69" fillId="11" borderId="0" xfId="0" applyFont="1" applyFill="1" applyAlignment="1" applyProtection="1">
      <alignment horizontal="left" vertical="center" wrapText="1"/>
      <protection locked="0"/>
    </xf>
    <xf numFmtId="49" fontId="30" fillId="0" borderId="0" xfId="0" applyNumberFormat="1" applyFont="1" applyAlignment="1" applyProtection="1">
      <alignment horizontal="left" vertical="center"/>
      <protection locked="0"/>
    </xf>
    <xf numFmtId="0" fontId="71" fillId="0" borderId="0" xfId="0" applyFont="1" applyAlignment="1">
      <alignment horizontal="left" vertical="center" wrapText="1"/>
    </xf>
    <xf numFmtId="0" fontId="69" fillId="10" borderId="0" xfId="2" applyFont="1" applyFill="1" applyAlignment="1">
      <alignment horizontal="left" vertical="top" wrapText="1"/>
    </xf>
    <xf numFmtId="14" fontId="71" fillId="0" borderId="2" xfId="2" applyNumberFormat="1" applyFont="1" applyBorder="1" applyAlignment="1">
      <alignment horizontal="left" vertical="top" wrapText="1"/>
    </xf>
    <xf numFmtId="0" fontId="0" fillId="0" borderId="10" xfId="0" applyBorder="1"/>
    <xf numFmtId="49" fontId="6" fillId="0" borderId="2" xfId="0" applyNumberFormat="1" applyFont="1" applyBorder="1" applyAlignment="1" applyProtection="1">
      <alignment horizontal="left" vertical="center" wrapText="1"/>
      <protection locked="0"/>
    </xf>
    <xf numFmtId="0" fontId="74" fillId="0" borderId="1" xfId="0" applyFont="1" applyBorder="1" applyAlignment="1" applyProtection="1">
      <alignment horizontal="left" vertical="center" wrapText="1"/>
      <protection locked="0"/>
    </xf>
    <xf numFmtId="14" fontId="69" fillId="0" borderId="0" xfId="2" applyNumberFormat="1" applyFont="1" applyAlignment="1">
      <alignment horizontal="left" vertical="top" wrapText="1"/>
    </xf>
    <xf numFmtId="0" fontId="0" fillId="0" borderId="34" xfId="0" applyBorder="1"/>
    <xf numFmtId="49" fontId="71" fillId="0" borderId="1" xfId="0" applyNumberFormat="1" applyFont="1" applyBorder="1" applyAlignment="1" applyProtection="1">
      <alignment horizontal="left" vertical="center" wrapText="1"/>
      <protection locked="0"/>
    </xf>
    <xf numFmtId="0" fontId="69" fillId="0" borderId="0" xfId="0" quotePrefix="1" applyFont="1" applyAlignment="1" applyProtection="1">
      <alignment horizontal="left" vertical="center" wrapText="1"/>
      <protection locked="0"/>
    </xf>
    <xf numFmtId="49" fontId="69" fillId="25" borderId="0" xfId="0" applyNumberFormat="1" applyFont="1" applyFill="1" applyAlignment="1" applyProtection="1">
      <alignment horizontal="left" vertical="center" wrapText="1"/>
      <protection locked="0"/>
    </xf>
    <xf numFmtId="0" fontId="69" fillId="0" borderId="0" xfId="2" applyFont="1" applyAlignment="1">
      <alignment vertical="top" wrapText="1"/>
    </xf>
    <xf numFmtId="0" fontId="69" fillId="25" borderId="0" xfId="0" applyFont="1" applyFill="1" applyAlignment="1">
      <alignment horizontal="left" vertical="center" wrapText="1"/>
    </xf>
    <xf numFmtId="0" fontId="68" fillId="7" borderId="2" xfId="0" applyFont="1" applyFill="1" applyBorder="1"/>
    <xf numFmtId="49" fontId="7" fillId="0" borderId="2" xfId="0" applyNumberFormat="1" applyFont="1" applyBorder="1" applyAlignment="1" applyProtection="1">
      <alignment horizontal="left" wrapText="1"/>
      <protection locked="0"/>
    </xf>
    <xf numFmtId="0" fontId="69" fillId="0" borderId="0" xfId="0" applyFont="1" applyAlignment="1" applyProtection="1">
      <alignment vertical="top" wrapText="1"/>
      <protection locked="0"/>
    </xf>
    <xf numFmtId="49" fontId="71" fillId="2" borderId="0" xfId="0" applyNumberFormat="1" applyFont="1" applyFill="1" applyAlignment="1" applyProtection="1">
      <alignment horizontal="left" vertical="center" wrapText="1"/>
      <protection locked="0"/>
    </xf>
    <xf numFmtId="14" fontId="69" fillId="0" borderId="22" xfId="0" applyNumberFormat="1" applyFont="1" applyBorder="1" applyAlignment="1" applyProtection="1">
      <alignment horizontal="left" vertical="center" wrapText="1"/>
      <protection locked="0"/>
    </xf>
    <xf numFmtId="14" fontId="69" fillId="10" borderId="0" xfId="2" applyNumberFormat="1" applyFont="1" applyFill="1" applyAlignment="1">
      <alignment horizontal="center" vertical="center" wrapText="1"/>
    </xf>
    <xf numFmtId="0" fontId="74" fillId="0" borderId="22" xfId="0" applyFont="1" applyBorder="1" applyAlignment="1">
      <alignment horizontal="left" vertical="center" wrapText="1"/>
    </xf>
    <xf numFmtId="0" fontId="7" fillId="0" borderId="6" xfId="0" applyFont="1" applyBorder="1" applyAlignment="1" applyProtection="1">
      <alignment horizontal="left" vertical="center"/>
      <protection locked="0"/>
    </xf>
    <xf numFmtId="14" fontId="7" fillId="0" borderId="13" xfId="0" applyNumberFormat="1" applyFont="1" applyBorder="1" applyAlignment="1" applyProtection="1">
      <alignment horizontal="left" vertical="center" wrapText="1"/>
      <protection locked="0"/>
    </xf>
    <xf numFmtId="14" fontId="81" fillId="0" borderId="0" xfId="0" applyNumberFormat="1" applyFont="1" applyAlignment="1">
      <alignment horizontal="center" vertical="center"/>
    </xf>
    <xf numFmtId="0" fontId="69" fillId="2" borderId="0" xfId="0" applyFont="1" applyFill="1" applyAlignment="1">
      <alignment horizontal="center" vertical="center" wrapText="1"/>
    </xf>
    <xf numFmtId="0" fontId="0" fillId="0" borderId="11" xfId="0" applyBorder="1"/>
    <xf numFmtId="0" fontId="7" fillId="0" borderId="3" xfId="0" applyFont="1" applyBorder="1" applyAlignment="1">
      <alignment horizontal="center" vertical="center"/>
    </xf>
    <xf numFmtId="0" fontId="69" fillId="25" borderId="0" xfId="0" applyFont="1" applyFill="1" applyAlignment="1" applyProtection="1">
      <alignment horizontal="center" vertical="center"/>
      <protection locked="0"/>
    </xf>
    <xf numFmtId="0" fontId="69" fillId="25" borderId="0" xfId="0" applyFont="1" applyFill="1" applyAlignment="1">
      <alignment horizontal="center" vertical="center" wrapText="1"/>
    </xf>
    <xf numFmtId="6" fontId="69" fillId="0" borderId="2" xfId="0" applyNumberFormat="1" applyFont="1" applyBorder="1" applyAlignment="1">
      <alignment horizontal="center"/>
    </xf>
    <xf numFmtId="6" fontId="69" fillId="0" borderId="13" xfId="0" applyNumberFormat="1" applyFont="1" applyBorder="1" applyAlignment="1">
      <alignment horizontal="center"/>
    </xf>
    <xf numFmtId="168" fontId="69" fillId="2" borderId="0" xfId="0" applyNumberFormat="1" applyFont="1" applyFill="1" applyAlignment="1" applyProtection="1">
      <alignment horizontal="center" vertical="center" wrapText="1"/>
      <protection locked="0"/>
    </xf>
    <xf numFmtId="167" fontId="7" fillId="0" borderId="13" xfId="0" applyNumberFormat="1" applyFont="1" applyBorder="1" applyAlignment="1" applyProtection="1">
      <alignment horizontal="center" vertical="center"/>
      <protection locked="0"/>
    </xf>
    <xf numFmtId="168" fontId="69" fillId="0" borderId="0" xfId="0" applyNumberFormat="1" applyFont="1" applyAlignment="1" applyProtection="1">
      <alignment horizontal="center" vertical="center"/>
      <protection locked="0"/>
    </xf>
    <xf numFmtId="168" fontId="69" fillId="25" borderId="0" xfId="0" applyNumberFormat="1" applyFont="1" applyFill="1" applyAlignment="1" applyProtection="1">
      <alignment horizontal="center" vertical="center"/>
      <protection locked="0"/>
    </xf>
    <xf numFmtId="168" fontId="7" fillId="0" borderId="6" xfId="6" applyNumberFormat="1" applyFont="1" applyFill="1" applyBorder="1" applyAlignment="1" applyProtection="1">
      <alignment horizontal="center" vertical="center" wrapText="1"/>
      <protection locked="0"/>
    </xf>
    <xf numFmtId="168" fontId="69" fillId="2" borderId="5" xfId="0" applyNumberFormat="1" applyFont="1" applyFill="1" applyBorder="1" applyAlignment="1" applyProtection="1">
      <alignment horizontal="center" vertical="center"/>
      <protection locked="0"/>
    </xf>
    <xf numFmtId="168" fontId="69" fillId="25" borderId="0" xfId="0" applyNumberFormat="1" applyFont="1" applyFill="1" applyAlignment="1" applyProtection="1">
      <alignment horizontal="center" vertical="center" wrapText="1"/>
      <protection locked="0"/>
    </xf>
    <xf numFmtId="8" fontId="69" fillId="0" borderId="13" xfId="0" applyNumberFormat="1" applyFont="1" applyBorder="1" applyAlignment="1">
      <alignment horizontal="center"/>
    </xf>
    <xf numFmtId="168" fontId="7" fillId="0" borderId="13" xfId="0" applyNumberFormat="1" applyFont="1" applyBorder="1" applyAlignment="1" applyProtection="1">
      <alignment horizontal="center" wrapText="1"/>
      <protection locked="0"/>
    </xf>
    <xf numFmtId="167" fontId="7" fillId="0" borderId="6" xfId="0" applyNumberFormat="1" applyFont="1" applyBorder="1" applyAlignment="1" applyProtection="1">
      <alignment horizontal="center" vertical="center"/>
      <protection locked="0"/>
    </xf>
    <xf numFmtId="0" fontId="68" fillId="0" borderId="23" xfId="0" applyFont="1" applyBorder="1"/>
    <xf numFmtId="14" fontId="7" fillId="0" borderId="13" xfId="0" applyNumberFormat="1" applyFont="1" applyBorder="1" applyAlignment="1" applyProtection="1">
      <alignment vertical="center"/>
      <protection locked="0"/>
    </xf>
    <xf numFmtId="0" fontId="59" fillId="0" borderId="17" xfId="2" applyFont="1" applyBorder="1" applyAlignment="1">
      <alignment horizontal="center" vertical="center" wrapText="1"/>
    </xf>
    <xf numFmtId="0" fontId="7" fillId="0" borderId="24" xfId="0" applyFont="1" applyBorder="1" applyAlignment="1" applyProtection="1">
      <alignment horizontal="left" vertical="center"/>
      <protection locked="0"/>
    </xf>
    <xf numFmtId="0" fontId="69" fillId="11" borderId="24" xfId="0" applyFont="1" applyFill="1" applyBorder="1" applyAlignment="1">
      <alignment horizontal="center" vertical="center"/>
    </xf>
    <xf numFmtId="0" fontId="7" fillId="0" borderId="22" xfId="0" applyFont="1" applyBorder="1" applyAlignment="1">
      <alignment vertical="center"/>
    </xf>
    <xf numFmtId="0" fontId="69" fillId="0" borderId="29" xfId="2" applyFont="1" applyBorder="1" applyAlignment="1">
      <alignment horizontal="center" vertical="center" wrapText="1"/>
    </xf>
    <xf numFmtId="0" fontId="57" fillId="14" borderId="7" xfId="2" applyFont="1" applyFill="1" applyBorder="1" applyAlignment="1">
      <alignment horizontal="center" vertical="center" wrapText="1"/>
    </xf>
    <xf numFmtId="0" fontId="69" fillId="11" borderId="5" xfId="0" applyFont="1" applyFill="1" applyBorder="1" applyAlignment="1">
      <alignment horizontal="center" vertical="center"/>
    </xf>
    <xf numFmtId="0" fontId="34" fillId="0" borderId="5" xfId="0" applyFont="1" applyBorder="1" applyAlignment="1">
      <alignment horizontal="center" vertical="center"/>
    </xf>
    <xf numFmtId="0" fontId="7" fillId="0" borderId="0" xfId="0" applyFont="1" applyAlignment="1">
      <alignment vertical="center"/>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69" fillId="7" borderId="3" xfId="0" applyFont="1" applyFill="1" applyBorder="1" applyAlignment="1">
      <alignment horizontal="center" vertical="center" wrapText="1"/>
    </xf>
    <xf numFmtId="0" fontId="57" fillId="14" borderId="7" xfId="0" applyFont="1" applyFill="1" applyBorder="1" applyAlignment="1">
      <alignment horizontal="center" vertical="center" wrapText="1"/>
    </xf>
    <xf numFmtId="0" fontId="69" fillId="11" borderId="5" xfId="0" applyFont="1" applyFill="1" applyBorder="1" applyAlignment="1" applyProtection="1">
      <alignment horizontal="center" vertical="center" wrapText="1"/>
      <protection locked="0"/>
    </xf>
    <xf numFmtId="0" fontId="9" fillId="2" borderId="3" xfId="0" applyFont="1" applyFill="1" applyBorder="1" applyAlignment="1">
      <alignment horizontal="center" vertical="center" wrapText="1"/>
    </xf>
    <xf numFmtId="0" fontId="7" fillId="2" borderId="27" xfId="0" applyFont="1" applyFill="1" applyBorder="1" applyAlignment="1" applyProtection="1">
      <alignment horizontal="center" vertical="center" wrapText="1"/>
      <protection locked="0"/>
    </xf>
    <xf numFmtId="0" fontId="7" fillId="0" borderId="3" xfId="0" applyFont="1" applyBorder="1" applyAlignment="1" applyProtection="1">
      <alignment horizontal="center" wrapText="1"/>
      <protection locked="0"/>
    </xf>
    <xf numFmtId="0" fontId="7" fillId="0" borderId="27" xfId="0" applyFont="1" applyBorder="1" applyAlignment="1" applyProtection="1">
      <alignment horizontal="left" vertical="center" wrapText="1"/>
      <protection locked="0"/>
    </xf>
    <xf numFmtId="0" fontId="69" fillId="2" borderId="8" xfId="0" applyFont="1" applyFill="1" applyBorder="1" applyAlignment="1" applyProtection="1">
      <alignment horizontal="left" vertical="center" wrapText="1"/>
      <protection locked="0"/>
    </xf>
    <xf numFmtId="0" fontId="7" fillId="0" borderId="27" xfId="0" applyFont="1" applyBorder="1" applyAlignment="1" applyProtection="1">
      <alignment vertical="center" wrapText="1"/>
      <protection locked="0"/>
    </xf>
    <xf numFmtId="0" fontId="69" fillId="10" borderId="7" xfId="0" applyFont="1" applyFill="1" applyBorder="1" applyAlignment="1" applyProtection="1">
      <alignment horizontal="center" vertical="center" wrapText="1"/>
      <protection locked="0"/>
    </xf>
    <xf numFmtId="0" fontId="68" fillId="0" borderId="15" xfId="0" applyFont="1" applyBorder="1" applyAlignment="1">
      <alignment horizontal="left" vertical="center" wrapText="1"/>
    </xf>
    <xf numFmtId="0" fontId="59" fillId="0" borderId="3" xfId="0" applyFont="1" applyBorder="1" applyAlignment="1" applyProtection="1">
      <alignment horizontal="left" vertical="center" wrapText="1"/>
      <protection locked="0"/>
    </xf>
    <xf numFmtId="0" fontId="69" fillId="2" borderId="8" xfId="0" applyFont="1" applyFill="1" applyBorder="1" applyAlignment="1" applyProtection="1">
      <alignment horizontal="left" vertical="center"/>
      <protection locked="0"/>
    </xf>
    <xf numFmtId="0" fontId="9" fillId="0" borderId="7" xfId="0" applyFont="1" applyBorder="1" applyAlignment="1">
      <alignment vertical="center" wrapText="1"/>
    </xf>
    <xf numFmtId="0" fontId="69" fillId="7" borderId="7" xfId="0" applyFont="1" applyFill="1" applyBorder="1" applyAlignment="1" applyProtection="1">
      <alignment vertical="center" wrapText="1"/>
      <protection locked="0"/>
    </xf>
    <xf numFmtId="0" fontId="9" fillId="10" borderId="8" xfId="0" applyFont="1" applyFill="1" applyBorder="1" applyAlignment="1" applyProtection="1">
      <alignment vertical="center" wrapText="1"/>
      <protection locked="0"/>
    </xf>
    <xf numFmtId="0" fontId="69" fillId="10" borderId="6" xfId="0" applyFont="1" applyFill="1" applyBorder="1" applyAlignment="1" applyProtection="1">
      <alignment vertical="center" wrapText="1"/>
      <protection locked="0"/>
    </xf>
    <xf numFmtId="0" fontId="69" fillId="7" borderId="13" xfId="0" applyFont="1" applyFill="1" applyBorder="1" applyAlignment="1" applyProtection="1">
      <alignment vertical="center" wrapText="1"/>
      <protection locked="0"/>
    </xf>
    <xf numFmtId="0" fontId="69" fillId="0" borderId="13" xfId="2" applyFont="1" applyBorder="1" applyAlignment="1">
      <alignment vertical="center" wrapText="1"/>
    </xf>
    <xf numFmtId="0" fontId="7" fillId="7" borderId="7" xfId="0" applyFont="1" applyFill="1" applyBorder="1" applyAlignment="1" applyProtection="1">
      <alignment vertical="center" wrapText="1"/>
      <protection locked="0"/>
    </xf>
    <xf numFmtId="0" fontId="68" fillId="0" borderId="15" xfId="0" applyFont="1" applyBorder="1" applyAlignment="1">
      <alignment vertical="center" wrapText="1"/>
    </xf>
    <xf numFmtId="0" fontId="9" fillId="0" borderId="6" xfId="2" applyBorder="1" applyAlignment="1">
      <alignment vertical="center" wrapText="1"/>
    </xf>
    <xf numFmtId="0" fontId="36" fillId="0" borderId="5" xfId="0" applyFont="1" applyBorder="1" applyAlignment="1">
      <alignment vertical="center" wrapText="1"/>
    </xf>
    <xf numFmtId="0" fontId="69" fillId="2" borderId="7" xfId="0" applyFont="1" applyFill="1" applyBorder="1" applyAlignment="1" applyProtection="1">
      <alignment vertical="center"/>
      <protection locked="0"/>
    </xf>
    <xf numFmtId="0" fontId="36" fillId="0" borderId="13" xfId="0" applyFont="1" applyBorder="1" applyAlignment="1">
      <alignment wrapText="1"/>
    </xf>
    <xf numFmtId="0" fontId="71" fillId="0" borderId="13" xfId="0" applyFont="1" applyBorder="1" applyAlignment="1" applyProtection="1">
      <alignment vertical="center" wrapText="1"/>
      <protection locked="0"/>
    </xf>
    <xf numFmtId="0" fontId="7" fillId="7" borderId="13" xfId="0" applyFont="1" applyFill="1" applyBorder="1" applyAlignment="1" applyProtection="1">
      <alignment vertical="center" wrapText="1"/>
      <protection locked="0"/>
    </xf>
    <xf numFmtId="0" fontId="7" fillId="0" borderId="13" xfId="1" applyFont="1" applyBorder="1" applyAlignment="1" applyProtection="1">
      <alignment vertical="center" wrapText="1"/>
      <protection locked="0"/>
    </xf>
    <xf numFmtId="0" fontId="59" fillId="0" borderId="3" xfId="0" applyFont="1" applyBorder="1" applyAlignment="1" applyProtection="1">
      <alignment vertical="center" wrapText="1"/>
      <protection locked="0"/>
    </xf>
    <xf numFmtId="0" fontId="69" fillId="0" borderId="7" xfId="2" applyFont="1" applyBorder="1" applyAlignment="1">
      <alignment vertical="center" wrapText="1"/>
    </xf>
    <xf numFmtId="0" fontId="34" fillId="0" borderId="5" xfId="0" applyFont="1" applyBorder="1" applyAlignment="1">
      <alignment vertical="center" wrapText="1"/>
    </xf>
    <xf numFmtId="0" fontId="69" fillId="7" borderId="6" xfId="0" applyFont="1" applyFill="1" applyBorder="1" applyAlignment="1" applyProtection="1">
      <alignment vertical="center" wrapText="1"/>
      <protection locked="0"/>
    </xf>
    <xf numFmtId="0" fontId="69" fillId="10" borderId="6" xfId="0" applyFont="1" applyFill="1" applyBorder="1" applyAlignment="1" applyProtection="1">
      <alignment horizontal="center" vertical="center" wrapText="1"/>
      <protection locked="0"/>
    </xf>
    <xf numFmtId="0" fontId="57" fillId="0" borderId="8" xfId="0" applyFont="1" applyBorder="1" applyAlignment="1">
      <alignment horizontal="left" vertical="center" wrapText="1"/>
    </xf>
    <xf numFmtId="0" fontId="57" fillId="14" borderId="6" xfId="0" applyFont="1" applyFill="1" applyBorder="1" applyAlignment="1">
      <alignment horizontal="left" vertical="center" wrapText="1"/>
    </xf>
    <xf numFmtId="0" fontId="7" fillId="4" borderId="0" xfId="0" applyFont="1" applyFill="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57" fillId="0" borderId="13" xfId="0" applyFont="1" applyBorder="1" applyAlignment="1">
      <alignment horizontal="left" vertical="center" wrapText="1"/>
    </xf>
    <xf numFmtId="0" fontId="36" fillId="0" borderId="16" xfId="0" applyFont="1" applyBorder="1" applyAlignment="1">
      <alignment horizontal="left" wrapText="1"/>
    </xf>
    <xf numFmtId="0" fontId="71" fillId="0" borderId="13" xfId="0" applyFont="1" applyBorder="1" applyAlignment="1" applyProtection="1">
      <alignment horizontal="left" vertical="center" wrapText="1"/>
      <protection locked="0"/>
    </xf>
    <xf numFmtId="0" fontId="7" fillId="7" borderId="16" xfId="0" applyFont="1" applyFill="1" applyBorder="1" applyAlignment="1" applyProtection="1">
      <alignment horizontal="left" vertical="center" wrapText="1"/>
      <protection locked="0"/>
    </xf>
    <xf numFmtId="0" fontId="7" fillId="0" borderId="16" xfId="1" applyFont="1" applyBorder="1" applyAlignment="1" applyProtection="1">
      <alignment horizontal="left" vertical="center" wrapText="1"/>
      <protection locked="0"/>
    </xf>
    <xf numFmtId="0" fontId="7" fillId="7" borderId="0" xfId="0" applyFont="1" applyFill="1" applyAlignment="1" applyProtection="1">
      <alignment horizontal="left" vertical="center" wrapText="1"/>
      <protection locked="0"/>
    </xf>
    <xf numFmtId="0" fontId="57" fillId="14" borderId="7" xfId="2" applyFont="1" applyFill="1" applyBorder="1" applyAlignment="1">
      <alignment horizontal="left" vertical="center" wrapText="1"/>
    </xf>
    <xf numFmtId="0" fontId="69" fillId="11" borderId="16" xfId="0" applyFont="1" applyFill="1" applyBorder="1" applyAlignment="1" applyProtection="1">
      <alignment horizontal="center" vertical="center" wrapText="1"/>
      <protection locked="0"/>
    </xf>
    <xf numFmtId="0" fontId="59" fillId="0" borderId="11" xfId="0" applyFont="1" applyBorder="1" applyAlignment="1" applyProtection="1">
      <alignment horizontal="left" vertical="center" wrapText="1"/>
      <protection locked="0"/>
    </xf>
    <xf numFmtId="0" fontId="34" fillId="0" borderId="5" xfId="0" applyFont="1" applyBorder="1" applyAlignment="1">
      <alignment horizontal="center" vertical="center" wrapText="1"/>
    </xf>
    <xf numFmtId="0" fontId="36" fillId="0" borderId="13" xfId="0" applyFont="1" applyBorder="1" applyAlignment="1">
      <alignment horizontal="left" vertical="center" wrapText="1"/>
    </xf>
    <xf numFmtId="0" fontId="68" fillId="0" borderId="26" xfId="0" applyFont="1" applyBorder="1" applyAlignment="1">
      <alignment horizontal="center" vertical="center" wrapText="1"/>
    </xf>
    <xf numFmtId="14" fontId="36" fillId="0" borderId="15" xfId="0" applyNumberFormat="1" applyFont="1" applyBorder="1" applyAlignment="1">
      <alignment horizontal="center" vertical="center"/>
    </xf>
    <xf numFmtId="15" fontId="59" fillId="0" borderId="3" xfId="0" applyNumberFormat="1" applyFont="1" applyBorder="1" applyAlignment="1" applyProtection="1">
      <alignment horizontal="center" vertical="center" wrapText="1"/>
      <protection locked="0"/>
    </xf>
    <xf numFmtId="14" fontId="9" fillId="0" borderId="5" xfId="0" quotePrefix="1" applyNumberFormat="1" applyFont="1" applyBorder="1" applyAlignment="1" applyProtection="1">
      <alignment horizontal="center" vertical="center" wrapText="1"/>
      <protection locked="0"/>
    </xf>
    <xf numFmtId="14" fontId="7" fillId="0" borderId="22" xfId="0" applyNumberFormat="1" applyFont="1" applyBorder="1" applyAlignment="1" applyProtection="1">
      <alignment horizontal="center" vertical="center" wrapText="1"/>
      <protection locked="0"/>
    </xf>
    <xf numFmtId="165" fontId="69" fillId="0" borderId="13" xfId="0" applyNumberFormat="1" applyFont="1" applyBorder="1" applyAlignment="1">
      <alignment horizontal="center" vertical="center" wrapText="1"/>
    </xf>
    <xf numFmtId="165" fontId="9" fillId="0" borderId="16" xfId="0" applyNumberFormat="1" applyFont="1" applyBorder="1" applyAlignment="1">
      <alignment horizontal="center" vertical="center" wrapText="1"/>
    </xf>
    <xf numFmtId="14" fontId="36" fillId="0" borderId="24" xfId="0" applyNumberFormat="1" applyFont="1" applyBorder="1" applyAlignment="1">
      <alignment horizontal="center" vertical="center"/>
    </xf>
    <xf numFmtId="165" fontId="9" fillId="0" borderId="0" xfId="0" applyNumberFormat="1" applyFont="1" applyAlignment="1">
      <alignment horizontal="center" vertical="center" wrapText="1"/>
    </xf>
    <xf numFmtId="14" fontId="57" fillId="14" borderId="7" xfId="0" applyNumberFormat="1" applyFont="1" applyFill="1" applyBorder="1" applyAlignment="1">
      <alignment horizontal="center" vertical="center" wrapText="1"/>
    </xf>
    <xf numFmtId="14" fontId="69" fillId="11" borderId="22" xfId="0" applyNumberFormat="1" applyFont="1" applyFill="1" applyBorder="1" applyAlignment="1" applyProtection="1">
      <alignment horizontal="center" vertical="center" wrapText="1"/>
      <protection locked="0"/>
    </xf>
    <xf numFmtId="14" fontId="34" fillId="0" borderId="5" xfId="0" applyNumberFormat="1" applyFont="1" applyBorder="1" applyAlignment="1">
      <alignment horizontal="center" vertical="center"/>
    </xf>
    <xf numFmtId="14" fontId="69" fillId="11" borderId="13" xfId="0" applyNumberFormat="1" applyFont="1" applyFill="1" applyBorder="1" applyAlignment="1">
      <alignment horizontal="center" vertical="center" wrapText="1"/>
    </xf>
    <xf numFmtId="14" fontId="9" fillId="2" borderId="7" xfId="0" applyNumberFormat="1" applyFont="1" applyFill="1" applyBorder="1" applyAlignment="1">
      <alignment horizontal="center" vertical="center" wrapText="1"/>
    </xf>
    <xf numFmtId="165" fontId="69" fillId="10" borderId="7" xfId="0" applyNumberFormat="1" applyFont="1" applyFill="1" applyBorder="1" applyAlignment="1" applyProtection="1">
      <alignment horizontal="center" vertical="center" wrapText="1"/>
      <protection locked="0"/>
    </xf>
    <xf numFmtId="14" fontId="69" fillId="11" borderId="13" xfId="1" applyNumberFormat="1" applyFont="1" applyFill="1" applyBorder="1" applyAlignment="1">
      <alignment horizontal="center" vertical="center" wrapText="1"/>
    </xf>
    <xf numFmtId="165" fontId="68" fillId="0" borderId="8" xfId="0" applyNumberFormat="1" applyFont="1" applyBorder="1" applyAlignment="1" applyProtection="1">
      <alignment horizontal="center" vertical="center"/>
      <protection locked="0"/>
    </xf>
    <xf numFmtId="14" fontId="7" fillId="0" borderId="0" xfId="1" applyNumberFormat="1" applyFont="1" applyAlignment="1">
      <alignment horizontal="center" vertical="center" wrapText="1"/>
    </xf>
    <xf numFmtId="14" fontId="69" fillId="14" borderId="2" xfId="2" applyNumberFormat="1" applyFont="1" applyFill="1" applyBorder="1" applyAlignment="1">
      <alignment horizontal="center" vertical="center" wrapText="1"/>
    </xf>
    <xf numFmtId="14" fontId="68" fillId="0" borderId="15" xfId="0" applyNumberFormat="1" applyFont="1" applyBorder="1" applyAlignment="1">
      <alignment horizontal="center" vertical="center" wrapText="1"/>
    </xf>
    <xf numFmtId="14" fontId="57" fillId="14" borderId="14" xfId="2" applyNumberFormat="1" applyFont="1" applyFill="1" applyBorder="1" applyAlignment="1">
      <alignment horizontal="center" vertical="center" wrapText="1"/>
    </xf>
    <xf numFmtId="14" fontId="9" fillId="0" borderId="0" xfId="2" applyNumberFormat="1" applyAlignment="1">
      <alignment horizontal="center" vertical="center" wrapText="1"/>
    </xf>
    <xf numFmtId="14" fontId="57" fillId="14" borderId="7" xfId="2" applyNumberFormat="1" applyFont="1" applyFill="1" applyBorder="1" applyAlignment="1">
      <alignment horizontal="center" vertical="center" wrapText="1"/>
    </xf>
    <xf numFmtId="1" fontId="9" fillId="0" borderId="10" xfId="2" applyNumberFormat="1" applyBorder="1" applyAlignment="1">
      <alignment horizontal="center" vertical="center" wrapText="1"/>
    </xf>
    <xf numFmtId="1" fontId="69" fillId="0" borderId="21" xfId="2" applyNumberFormat="1" applyFont="1" applyBorder="1" applyAlignment="1">
      <alignment horizontal="center" vertical="center" wrapText="1"/>
    </xf>
    <xf numFmtId="1" fontId="69" fillId="14" borderId="19" xfId="2" applyNumberFormat="1" applyFont="1" applyFill="1" applyBorder="1" applyAlignment="1">
      <alignment horizontal="center" vertical="center" wrapText="1"/>
    </xf>
    <xf numFmtId="1" fontId="57" fillId="14" borderId="21" xfId="2" applyNumberFormat="1" applyFont="1" applyFill="1" applyBorder="1" applyAlignment="1">
      <alignment horizontal="center" vertical="center" wrapText="1"/>
    </xf>
    <xf numFmtId="1" fontId="9" fillId="0" borderId="0" xfId="2" applyNumberFormat="1" applyAlignment="1">
      <alignment horizontal="center" vertical="center" wrapText="1"/>
    </xf>
    <xf numFmtId="1" fontId="69" fillId="0" borderId="16" xfId="2" applyNumberFormat="1" applyFont="1" applyBorder="1" applyAlignment="1">
      <alignment horizontal="center" vertical="center" wrapText="1"/>
    </xf>
    <xf numFmtId="1" fontId="69" fillId="0" borderId="19" xfId="2" applyNumberFormat="1" applyFont="1" applyBorder="1" applyAlignment="1">
      <alignment horizontal="center" vertical="center" wrapText="1"/>
    </xf>
    <xf numFmtId="1" fontId="69" fillId="0" borderId="6" xfId="0" applyNumberFormat="1" applyFont="1" applyBorder="1" applyAlignment="1" applyProtection="1">
      <alignment horizontal="center" vertical="center" wrapText="1"/>
      <protection locked="0"/>
    </xf>
    <xf numFmtId="1" fontId="57" fillId="14" borderId="7" xfId="2" applyNumberFormat="1" applyFont="1" applyFill="1" applyBorder="1" applyAlignment="1">
      <alignment horizontal="center" vertical="center" wrapText="1"/>
    </xf>
    <xf numFmtId="0" fontId="69" fillId="11" borderId="13" xfId="0" applyFont="1" applyFill="1" applyBorder="1" applyAlignment="1">
      <alignment horizontal="center" vertical="center"/>
    </xf>
    <xf numFmtId="0" fontId="69" fillId="0" borderId="19" xfId="1" applyFont="1" applyBorder="1" applyAlignment="1">
      <alignment horizontal="center" vertical="center" wrapText="1"/>
    </xf>
    <xf numFmtId="1" fontId="69" fillId="0" borderId="0" xfId="0" applyNumberFormat="1" applyFont="1" applyAlignment="1" applyProtection="1">
      <alignment horizontal="center" vertical="center" wrapText="1"/>
      <protection locked="0"/>
    </xf>
    <xf numFmtId="1" fontId="69" fillId="0" borderId="15" xfId="0" applyNumberFormat="1" applyFont="1" applyBorder="1" applyAlignment="1">
      <alignment horizontal="center" vertical="center" wrapText="1"/>
    </xf>
    <xf numFmtId="0" fontId="69" fillId="0" borderId="15" xfId="0" applyFont="1" applyBorder="1" applyAlignment="1">
      <alignment horizontal="center"/>
    </xf>
    <xf numFmtId="14" fontId="69" fillId="0" borderId="14" xfId="0" applyNumberFormat="1" applyFont="1" applyBorder="1" applyAlignment="1">
      <alignment horizontal="center"/>
    </xf>
    <xf numFmtId="0" fontId="69" fillId="0" borderId="2" xfId="6" applyNumberFormat="1" applyFont="1" applyBorder="1" applyAlignment="1" applyProtection="1">
      <alignment horizontal="center" vertical="center" wrapText="1"/>
      <protection locked="0"/>
    </xf>
    <xf numFmtId="14" fontId="68" fillId="0" borderId="15" xfId="6" applyNumberFormat="1" applyFont="1" applyBorder="1" applyAlignment="1">
      <alignment horizontal="center" vertical="center" wrapText="1"/>
    </xf>
    <xf numFmtId="49" fontId="69" fillId="2" borderId="7" xfId="0" applyNumberFormat="1" applyFont="1" applyFill="1" applyBorder="1" applyAlignment="1" applyProtection="1">
      <alignment horizontal="center" vertical="center" wrapText="1"/>
      <protection locked="0"/>
    </xf>
    <xf numFmtId="14" fontId="68" fillId="7" borderId="13" xfId="2" applyNumberFormat="1" applyFont="1" applyFill="1" applyBorder="1" applyAlignment="1">
      <alignment horizontal="center" vertical="center" wrapText="1"/>
    </xf>
    <xf numFmtId="14" fontId="69" fillId="0" borderId="31" xfId="0" applyNumberFormat="1" applyFont="1" applyBorder="1" applyAlignment="1">
      <alignment horizontal="center"/>
    </xf>
    <xf numFmtId="1" fontId="69" fillId="14" borderId="0" xfId="2" applyNumberFormat="1" applyFont="1" applyFill="1" applyAlignment="1">
      <alignment horizontal="center" vertical="center" wrapText="1"/>
    </xf>
    <xf numFmtId="1" fontId="9" fillId="0" borderId="26" xfId="2" applyNumberFormat="1" applyBorder="1" applyAlignment="1">
      <alignment horizontal="center" vertical="center" wrapText="1"/>
    </xf>
    <xf numFmtId="164" fontId="9" fillId="0" borderId="5" xfId="0" applyNumberFormat="1" applyFont="1" applyBorder="1" applyAlignment="1" applyProtection="1">
      <alignment horizontal="right" vertical="center" wrapText="1"/>
      <protection locked="0"/>
    </xf>
    <xf numFmtId="168" fontId="7" fillId="14" borderId="1" xfId="0" applyNumberFormat="1" applyFont="1" applyFill="1" applyBorder="1" applyAlignment="1">
      <alignment horizontal="left" vertical="top"/>
    </xf>
    <xf numFmtId="168" fontId="7" fillId="2" borderId="7" xfId="6" applyNumberFormat="1" applyFont="1" applyFill="1" applyBorder="1" applyAlignment="1" applyProtection="1">
      <alignment horizontal="center" vertical="center" wrapText="1"/>
      <protection locked="0"/>
    </xf>
    <xf numFmtId="164" fontId="9" fillId="0" borderId="5" xfId="6" applyNumberFormat="1" applyFont="1" applyFill="1" applyBorder="1" applyAlignment="1">
      <alignment horizontal="right" vertical="center" wrapText="1"/>
    </xf>
    <xf numFmtId="168" fontId="18" fillId="0" borderId="7" xfId="0" applyNumberFormat="1" applyFont="1" applyBorder="1" applyAlignment="1">
      <alignment horizontal="center" vertical="center" wrapText="1"/>
    </xf>
    <xf numFmtId="14" fontId="69" fillId="0" borderId="15" xfId="2" applyNumberFormat="1" applyFont="1" applyBorder="1" applyAlignment="1">
      <alignment vertical="top" wrapText="1"/>
    </xf>
    <xf numFmtId="164" fontId="9" fillId="0" borderId="0" xfId="6" applyNumberFormat="1" applyFont="1" applyFill="1" applyBorder="1" applyAlignment="1" applyProtection="1">
      <alignment horizontal="center" vertical="center" wrapText="1"/>
      <protection locked="0"/>
    </xf>
    <xf numFmtId="168" fontId="69" fillId="0" borderId="2" xfId="6" applyNumberFormat="1" applyFont="1" applyFill="1" applyBorder="1" applyAlignment="1" applyProtection="1">
      <alignment horizontal="center" vertical="center" wrapText="1"/>
      <protection locked="0"/>
    </xf>
    <xf numFmtId="164" fontId="57" fillId="14" borderId="7" xfId="6" applyNumberFormat="1" applyFont="1" applyFill="1" applyBorder="1" applyAlignment="1" applyProtection="1">
      <alignment horizontal="center" vertical="center" wrapText="1"/>
      <protection locked="0"/>
    </xf>
    <xf numFmtId="168" fontId="69" fillId="11" borderId="13" xfId="6" applyNumberFormat="1" applyFont="1" applyFill="1" applyBorder="1" applyAlignment="1" applyProtection="1">
      <alignment horizontal="center" vertical="center" wrapText="1"/>
      <protection locked="0"/>
    </xf>
    <xf numFmtId="8" fontId="34" fillId="0" borderId="5" xfId="0" applyNumberFormat="1" applyFont="1" applyBorder="1" applyAlignment="1">
      <alignment horizontal="center" vertical="center"/>
    </xf>
    <xf numFmtId="164" fontId="9" fillId="0" borderId="25" xfId="6" applyNumberFormat="1" applyFont="1" applyFill="1" applyBorder="1" applyAlignment="1">
      <alignment horizontal="center" vertical="center" wrapText="1"/>
    </xf>
    <xf numFmtId="43" fontId="36" fillId="0" borderId="5" xfId="7" applyFont="1" applyFill="1" applyBorder="1" applyAlignment="1">
      <alignment horizontal="right" vertical="center"/>
    </xf>
    <xf numFmtId="164" fontId="9" fillId="0" borderId="3" xfId="6" applyNumberFormat="1" applyFont="1" applyBorder="1" applyAlignment="1" applyProtection="1">
      <alignment horizontal="center" vertical="center" wrapText="1"/>
      <protection locked="0"/>
    </xf>
    <xf numFmtId="168" fontId="7" fillId="0" borderId="0" xfId="0" applyNumberFormat="1" applyFont="1" applyAlignment="1">
      <alignment horizontal="center" vertical="center"/>
    </xf>
    <xf numFmtId="0" fontId="69" fillId="0" borderId="3" xfId="1" applyFont="1" applyBorder="1" applyAlignment="1">
      <alignment horizontal="center" vertical="center"/>
    </xf>
    <xf numFmtId="165" fontId="36" fillId="0" borderId="8" xfId="6" applyNumberFormat="1" applyFont="1" applyFill="1" applyBorder="1" applyAlignment="1" applyProtection="1">
      <alignment horizontal="center" vertical="center" wrapText="1"/>
      <protection locked="0"/>
    </xf>
    <xf numFmtId="14" fontId="7" fillId="2" borderId="3" xfId="0" applyNumberFormat="1" applyFont="1" applyFill="1" applyBorder="1" applyAlignment="1" applyProtection="1">
      <alignment horizontal="center" vertical="center" wrapText="1"/>
      <protection locked="0"/>
    </xf>
    <xf numFmtId="14" fontId="69" fillId="2" borderId="15" xfId="2" applyNumberFormat="1" applyFont="1" applyFill="1" applyBorder="1" applyAlignment="1">
      <alignment horizontal="center" vertical="center" wrapText="1"/>
    </xf>
    <xf numFmtId="14" fontId="57" fillId="14" borderId="7" xfId="0" applyNumberFormat="1" applyFont="1" applyFill="1" applyBorder="1" applyAlignment="1" applyProtection="1">
      <alignment horizontal="center" vertical="center" wrapText="1"/>
      <protection locked="0"/>
    </xf>
    <xf numFmtId="168" fontId="69" fillId="11" borderId="13" xfId="0" applyNumberFormat="1" applyFont="1" applyFill="1" applyBorder="1" applyAlignment="1">
      <alignment horizontal="center" vertical="center" wrapText="1"/>
    </xf>
    <xf numFmtId="14" fontId="69" fillId="14" borderId="5" xfId="0" applyNumberFormat="1" applyFont="1" applyFill="1" applyBorder="1" applyAlignment="1" applyProtection="1">
      <alignment horizontal="center" vertical="center" wrapText="1"/>
      <protection locked="0"/>
    </xf>
    <xf numFmtId="0" fontId="7" fillId="0" borderId="13" xfId="1" applyFont="1" applyBorder="1" applyAlignment="1" applyProtection="1">
      <alignment horizontal="center" vertical="center" wrapText="1"/>
      <protection locked="0"/>
    </xf>
    <xf numFmtId="0" fontId="71" fillId="0" borderId="3" xfId="0" applyFont="1" applyBorder="1" applyAlignment="1">
      <alignment horizontal="center" vertical="center"/>
    </xf>
    <xf numFmtId="166" fontId="7" fillId="0" borderId="3" xfId="0" applyNumberFormat="1" applyFont="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69" fillId="12" borderId="15" xfId="0" applyFont="1" applyFill="1" applyBorder="1" applyAlignment="1" applyProtection="1">
      <alignment horizontal="center" vertical="center" wrapText="1"/>
      <protection locked="0"/>
    </xf>
    <xf numFmtId="165" fontId="7" fillId="6" borderId="13" xfId="0" applyNumberFormat="1" applyFont="1" applyFill="1" applyBorder="1" applyAlignment="1">
      <alignment horizontal="center" vertical="center" wrapText="1"/>
    </xf>
    <xf numFmtId="165" fontId="69" fillId="12" borderId="15" xfId="0" applyNumberFormat="1" applyFont="1" applyFill="1" applyBorder="1" applyAlignment="1">
      <alignment horizontal="center" vertical="center" wrapText="1"/>
    </xf>
    <xf numFmtId="0" fontId="7" fillId="12" borderId="3" xfId="0" applyFont="1" applyFill="1" applyBorder="1" applyAlignment="1" applyProtection="1">
      <alignment horizontal="center" vertical="center" wrapText="1"/>
      <protection locked="0"/>
    </xf>
    <xf numFmtId="0" fontId="69" fillId="12" borderId="8" xfId="0" applyFont="1" applyFill="1" applyBorder="1" applyAlignment="1" applyProtection="1">
      <alignment horizontal="center" vertical="center" wrapText="1"/>
      <protection locked="0"/>
    </xf>
    <xf numFmtId="168" fontId="69" fillId="12" borderId="3" xfId="0" applyNumberFormat="1" applyFont="1" applyFill="1" applyBorder="1" applyAlignment="1" applyProtection="1">
      <alignment horizontal="center" vertical="center" wrapText="1"/>
      <protection locked="0"/>
    </xf>
    <xf numFmtId="14" fontId="69" fillId="14" borderId="2" xfId="0" applyNumberFormat="1" applyFont="1" applyFill="1" applyBorder="1" applyAlignment="1" applyProtection="1">
      <alignment horizontal="center" vertical="center" wrapText="1"/>
      <protection locked="0"/>
    </xf>
    <xf numFmtId="0" fontId="7" fillId="20" borderId="0" xfId="0" applyFont="1" applyFill="1" applyAlignment="1" applyProtection="1">
      <alignment horizontal="center" vertical="center" wrapText="1"/>
      <protection locked="0"/>
    </xf>
    <xf numFmtId="0" fontId="7" fillId="12" borderId="0" xfId="0" applyFont="1" applyFill="1" applyAlignment="1" applyProtection="1">
      <alignment horizontal="center" vertical="center" wrapText="1"/>
      <protection locked="0"/>
    </xf>
    <xf numFmtId="0" fontId="69" fillId="10" borderId="7" xfId="0" applyFont="1" applyFill="1" applyBorder="1" applyAlignment="1" applyProtection="1">
      <alignment horizontal="center" vertical="center"/>
      <protection locked="0"/>
    </xf>
    <xf numFmtId="0" fontId="7" fillId="6" borderId="13" xfId="0" applyFont="1" applyFill="1" applyBorder="1" applyAlignment="1" applyProtection="1">
      <alignment horizontal="center" vertical="center"/>
      <protection locked="0"/>
    </xf>
    <xf numFmtId="14" fontId="57" fillId="14" borderId="0" xfId="0" applyNumberFormat="1" applyFont="1" applyFill="1" applyAlignment="1" applyProtection="1">
      <alignment horizontal="center" vertical="center" wrapText="1"/>
      <protection locked="0"/>
    </xf>
    <xf numFmtId="0" fontId="69" fillId="2" borderId="3" xfId="0" applyFont="1" applyFill="1" applyBorder="1" applyAlignment="1" applyProtection="1">
      <alignment horizontal="center" vertical="center"/>
      <protection locked="0"/>
    </xf>
    <xf numFmtId="14" fontId="69" fillId="14" borderId="6" xfId="0" applyNumberFormat="1" applyFont="1" applyFill="1" applyBorder="1" applyAlignment="1" applyProtection="1">
      <alignment horizontal="center" vertical="center" wrapText="1"/>
      <protection locked="0"/>
    </xf>
    <xf numFmtId="0" fontId="69" fillId="12" borderId="8" xfId="0" applyFont="1" applyFill="1" applyBorder="1" applyAlignment="1" applyProtection="1">
      <alignment horizontal="center" vertical="center"/>
      <protection locked="0"/>
    </xf>
    <xf numFmtId="14" fontId="69" fillId="14" borderId="16" xfId="0" applyNumberFormat="1" applyFont="1" applyFill="1" applyBorder="1" applyAlignment="1" applyProtection="1">
      <alignment horizontal="center" vertical="center" wrapText="1"/>
      <protection locked="0"/>
    </xf>
    <xf numFmtId="167" fontId="9" fillId="0" borderId="3" xfId="0" applyNumberFormat="1" applyFont="1" applyBorder="1" applyAlignment="1" applyProtection="1">
      <alignment horizontal="center" vertical="center" wrapText="1"/>
      <protection locked="0"/>
    </xf>
    <xf numFmtId="0" fontId="69" fillId="0" borderId="10" xfId="0" applyFont="1" applyBorder="1" applyAlignment="1">
      <alignment horizontal="left" vertical="center" wrapText="1"/>
    </xf>
    <xf numFmtId="0" fontId="69" fillId="14" borderId="6" xfId="2" applyFont="1" applyFill="1" applyBorder="1" applyAlignment="1">
      <alignment horizontal="center" vertical="center" wrapText="1"/>
    </xf>
    <xf numFmtId="0" fontId="69" fillId="0" borderId="0" xfId="0" applyFont="1" applyAlignment="1" applyProtection="1">
      <alignment horizontal="left" vertical="center"/>
      <protection locked="0"/>
    </xf>
    <xf numFmtId="0" fontId="69" fillId="0" borderId="16" xfId="2" applyFont="1" applyBorder="1" applyAlignment="1">
      <alignment horizontal="left" vertical="center" wrapText="1"/>
    </xf>
    <xf numFmtId="0" fontId="57" fillId="14" borderId="7" xfId="6"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69" fillId="14" borderId="30" xfId="2" applyFont="1" applyFill="1" applyBorder="1" applyAlignment="1">
      <alignment horizontal="center" vertical="center" wrapText="1"/>
    </xf>
    <xf numFmtId="0" fontId="69" fillId="0" borderId="7" xfId="0" applyFont="1" applyBorder="1" applyAlignment="1" applyProtection="1">
      <alignment horizontal="left" vertical="center"/>
      <protection locked="0"/>
    </xf>
    <xf numFmtId="0" fontId="7" fillId="14" borderId="0" xfId="0" applyFont="1" applyFill="1" applyAlignment="1">
      <alignment horizontal="left" vertical="top" wrapText="1"/>
    </xf>
    <xf numFmtId="0" fontId="69" fillId="0" borderId="31" xfId="0" applyFont="1" applyBorder="1" applyAlignment="1">
      <alignment horizontal="center"/>
    </xf>
    <xf numFmtId="0" fontId="7" fillId="4" borderId="0" xfId="0" applyFont="1" applyFill="1" applyAlignment="1" applyProtection="1">
      <alignment horizontal="center" vertical="center" wrapText="1"/>
      <protection locked="0"/>
    </xf>
    <xf numFmtId="0" fontId="17" fillId="0" borderId="13" xfId="0" applyFont="1" applyBorder="1" applyAlignment="1" applyProtection="1">
      <alignment horizontal="center" vertical="center"/>
      <protection locked="0"/>
    </xf>
    <xf numFmtId="0" fontId="69" fillId="0" borderId="15" xfId="0" applyFont="1" applyBorder="1" applyAlignment="1">
      <alignment vertical="top"/>
    </xf>
    <xf numFmtId="0" fontId="69" fillId="7" borderId="14" xfId="0" applyFont="1" applyFill="1" applyBorder="1" applyAlignment="1" applyProtection="1">
      <alignment horizontal="center" vertical="center" wrapText="1"/>
      <protection locked="0"/>
    </xf>
    <xf numFmtId="0" fontId="80" fillId="29" borderId="8" xfId="0" applyFont="1" applyFill="1" applyBorder="1" applyAlignment="1" applyProtection="1">
      <alignment horizontal="center" vertical="center" wrapText="1"/>
      <protection locked="0"/>
    </xf>
    <xf numFmtId="0" fontId="80" fillId="29" borderId="15" xfId="0" applyFont="1" applyFill="1" applyBorder="1" applyAlignment="1">
      <alignment horizontal="center" vertical="center" wrapText="1"/>
    </xf>
    <xf numFmtId="167" fontId="69" fillId="0" borderId="11" xfId="0" applyNumberFormat="1" applyFont="1" applyBorder="1" applyAlignment="1" applyProtection="1">
      <alignment horizontal="center" vertical="center" wrapText="1"/>
      <protection locked="0"/>
    </xf>
    <xf numFmtId="167" fontId="69" fillId="9" borderId="13" xfId="0" applyNumberFormat="1" applyFont="1" applyFill="1" applyBorder="1" applyAlignment="1" applyProtection="1">
      <alignment horizontal="center" vertical="center" wrapText="1"/>
      <protection locked="0"/>
    </xf>
    <xf numFmtId="167" fontId="69" fillId="14" borderId="11" xfId="0" applyNumberFormat="1" applyFont="1" applyFill="1" applyBorder="1" applyAlignment="1" applyProtection="1">
      <alignment horizontal="center" vertical="center" wrapText="1"/>
      <protection locked="0"/>
    </xf>
    <xf numFmtId="167" fontId="70" fillId="0" borderId="13" xfId="0" applyNumberFormat="1" applyFont="1" applyBorder="1" applyAlignment="1" applyProtection="1">
      <alignment horizontal="center" vertical="center" wrapText="1"/>
      <protection locked="0"/>
    </xf>
    <xf numFmtId="167" fontId="69" fillId="0" borderId="22" xfId="0" applyNumberFormat="1" applyFont="1" applyBorder="1" applyAlignment="1" applyProtection="1">
      <alignment horizontal="center" vertical="center" wrapText="1"/>
      <protection locked="0"/>
    </xf>
    <xf numFmtId="0" fontId="7" fillId="14" borderId="0" xfId="0" applyFont="1" applyFill="1" applyAlignment="1">
      <alignment horizontal="left" vertical="top"/>
    </xf>
    <xf numFmtId="0" fontId="69" fillId="0" borderId="16" xfId="0" applyFont="1" applyBorder="1" applyAlignment="1">
      <alignment vertical="top"/>
    </xf>
    <xf numFmtId="167" fontId="69" fillId="11" borderId="13" xfId="0" applyNumberFormat="1" applyFont="1" applyFill="1" applyBorder="1" applyAlignment="1">
      <alignment horizontal="center" vertical="center"/>
    </xf>
    <xf numFmtId="14" fontId="69" fillId="0" borderId="13" xfId="0" applyNumberFormat="1" applyFont="1" applyBorder="1" applyAlignment="1" applyProtection="1">
      <alignment horizontal="left" vertical="center" wrapText="1"/>
      <protection locked="0"/>
    </xf>
    <xf numFmtId="14" fontId="68" fillId="0" borderId="3" xfId="6" applyNumberFormat="1" applyFont="1" applyBorder="1" applyAlignment="1" applyProtection="1">
      <alignment horizontal="center" vertical="center" wrapText="1"/>
      <protection locked="0"/>
    </xf>
    <xf numFmtId="14" fontId="7" fillId="14" borderId="0" xfId="0" applyNumberFormat="1" applyFont="1" applyFill="1" applyAlignment="1" applyProtection="1">
      <alignment horizontal="left" vertical="top" wrapText="1"/>
      <protection locked="0"/>
    </xf>
    <xf numFmtId="165" fontId="69" fillId="10" borderId="8" xfId="0" applyNumberFormat="1" applyFont="1" applyFill="1" applyBorder="1" applyAlignment="1" applyProtection="1">
      <alignment horizontal="center" vertical="center" wrapText="1"/>
      <protection locked="0"/>
    </xf>
    <xf numFmtId="167" fontId="7" fillId="2" borderId="1" xfId="0" applyNumberFormat="1" applyFont="1" applyFill="1" applyBorder="1" applyAlignment="1">
      <alignment horizontal="left" vertical="top"/>
    </xf>
    <xf numFmtId="14" fontId="68" fillId="0" borderId="13" xfId="0" applyNumberFormat="1" applyFont="1" applyBorder="1" applyAlignment="1">
      <alignment horizontal="left" vertical="center"/>
    </xf>
    <xf numFmtId="14" fontId="7" fillId="0" borderId="16" xfId="0" applyNumberFormat="1" applyFont="1" applyBorder="1" applyAlignment="1" applyProtection="1">
      <alignment horizontal="center" vertical="center" wrapText="1"/>
      <protection locked="0"/>
    </xf>
    <xf numFmtId="14" fontId="68" fillId="10" borderId="26" xfId="6" applyNumberFormat="1" applyFont="1" applyFill="1" applyBorder="1" applyAlignment="1">
      <alignment horizontal="center" vertical="center" wrapText="1"/>
    </xf>
    <xf numFmtId="165" fontId="68" fillId="0" borderId="13" xfId="6" applyNumberFormat="1" applyFont="1" applyFill="1" applyBorder="1" applyAlignment="1" applyProtection="1">
      <alignment horizontal="left" vertical="center"/>
      <protection locked="0"/>
    </xf>
    <xf numFmtId="14" fontId="68" fillId="0" borderId="2" xfId="0" applyNumberFormat="1" applyFont="1" applyBorder="1" applyAlignment="1">
      <alignment horizontal="center" vertical="center"/>
    </xf>
    <xf numFmtId="14" fontId="68" fillId="0" borderId="8" xfId="6" applyNumberFormat="1" applyFont="1" applyFill="1" applyBorder="1" applyAlignment="1" applyProtection="1">
      <alignment horizontal="center" vertical="center" wrapText="1"/>
      <protection locked="0"/>
    </xf>
    <xf numFmtId="14" fontId="68" fillId="0" borderId="0" xfId="6" applyNumberFormat="1" applyFont="1" applyFill="1" applyBorder="1" applyAlignment="1" applyProtection="1">
      <alignment horizontal="center" vertical="center" wrapText="1"/>
      <protection locked="0"/>
    </xf>
    <xf numFmtId="49" fontId="7" fillId="0" borderId="0" xfId="0" applyNumberFormat="1" applyFont="1" applyAlignment="1" applyProtection="1">
      <alignment horizontal="center" vertical="center"/>
      <protection locked="0"/>
    </xf>
    <xf numFmtId="165" fontId="69" fillId="11" borderId="13" xfId="0" applyNumberFormat="1" applyFont="1" applyFill="1" applyBorder="1" applyAlignment="1" applyProtection="1">
      <alignment horizontal="center" vertical="center" wrapText="1"/>
      <protection locked="0"/>
    </xf>
    <xf numFmtId="165" fontId="69" fillId="0" borderId="13" xfId="0" applyNumberFormat="1" applyFont="1" applyBorder="1" applyAlignment="1" applyProtection="1">
      <alignment horizontal="left" vertical="center" wrapText="1"/>
      <protection locked="0"/>
    </xf>
    <xf numFmtId="14" fontId="69" fillId="0" borderId="8" xfId="0" applyNumberFormat="1" applyFont="1" applyBorder="1" applyAlignment="1" applyProtection="1">
      <alignment horizontal="left" vertical="center" wrapText="1"/>
      <protection locked="0"/>
    </xf>
    <xf numFmtId="0" fontId="69" fillId="10" borderId="1" xfId="2" applyFont="1" applyFill="1" applyBorder="1" applyAlignment="1">
      <alignment horizontal="left" vertical="top" wrapText="1"/>
    </xf>
    <xf numFmtId="49" fontId="69" fillId="10" borderId="7" xfId="0" applyNumberFormat="1" applyFont="1" applyFill="1" applyBorder="1" applyAlignment="1" applyProtection="1">
      <alignment horizontal="left" vertical="center" wrapText="1"/>
      <protection locked="0"/>
    </xf>
    <xf numFmtId="14" fontId="7" fillId="2" borderId="2" xfId="0" applyNumberFormat="1" applyFont="1" applyFill="1" applyBorder="1" applyAlignment="1" applyProtection="1">
      <alignment horizontal="left" vertical="center" wrapText="1"/>
      <protection locked="0"/>
    </xf>
    <xf numFmtId="0" fontId="69" fillId="0" borderId="14" xfId="0" applyFont="1" applyBorder="1" applyAlignment="1">
      <alignment vertical="top"/>
    </xf>
    <xf numFmtId="14" fontId="68" fillId="0" borderId="22" xfId="6" applyNumberFormat="1" applyFont="1" applyFill="1" applyBorder="1" applyAlignment="1" applyProtection="1">
      <alignment horizontal="center" vertical="center" wrapText="1"/>
      <protection locked="0"/>
    </xf>
    <xf numFmtId="0" fontId="69" fillId="0" borderId="23" xfId="0" applyFont="1" applyBorder="1" applyAlignment="1" applyProtection="1">
      <alignment horizontal="left" vertical="top" wrapText="1"/>
      <protection locked="0"/>
    </xf>
    <xf numFmtId="14" fontId="69" fillId="10" borderId="1" xfId="2" applyNumberFormat="1" applyFont="1" applyFill="1" applyBorder="1" applyAlignment="1">
      <alignment vertical="top" wrapText="1"/>
    </xf>
    <xf numFmtId="14" fontId="69" fillId="0" borderId="16" xfId="2" applyNumberFormat="1" applyFont="1" applyBorder="1" applyAlignment="1">
      <alignment horizontal="left" vertical="top" wrapText="1"/>
    </xf>
    <xf numFmtId="14" fontId="69" fillId="10" borderId="1" xfId="2" applyNumberFormat="1" applyFont="1" applyFill="1" applyBorder="1" applyAlignment="1">
      <alignment horizontal="left" vertical="top" wrapText="1"/>
    </xf>
    <xf numFmtId="0" fontId="34" fillId="0" borderId="5" xfId="0" applyFont="1" applyBorder="1" applyAlignment="1">
      <alignment horizontal="left" vertical="center"/>
    </xf>
    <xf numFmtId="14" fontId="69" fillId="0" borderId="1" xfId="0" applyNumberFormat="1" applyFont="1" applyBorder="1" applyAlignment="1" applyProtection="1">
      <alignment vertical="top" wrapText="1"/>
      <protection locked="0"/>
    </xf>
    <xf numFmtId="165" fontId="68" fillId="0" borderId="0" xfId="0" applyNumberFormat="1" applyFont="1" applyAlignment="1">
      <alignment horizontal="center" vertical="center" wrapText="1"/>
    </xf>
    <xf numFmtId="49" fontId="74" fillId="0" borderId="0" xfId="0" applyNumberFormat="1" applyFont="1" applyAlignment="1" applyProtection="1">
      <alignment horizontal="left" vertical="center" wrapText="1"/>
      <protection locked="0"/>
    </xf>
    <xf numFmtId="0" fontId="0" fillId="0" borderId="2" xfId="0" applyBorder="1" applyProtection="1">
      <protection locked="0"/>
    </xf>
    <xf numFmtId="0" fontId="7" fillId="0" borderId="22" xfId="0" applyFont="1" applyBorder="1" applyAlignment="1" applyProtection="1">
      <alignment horizontal="center" vertical="center" wrapText="1"/>
      <protection locked="0"/>
    </xf>
    <xf numFmtId="0" fontId="69" fillId="10" borderId="3" xfId="0" applyFont="1" applyFill="1" applyBorder="1" applyAlignment="1" applyProtection="1">
      <alignment horizontal="center" vertical="center"/>
      <protection locked="0"/>
    </xf>
    <xf numFmtId="0" fontId="0" fillId="0" borderId="9" xfId="0" applyBorder="1"/>
    <xf numFmtId="14" fontId="7" fillId="2" borderId="13" xfId="0" applyNumberFormat="1" applyFont="1" applyFill="1" applyBorder="1" applyAlignment="1" applyProtection="1">
      <alignment horizontal="left" vertical="center" wrapText="1"/>
      <protection locked="0"/>
    </xf>
    <xf numFmtId="0" fontId="7" fillId="0" borderId="22" xfId="0" applyFont="1" applyBorder="1" applyAlignment="1" applyProtection="1">
      <alignment horizontal="center" vertical="center"/>
      <protection locked="0"/>
    </xf>
    <xf numFmtId="14" fontId="69" fillId="2" borderId="3" xfId="0" applyNumberFormat="1" applyFont="1" applyFill="1" applyBorder="1" applyAlignment="1" applyProtection="1">
      <alignment horizontal="center" vertical="center" wrapText="1"/>
      <protection locked="0"/>
    </xf>
    <xf numFmtId="0" fontId="69" fillId="0" borderId="22" xfId="0" applyFont="1" applyBorder="1" applyAlignment="1">
      <alignment vertical="top"/>
    </xf>
    <xf numFmtId="14" fontId="69" fillId="10" borderId="3" xfId="2" applyNumberFormat="1" applyFont="1" applyFill="1" applyBorder="1" applyAlignment="1">
      <alignment horizontal="center" vertical="center" wrapText="1"/>
    </xf>
    <xf numFmtId="0" fontId="69" fillId="11" borderId="22" xfId="0" applyFont="1" applyFill="1" applyBorder="1" applyAlignment="1" applyProtection="1">
      <alignment horizontal="center" vertical="center" wrapText="1"/>
      <protection locked="0"/>
    </xf>
    <xf numFmtId="14" fontId="69" fillId="2" borderId="3" xfId="2" applyNumberFormat="1" applyFont="1" applyFill="1" applyBorder="1" applyAlignment="1">
      <alignment horizontal="center" vertical="center" wrapText="1"/>
    </xf>
    <xf numFmtId="168" fontId="69" fillId="10" borderId="7" xfId="0" applyNumberFormat="1" applyFont="1" applyFill="1" applyBorder="1" applyAlignment="1" applyProtection="1">
      <alignment horizontal="center" vertical="center" wrapText="1"/>
      <protection locked="0"/>
    </xf>
    <xf numFmtId="168" fontId="7" fillId="4" borderId="0" xfId="0" applyNumberFormat="1" applyFont="1" applyFill="1" applyAlignment="1" applyProtection="1">
      <alignment horizontal="center" vertical="center" wrapText="1"/>
      <protection locked="0"/>
    </xf>
    <xf numFmtId="14" fontId="69" fillId="2" borderId="1" xfId="2" applyNumberFormat="1" applyFont="1" applyFill="1" applyBorder="1" applyAlignment="1">
      <alignment horizontal="center" vertical="center" wrapText="1"/>
    </xf>
    <xf numFmtId="168" fontId="69" fillId="0" borderId="7" xfId="0" applyNumberFormat="1" applyFont="1" applyBorder="1" applyAlignment="1" applyProtection="1">
      <alignment horizontal="center" vertical="center" wrapText="1"/>
      <protection locked="0"/>
    </xf>
    <xf numFmtId="14" fontId="69" fillId="0" borderId="4" xfId="2" applyNumberFormat="1" applyFont="1" applyBorder="1" applyAlignment="1">
      <alignment horizontal="center" vertical="center" wrapText="1"/>
    </xf>
    <xf numFmtId="1" fontId="9" fillId="0" borderId="15" xfId="2" applyNumberFormat="1" applyBorder="1" applyAlignment="1">
      <alignment horizontal="center" vertical="center" wrapText="1"/>
    </xf>
    <xf numFmtId="14" fontId="69" fillId="0" borderId="1" xfId="1" applyNumberFormat="1" applyFont="1" applyBorder="1" applyAlignment="1" applyProtection="1">
      <alignment horizontal="center" vertical="center" wrapText="1"/>
      <protection locked="0"/>
    </xf>
    <xf numFmtId="0" fontId="69" fillId="0" borderId="2" xfId="1" applyFont="1" applyBorder="1" applyAlignment="1" applyProtection="1">
      <alignment horizontal="center" vertical="center" wrapText="1"/>
      <protection locked="0"/>
    </xf>
    <xf numFmtId="49" fontId="69" fillId="0" borderId="13" xfId="1" applyNumberFormat="1" applyFont="1" applyBorder="1" applyAlignment="1" applyProtection="1">
      <alignment horizontal="center" vertical="center" wrapText="1"/>
      <protection locked="0"/>
    </xf>
    <xf numFmtId="14" fontId="71" fillId="0" borderId="1" xfId="0" applyNumberFormat="1" applyFont="1" applyBorder="1" applyAlignment="1">
      <alignment horizontal="center" vertical="center"/>
    </xf>
    <xf numFmtId="0" fontId="71" fillId="0" borderId="22" xfId="2" applyFont="1" applyBorder="1" applyAlignment="1">
      <alignment horizontal="center" vertical="center" wrapText="1"/>
    </xf>
    <xf numFmtId="0" fontId="71" fillId="0" borderId="1" xfId="2" applyFont="1" applyBorder="1" applyAlignment="1">
      <alignment horizontal="center" vertical="center" wrapText="1"/>
    </xf>
    <xf numFmtId="0" fontId="71" fillId="0" borderId="3" xfId="0" applyFont="1" applyBorder="1" applyAlignment="1">
      <alignment horizontal="center" vertical="center" wrapText="1"/>
    </xf>
    <xf numFmtId="0" fontId="71" fillId="0" borderId="1" xfId="0" applyFont="1" applyBorder="1" applyAlignment="1">
      <alignment horizontal="center" vertical="center" wrapText="1"/>
    </xf>
    <xf numFmtId="165" fontId="71" fillId="0" borderId="1" xfId="0" applyNumberFormat="1" applyFont="1" applyBorder="1" applyAlignment="1">
      <alignment horizontal="center" vertical="center" wrapText="1"/>
    </xf>
    <xf numFmtId="14" fontId="71" fillId="0" borderId="1" xfId="0" applyNumberFormat="1" applyFont="1" applyBorder="1" applyAlignment="1">
      <alignment horizontal="center" vertical="center" wrapText="1"/>
    </xf>
    <xf numFmtId="14" fontId="71" fillId="0" borderId="1" xfId="2" applyNumberFormat="1" applyFont="1" applyBorder="1" applyAlignment="1">
      <alignment horizontal="center" vertical="center" wrapText="1"/>
    </xf>
    <xf numFmtId="1" fontId="71" fillId="0" borderId="2" xfId="2" applyNumberFormat="1" applyFont="1" applyBorder="1" applyAlignment="1">
      <alignment horizontal="center" vertical="center" wrapText="1"/>
    </xf>
    <xf numFmtId="1" fontId="71" fillId="0" borderId="13" xfId="2" applyNumberFormat="1" applyFont="1" applyBorder="1" applyAlignment="1">
      <alignment horizontal="center" vertical="center" wrapText="1"/>
    </xf>
    <xf numFmtId="168" fontId="71" fillId="0" borderId="3" xfId="6" applyNumberFormat="1" applyFont="1" applyFill="1" applyBorder="1" applyAlignment="1" applyProtection="1">
      <alignment horizontal="center" vertical="center" wrapText="1"/>
      <protection locked="0"/>
    </xf>
    <xf numFmtId="14" fontId="71" fillId="0" borderId="1" xfId="0" applyNumberFormat="1" applyFont="1" applyBorder="1" applyAlignment="1" applyProtection="1">
      <alignment horizontal="center" vertical="center" wrapText="1"/>
      <protection locked="0"/>
    </xf>
    <xf numFmtId="167" fontId="71" fillId="0" borderId="1" xfId="0" applyNumberFormat="1" applyFont="1" applyBorder="1" applyAlignment="1" applyProtection="1">
      <alignment horizontal="center" vertical="center" wrapText="1"/>
      <protection locked="0"/>
    </xf>
    <xf numFmtId="14" fontId="71" fillId="0" borderId="1" xfId="6" applyNumberFormat="1" applyFont="1" applyFill="1" applyBorder="1" applyAlignment="1">
      <alignment horizontal="center" vertical="center" wrapText="1"/>
    </xf>
    <xf numFmtId="0" fontId="71" fillId="0" borderId="1" xfId="2" applyFont="1" applyBorder="1" applyAlignment="1">
      <alignment horizontal="left" vertical="top" wrapText="1"/>
    </xf>
    <xf numFmtId="0" fontId="71" fillId="0" borderId="3" xfId="2" applyFont="1" applyBorder="1" applyAlignment="1">
      <alignment horizontal="center" vertical="center" wrapText="1"/>
    </xf>
    <xf numFmtId="0" fontId="68" fillId="0" borderId="1" xfId="0" quotePrefix="1" applyFont="1" applyBorder="1" applyAlignment="1">
      <alignment vertical="center" wrapText="1"/>
    </xf>
    <xf numFmtId="165" fontId="68" fillId="0" borderId="1" xfId="6" applyNumberFormat="1" applyFont="1" applyFill="1" applyBorder="1" applyAlignment="1">
      <alignment horizontal="center" vertical="center" wrapText="1"/>
    </xf>
    <xf numFmtId="14" fontId="68" fillId="0" borderId="2" xfId="2" applyNumberFormat="1" applyFont="1" applyBorder="1" applyAlignment="1">
      <alignment horizontal="left" vertical="center" wrapText="1"/>
    </xf>
    <xf numFmtId="0" fontId="69" fillId="0" borderId="15" xfId="0" applyFont="1" applyBorder="1" applyAlignment="1">
      <alignment horizontal="left" vertical="center" wrapText="1"/>
    </xf>
    <xf numFmtId="0" fontId="69" fillId="2" borderId="15" xfId="0" applyFont="1" applyFill="1" applyBorder="1" applyAlignment="1" applyProtection="1">
      <alignment horizontal="left" vertical="center" wrapText="1"/>
      <protection locked="0"/>
    </xf>
    <xf numFmtId="0" fontId="71" fillId="0" borderId="15" xfId="0" applyFont="1" applyBorder="1" applyAlignment="1">
      <alignment horizontal="left" vertical="center" wrapText="1"/>
    </xf>
    <xf numFmtId="0" fontId="69" fillId="0" borderId="3" xfId="0" applyFont="1" applyBorder="1" applyAlignment="1">
      <alignment horizontal="left" vertical="center" wrapText="1"/>
    </xf>
    <xf numFmtId="0" fontId="69" fillId="7" borderId="15" xfId="0" applyFont="1" applyFill="1" applyBorder="1" applyAlignment="1" applyProtection="1">
      <alignment horizontal="left" vertical="center" wrapText="1"/>
      <protection locked="0"/>
    </xf>
    <xf numFmtId="0" fontId="69" fillId="2" borderId="3" xfId="0" applyFont="1" applyFill="1" applyBorder="1" applyAlignment="1" applyProtection="1">
      <alignment horizontal="left" vertical="center" wrapText="1"/>
      <protection locked="0"/>
    </xf>
    <xf numFmtId="0" fontId="71" fillId="0" borderId="3" xfId="0" applyFont="1" applyBorder="1" applyAlignment="1">
      <alignment horizontal="left" vertical="center" wrapText="1"/>
    </xf>
    <xf numFmtId="0" fontId="71" fillId="0" borderId="13" xfId="0" applyFont="1" applyBorder="1" applyAlignment="1">
      <alignment horizontal="left" vertical="center" wrapText="1"/>
    </xf>
    <xf numFmtId="0" fontId="68" fillId="0" borderId="14" xfId="0" applyFont="1" applyBorder="1" applyAlignment="1">
      <alignment horizontal="center" vertical="center"/>
    </xf>
    <xf numFmtId="0" fontId="71" fillId="0" borderId="1" xfId="0" applyFont="1" applyBorder="1"/>
    <xf numFmtId="14" fontId="69" fillId="0" borderId="15" xfId="1" applyNumberFormat="1" applyFont="1" applyBorder="1" applyAlignment="1">
      <alignment horizontal="center" vertical="center" wrapText="1"/>
    </xf>
    <xf numFmtId="14" fontId="71" fillId="0" borderId="3" xfId="0" applyNumberFormat="1" applyFont="1" applyBorder="1" applyAlignment="1">
      <alignment horizontal="center" wrapText="1"/>
    </xf>
    <xf numFmtId="0" fontId="69" fillId="0" borderId="6" xfId="1" applyFont="1" applyBorder="1" applyAlignment="1">
      <alignment horizontal="center" vertical="center" wrapText="1"/>
    </xf>
    <xf numFmtId="49" fontId="69" fillId="0" borderId="2" xfId="0" applyNumberFormat="1" applyFont="1" applyBorder="1" applyAlignment="1" applyProtection="1">
      <alignment horizontal="center" vertical="center" wrapText="1"/>
      <protection locked="0"/>
    </xf>
    <xf numFmtId="6" fontId="69" fillId="0" borderId="3" xfId="0" applyNumberFormat="1" applyFont="1" applyBorder="1" applyAlignment="1">
      <alignment horizontal="center" wrapText="1"/>
    </xf>
    <xf numFmtId="168" fontId="69" fillId="0" borderId="15" xfId="0" applyNumberFormat="1" applyFont="1" applyBorder="1" applyAlignment="1">
      <alignment horizontal="center" vertical="center" wrapText="1"/>
    </xf>
    <xf numFmtId="166" fontId="69" fillId="12" borderId="5" xfId="0" applyNumberFormat="1" applyFont="1" applyFill="1" applyBorder="1" applyAlignment="1" applyProtection="1">
      <alignment horizontal="center" vertical="center" wrapText="1"/>
      <protection locked="0"/>
    </xf>
    <xf numFmtId="14" fontId="69" fillId="6" borderId="3" xfId="0" applyNumberFormat="1" applyFont="1" applyFill="1" applyBorder="1" applyAlignment="1" applyProtection="1">
      <alignment horizontal="center" vertical="center"/>
      <protection locked="0"/>
    </xf>
    <xf numFmtId="0" fontId="71" fillId="0" borderId="13" xfId="0" applyFont="1" applyBorder="1"/>
    <xf numFmtId="167" fontId="67" fillId="5" borderId="1" xfId="0" applyNumberFormat="1" applyFont="1" applyFill="1" applyBorder="1" applyAlignment="1" applyProtection="1">
      <alignment horizontal="left" vertical="top" wrapText="1"/>
      <protection locked="0"/>
    </xf>
    <xf numFmtId="0" fontId="69" fillId="0" borderId="14" xfId="0" applyFont="1" applyBorder="1" applyAlignment="1" applyProtection="1">
      <alignment horizontal="left" vertical="top" wrapText="1"/>
      <protection locked="0"/>
    </xf>
    <xf numFmtId="0" fontId="69" fillId="0" borderId="13" xfId="0" applyFont="1" applyBorder="1" applyAlignment="1">
      <alignment horizontal="left" vertical="top" wrapText="1"/>
    </xf>
    <xf numFmtId="0" fontId="69" fillId="0" borderId="30" xfId="0" applyFont="1" applyBorder="1" applyAlignment="1" applyProtection="1">
      <alignment horizontal="left" vertical="top" wrapText="1"/>
      <protection locked="0"/>
    </xf>
    <xf numFmtId="49" fontId="69" fillId="2" borderId="2" xfId="0" applyNumberFormat="1" applyFont="1" applyFill="1" applyBorder="1" applyAlignment="1" applyProtection="1">
      <alignment horizontal="left" vertical="top" wrapText="1"/>
      <protection locked="0"/>
    </xf>
    <xf numFmtId="0" fontId="68" fillId="0" borderId="2" xfId="0" applyFont="1" applyBorder="1" applyAlignment="1">
      <alignment horizontal="left" vertical="top" wrapText="1"/>
    </xf>
    <xf numFmtId="0" fontId="71" fillId="0" borderId="2" xfId="0" applyFont="1" applyBorder="1" applyAlignment="1">
      <alignment horizontal="left" vertical="top" wrapText="1"/>
    </xf>
    <xf numFmtId="49" fontId="69" fillId="0" borderId="2" xfId="0" applyNumberFormat="1" applyFont="1" applyBorder="1" applyAlignment="1" applyProtection="1">
      <alignment horizontal="left" vertical="top" wrapText="1"/>
      <protection locked="0"/>
    </xf>
    <xf numFmtId="0" fontId="69" fillId="0" borderId="16" xfId="0" applyFont="1" applyBorder="1" applyAlignment="1" applyProtection="1">
      <alignment horizontal="left" vertical="top" wrapText="1"/>
      <protection locked="0"/>
    </xf>
    <xf numFmtId="0" fontId="71" fillId="0" borderId="6" xfId="0" applyFont="1" applyBorder="1" applyAlignment="1" applyProtection="1">
      <alignment horizontal="left" vertical="top" wrapText="1"/>
      <protection locked="0"/>
    </xf>
    <xf numFmtId="0" fontId="71" fillId="0" borderId="5" xfId="0" applyFont="1" applyBorder="1" applyAlignment="1">
      <alignment horizontal="left" vertical="top" wrapText="1"/>
    </xf>
    <xf numFmtId="0" fontId="71" fillId="0" borderId="34" xfId="0" applyFont="1" applyBorder="1" applyAlignment="1">
      <alignment horizontal="left" vertical="top" wrapText="1"/>
    </xf>
    <xf numFmtId="0" fontId="71" fillId="0" borderId="3" xfId="0" applyFont="1" applyBorder="1" applyAlignment="1">
      <alignment horizontal="left" vertical="top" wrapText="1"/>
    </xf>
    <xf numFmtId="0" fontId="87" fillId="0" borderId="0" xfId="0" applyFont="1" applyAlignment="1" applyProtection="1">
      <alignment vertical="center"/>
      <protection locked="0"/>
    </xf>
    <xf numFmtId="168" fontId="69" fillId="7" borderId="3" xfId="6" applyNumberFormat="1" applyFont="1" applyFill="1" applyBorder="1" applyAlignment="1" applyProtection="1">
      <alignment horizontal="center" vertical="center" wrapText="1"/>
      <protection locked="0"/>
    </xf>
    <xf numFmtId="14" fontId="68" fillId="12" borderId="1" xfId="0" applyNumberFormat="1" applyFont="1" applyFill="1" applyBorder="1" applyAlignment="1">
      <alignment horizontal="center" vertical="center"/>
    </xf>
    <xf numFmtId="14" fontId="68" fillId="0" borderId="1" xfId="6" applyNumberFormat="1" applyFont="1" applyBorder="1" applyAlignment="1" applyProtection="1">
      <alignment horizontal="center" vertical="center" wrapText="1"/>
      <protection locked="0"/>
    </xf>
    <xf numFmtId="0" fontId="71" fillId="0" borderId="22" xfId="0" applyFont="1" applyBorder="1" applyAlignment="1">
      <alignment wrapText="1"/>
    </xf>
    <xf numFmtId="14" fontId="68" fillId="11" borderId="0" xfId="0" applyNumberFormat="1" applyFont="1" applyFill="1" applyAlignment="1">
      <alignment horizontal="center" vertical="center"/>
    </xf>
    <xf numFmtId="0" fontId="69" fillId="11" borderId="1" xfId="0" applyFont="1" applyFill="1" applyBorder="1" applyAlignment="1">
      <alignment horizontal="center" vertical="center"/>
    </xf>
    <xf numFmtId="0" fontId="69" fillId="11" borderId="1" xfId="0" applyFont="1" applyFill="1" applyBorder="1" applyAlignment="1">
      <alignment horizontal="center" vertical="center" wrapText="1"/>
    </xf>
    <xf numFmtId="0" fontId="69" fillId="11" borderId="1" xfId="0" applyFont="1" applyFill="1" applyBorder="1" applyAlignment="1" applyProtection="1">
      <alignment horizontal="left" vertical="top" wrapText="1"/>
      <protection locked="0"/>
    </xf>
    <xf numFmtId="0" fontId="69" fillId="11" borderId="1" xfId="0" applyFont="1" applyFill="1" applyBorder="1" applyAlignment="1" applyProtection="1">
      <alignment horizontal="left" vertical="center" wrapText="1"/>
      <protection locked="0"/>
    </xf>
    <xf numFmtId="14" fontId="69" fillId="11" borderId="1" xfId="1" applyNumberFormat="1" applyFont="1" applyFill="1" applyBorder="1" applyAlignment="1">
      <alignment horizontal="center" vertical="center" wrapText="1"/>
    </xf>
    <xf numFmtId="0" fontId="69" fillId="11" borderId="1" xfId="1" applyFont="1" applyFill="1" applyBorder="1" applyAlignment="1">
      <alignment horizontal="center" vertical="center" wrapText="1"/>
    </xf>
    <xf numFmtId="168" fontId="69" fillId="11" borderId="1" xfId="6" applyNumberFormat="1" applyFont="1" applyFill="1" applyBorder="1" applyAlignment="1" applyProtection="1">
      <alignment horizontal="center" vertical="center" wrapText="1"/>
      <protection locked="0"/>
    </xf>
    <xf numFmtId="167" fontId="69" fillId="11" borderId="0" xfId="0" applyNumberFormat="1" applyFont="1" applyFill="1" applyAlignment="1">
      <alignment horizontal="center" vertical="center"/>
    </xf>
    <xf numFmtId="165" fontId="69" fillId="11" borderId="0" xfId="0" applyNumberFormat="1" applyFont="1" applyFill="1" applyAlignment="1" applyProtection="1">
      <alignment horizontal="center" vertical="center" wrapText="1"/>
      <protection locked="0"/>
    </xf>
    <xf numFmtId="0" fontId="69" fillId="0" borderId="3" xfId="0" applyFont="1" applyBorder="1" applyAlignment="1" applyProtection="1">
      <alignment horizontal="left" vertical="top" wrapText="1"/>
      <protection locked="0"/>
    </xf>
    <xf numFmtId="0" fontId="69" fillId="0" borderId="2" xfId="0" applyFont="1" applyBorder="1"/>
    <xf numFmtId="14" fontId="68" fillId="11" borderId="1" xfId="0" applyNumberFormat="1" applyFont="1" applyFill="1" applyBorder="1" applyAlignment="1">
      <alignment horizontal="center" vertical="center"/>
    </xf>
    <xf numFmtId="0" fontId="69" fillId="11" borderId="3" xfId="0" applyFont="1" applyFill="1" applyBorder="1" applyAlignment="1">
      <alignment horizontal="center" vertical="center"/>
    </xf>
    <xf numFmtId="168" fontId="69" fillId="11" borderId="1" xfId="1" applyNumberFormat="1" applyFont="1" applyFill="1" applyBorder="1" applyAlignment="1">
      <alignment horizontal="center" vertical="center"/>
    </xf>
    <xf numFmtId="168" fontId="69" fillId="11" borderId="3" xfId="6" applyNumberFormat="1" applyFont="1" applyFill="1" applyBorder="1" applyAlignment="1" applyProtection="1">
      <alignment horizontal="center" vertical="center" wrapText="1"/>
      <protection locked="0"/>
    </xf>
    <xf numFmtId="168" fontId="69" fillId="11" borderId="1" xfId="0" applyNumberFormat="1" applyFont="1" applyFill="1" applyBorder="1" applyAlignment="1">
      <alignment horizontal="center" vertical="center" wrapText="1"/>
    </xf>
    <xf numFmtId="0" fontId="69" fillId="11" borderId="2" xfId="0" applyFont="1" applyFill="1" applyBorder="1" applyAlignment="1">
      <alignment horizontal="center" vertical="center"/>
    </xf>
    <xf numFmtId="165" fontId="69" fillId="11" borderId="3" xfId="0" applyNumberFormat="1" applyFont="1" applyFill="1" applyBorder="1" applyAlignment="1" applyProtection="1">
      <alignment horizontal="center" vertical="center" wrapText="1"/>
      <protection locked="0"/>
    </xf>
    <xf numFmtId="0" fontId="69" fillId="11" borderId="34" xfId="0" applyFont="1" applyFill="1" applyBorder="1" applyAlignment="1">
      <alignment horizontal="left" vertical="center" wrapText="1"/>
    </xf>
    <xf numFmtId="0" fontId="69" fillId="11" borderId="13" xfId="0" applyFont="1" applyFill="1" applyBorder="1" applyAlignment="1">
      <alignment horizontal="center" vertical="center" wrapText="1"/>
    </xf>
    <xf numFmtId="0" fontId="69" fillId="0" borderId="15" xfId="0" applyFont="1" applyBorder="1" applyAlignment="1">
      <alignment horizontal="left" vertical="top" wrapText="1"/>
    </xf>
    <xf numFmtId="14" fontId="68" fillId="0" borderId="16" xfId="2" applyNumberFormat="1" applyFont="1" applyBorder="1" applyAlignment="1">
      <alignment horizontal="center" vertical="center" wrapText="1"/>
    </xf>
    <xf numFmtId="0" fontId="69" fillId="2" borderId="22" xfId="0" applyFont="1" applyFill="1" applyBorder="1" applyAlignment="1">
      <alignment horizontal="center" vertical="center" wrapText="1"/>
    </xf>
    <xf numFmtId="14" fontId="68" fillId="0" borderId="13" xfId="2" applyNumberFormat="1" applyFont="1" applyBorder="1" applyAlignment="1">
      <alignment horizontal="center" vertical="center" wrapText="1"/>
    </xf>
    <xf numFmtId="14" fontId="68" fillId="0" borderId="16" xfId="6" applyNumberFormat="1" applyFont="1" applyBorder="1" applyAlignment="1">
      <alignment horizontal="center" vertical="center" wrapText="1"/>
    </xf>
    <xf numFmtId="0" fontId="68" fillId="0" borderId="3" xfId="0" applyFont="1" applyBorder="1" applyAlignment="1">
      <alignment horizontal="left" vertical="top" wrapText="1"/>
    </xf>
    <xf numFmtId="14" fontId="68" fillId="0" borderId="27" xfId="6" applyNumberFormat="1" applyFont="1" applyBorder="1" applyAlignment="1" applyProtection="1">
      <alignment horizontal="center" vertical="center" wrapText="1"/>
      <protection locked="0"/>
    </xf>
    <xf numFmtId="168" fontId="69" fillId="0" borderId="35" xfId="6" applyNumberFormat="1" applyFont="1" applyBorder="1" applyAlignment="1" applyProtection="1">
      <alignment horizontal="center" vertical="center" wrapText="1"/>
      <protection locked="0"/>
    </xf>
    <xf numFmtId="0" fontId="69" fillId="0" borderId="11" xfId="0" applyFont="1" applyBorder="1" applyAlignment="1">
      <alignment horizontal="center" vertical="center" wrapText="1"/>
    </xf>
    <xf numFmtId="0" fontId="69" fillId="0" borderId="26" xfId="0" applyFont="1" applyBorder="1" applyAlignment="1">
      <alignment horizontal="center" vertical="center" wrapText="1"/>
    </xf>
    <xf numFmtId="167" fontId="69" fillId="0" borderId="16" xfId="0" applyNumberFormat="1" applyFont="1" applyBorder="1" applyAlignment="1" applyProtection="1">
      <alignment horizontal="center" vertical="center" wrapText="1"/>
      <protection locked="0"/>
    </xf>
    <xf numFmtId="165" fontId="68" fillId="0" borderId="7" xfId="6" applyNumberFormat="1" applyFont="1" applyBorder="1" applyAlignment="1" applyProtection="1">
      <alignment horizontal="center" vertical="center" wrapText="1"/>
      <protection locked="0"/>
    </xf>
    <xf numFmtId="0" fontId="69" fillId="11" borderId="22" xfId="0" applyFont="1" applyFill="1" applyBorder="1" applyAlignment="1" applyProtection="1">
      <alignment horizontal="left" vertical="top" wrapText="1"/>
      <protection locked="0"/>
    </xf>
    <xf numFmtId="0" fontId="69" fillId="2" borderId="22" xfId="0" applyFont="1" applyFill="1" applyBorder="1" applyAlignment="1" applyProtection="1">
      <alignment horizontal="center" vertical="center" wrapText="1"/>
      <protection locked="0"/>
    </xf>
    <xf numFmtId="0" fontId="88" fillId="0" borderId="0" xfId="0" applyFont="1"/>
    <xf numFmtId="14" fontId="68" fillId="0" borderId="8" xfId="6" applyNumberFormat="1" applyFont="1" applyBorder="1" applyAlignment="1" applyProtection="1">
      <alignment horizontal="center" vertical="center" wrapText="1"/>
      <protection locked="0"/>
    </xf>
    <xf numFmtId="14" fontId="68" fillId="0" borderId="7" xfId="6" applyNumberFormat="1" applyFont="1" applyBorder="1" applyAlignment="1" applyProtection="1">
      <alignment horizontal="center" vertical="center" wrapText="1"/>
      <protection locked="0"/>
    </xf>
    <xf numFmtId="14" fontId="68" fillId="0" borderId="0" xfId="6" applyNumberFormat="1" applyFont="1" applyFill="1" applyBorder="1" applyAlignment="1" applyProtection="1">
      <alignment horizontal="left" vertical="center" wrapText="1"/>
      <protection locked="0"/>
    </xf>
    <xf numFmtId="0" fontId="69" fillId="2" borderId="10" xfId="0" applyFont="1" applyFill="1" applyBorder="1" applyAlignment="1" applyProtection="1">
      <alignment horizontal="center" vertical="center" wrapText="1"/>
      <protection locked="0"/>
    </xf>
    <xf numFmtId="167" fontId="70" fillId="0" borderId="3" xfId="0" applyNumberFormat="1" applyFont="1" applyBorder="1" applyAlignment="1" applyProtection="1">
      <alignment horizontal="center" vertical="center" wrapText="1"/>
      <protection locked="0"/>
    </xf>
    <xf numFmtId="167" fontId="71" fillId="0" borderId="8" xfId="0" applyNumberFormat="1" applyFont="1" applyBorder="1" applyAlignment="1" applyProtection="1">
      <alignment horizontal="center" vertical="center" wrapText="1"/>
      <protection locked="0"/>
    </xf>
    <xf numFmtId="17" fontId="69" fillId="0" borderId="13" xfId="0" applyNumberFormat="1" applyFont="1" applyBorder="1" applyAlignment="1" applyProtection="1">
      <alignment horizontal="center" vertical="center"/>
      <protection locked="0"/>
    </xf>
    <xf numFmtId="0" fontId="71" fillId="0" borderId="13" xfId="0" quotePrefix="1" applyFont="1" applyBorder="1" applyAlignment="1" applyProtection="1">
      <alignment horizontal="left" vertical="top" wrapText="1"/>
      <protection locked="0"/>
    </xf>
    <xf numFmtId="0" fontId="68" fillId="0" borderId="29" xfId="0" applyFont="1" applyBorder="1" applyAlignment="1">
      <alignment horizontal="center" vertical="center"/>
    </xf>
    <xf numFmtId="0" fontId="69" fillId="2" borderId="30" xfId="0" applyFont="1" applyFill="1" applyBorder="1" applyAlignment="1" applyProtection="1">
      <alignment horizontal="left" vertical="center" wrapText="1"/>
      <protection locked="0"/>
    </xf>
    <xf numFmtId="0" fontId="71" fillId="0" borderId="7" xfId="0" applyFont="1" applyBorder="1" applyAlignment="1">
      <alignment horizontal="center" wrapText="1"/>
    </xf>
    <xf numFmtId="0" fontId="68" fillId="0" borderId="6" xfId="0" applyFont="1" applyBorder="1" applyAlignment="1">
      <alignment horizontal="left" vertical="center" wrapText="1"/>
    </xf>
    <xf numFmtId="0" fontId="71" fillId="0" borderId="16" xfId="0" applyFont="1" applyBorder="1" applyAlignment="1">
      <alignment horizontal="center" wrapText="1"/>
    </xf>
    <xf numFmtId="1" fontId="69" fillId="0" borderId="9" xfId="0" applyNumberFormat="1" applyFont="1" applyBorder="1" applyAlignment="1">
      <alignment horizontal="center" vertical="center" wrapText="1"/>
    </xf>
    <xf numFmtId="14" fontId="69" fillId="0" borderId="18" xfId="0" applyNumberFormat="1" applyFont="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protection locked="0"/>
    </xf>
    <xf numFmtId="167" fontId="69" fillId="0" borderId="7" xfId="0" applyNumberFormat="1" applyFont="1" applyBorder="1" applyAlignment="1" applyProtection="1">
      <alignment horizontal="center" vertical="center" wrapText="1"/>
      <protection locked="0"/>
    </xf>
    <xf numFmtId="0" fontId="69" fillId="2" borderId="41" xfId="0" applyFont="1" applyFill="1" applyBorder="1" applyAlignment="1" applyProtection="1">
      <alignment horizontal="left" vertical="center" wrapText="1"/>
      <protection locked="0"/>
    </xf>
    <xf numFmtId="0" fontId="69" fillId="0" borderId="41" xfId="0" applyFont="1" applyBorder="1" applyAlignment="1" applyProtection="1">
      <alignment horizontal="center" vertical="center" wrapText="1"/>
      <protection locked="0"/>
    </xf>
    <xf numFmtId="14" fontId="68" fillId="0" borderId="13" xfId="6" applyNumberFormat="1" applyFont="1" applyBorder="1" applyAlignment="1" applyProtection="1">
      <alignment horizontal="center" vertical="center" wrapText="1"/>
      <protection locked="0"/>
    </xf>
    <xf numFmtId="0" fontId="71" fillId="0" borderId="13" xfId="0" applyFont="1" applyBorder="1" applyAlignment="1">
      <alignment horizontal="center" vertical="center" wrapText="1"/>
    </xf>
    <xf numFmtId="0" fontId="71" fillId="0" borderId="1" xfId="0" applyFont="1" applyBorder="1" applyAlignment="1">
      <alignment vertical="center" wrapText="1"/>
    </xf>
    <xf numFmtId="6" fontId="71" fillId="0" borderId="3" xfId="0" applyNumberFormat="1" applyFont="1" applyBorder="1" applyAlignment="1">
      <alignment horizontal="center" vertical="center" wrapText="1"/>
    </xf>
    <xf numFmtId="0" fontId="71" fillId="0" borderId="2" xfId="0" applyFont="1" applyBorder="1" applyAlignment="1">
      <alignment horizontal="center" vertical="center" wrapText="1"/>
    </xf>
    <xf numFmtId="0" fontId="71" fillId="0" borderId="34" xfId="0" applyFont="1" applyBorder="1" applyAlignment="1">
      <alignment horizontal="left" vertical="center" wrapText="1"/>
    </xf>
    <xf numFmtId="0" fontId="71" fillId="0" borderId="13" xfId="0" applyFont="1" applyBorder="1" applyAlignment="1">
      <alignment vertical="center" wrapText="1"/>
    </xf>
    <xf numFmtId="0" fontId="71" fillId="0" borderId="5" xfId="0" applyFont="1" applyBorder="1" applyAlignment="1">
      <alignment horizontal="center" vertical="center" wrapText="1"/>
    </xf>
    <xf numFmtId="0" fontId="71" fillId="0" borderId="5" xfId="0" applyFont="1" applyBorder="1" applyAlignment="1">
      <alignment horizontal="center" vertical="center"/>
    </xf>
    <xf numFmtId="0" fontId="69" fillId="0" borderId="6" xfId="0" applyFont="1" applyBorder="1" applyAlignment="1">
      <alignment horizontal="center" vertical="center"/>
    </xf>
    <xf numFmtId="0" fontId="69" fillId="0" borderId="12" xfId="0" applyFont="1" applyBorder="1" applyAlignment="1" applyProtection="1">
      <alignment horizontal="center" vertical="center"/>
      <protection locked="0"/>
    </xf>
    <xf numFmtId="0" fontId="69" fillId="0" borderId="12"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14" fontId="69" fillId="0" borderId="17" xfId="0" applyNumberFormat="1" applyFont="1" applyBorder="1" applyAlignment="1" applyProtection="1">
      <alignment horizontal="center" vertical="center" wrapText="1"/>
      <protection locked="0"/>
    </xf>
    <xf numFmtId="14" fontId="69" fillId="0" borderId="14" xfId="0" applyNumberFormat="1" applyFont="1" applyBorder="1" applyAlignment="1" applyProtection="1">
      <alignment horizontal="center" vertical="center" wrapText="1"/>
      <protection locked="0"/>
    </xf>
    <xf numFmtId="168" fontId="69" fillId="0" borderId="14" xfId="6" applyNumberFormat="1" applyFont="1" applyFill="1" applyBorder="1" applyAlignment="1" applyProtection="1">
      <alignment horizontal="center" vertical="center" wrapText="1"/>
      <protection locked="0"/>
    </xf>
    <xf numFmtId="167" fontId="69" fillId="0" borderId="14" xfId="0" applyNumberFormat="1" applyFont="1" applyBorder="1" applyAlignment="1">
      <alignment horizontal="center" vertical="center"/>
    </xf>
    <xf numFmtId="167" fontId="69" fillId="2" borderId="1" xfId="0" applyNumberFormat="1" applyFont="1" applyFill="1" applyBorder="1" applyAlignment="1">
      <alignment horizontal="center" vertical="center"/>
    </xf>
    <xf numFmtId="0" fontId="69" fillId="6" borderId="0" xfId="0" applyFont="1" applyFill="1" applyAlignment="1" applyProtection="1">
      <alignment horizontal="center" vertical="center"/>
      <protection locked="0"/>
    </xf>
    <xf numFmtId="0" fontId="38" fillId="26" borderId="1" xfId="0" applyFont="1" applyFill="1" applyBorder="1" applyAlignment="1" applyProtection="1">
      <alignment horizontal="center" vertical="center" wrapText="1"/>
      <protection locked="0"/>
    </xf>
    <xf numFmtId="0" fontId="69" fillId="0" borderId="3" xfId="0" applyFont="1" applyBorder="1" applyAlignment="1">
      <alignment horizontal="center" wrapText="1"/>
    </xf>
    <xf numFmtId="6" fontId="71" fillId="0" borderId="3" xfId="0" applyNumberFormat="1" applyFont="1" applyBorder="1" applyAlignment="1">
      <alignment horizontal="center"/>
    </xf>
    <xf numFmtId="0" fontId="71" fillId="0" borderId="22" xfId="0" applyFont="1" applyBorder="1" applyAlignment="1">
      <alignment horizontal="center" vertical="center"/>
    </xf>
    <xf numFmtId="0" fontId="69" fillId="2" borderId="1" xfId="0" applyFont="1" applyFill="1" applyBorder="1" applyAlignment="1">
      <alignment horizontal="center" vertical="center"/>
    </xf>
    <xf numFmtId="0" fontId="69" fillId="0" borderId="14" xfId="0" applyFont="1" applyBorder="1" applyAlignment="1">
      <alignment horizontal="center" vertical="center"/>
    </xf>
    <xf numFmtId="0" fontId="71" fillId="30" borderId="13" xfId="0" applyFont="1" applyFill="1" applyBorder="1" applyAlignment="1">
      <alignment wrapText="1"/>
    </xf>
    <xf numFmtId="165" fontId="69" fillId="0" borderId="0" xfId="0" applyNumberFormat="1" applyFont="1" applyAlignment="1">
      <alignment horizontal="center" vertical="center" wrapText="1"/>
    </xf>
    <xf numFmtId="165" fontId="68" fillId="0" borderId="13" xfId="0" applyNumberFormat="1" applyFont="1" applyBorder="1" applyAlignment="1">
      <alignment horizontal="center" vertical="center" wrapText="1"/>
    </xf>
    <xf numFmtId="165" fontId="69" fillId="2" borderId="13" xfId="0" applyNumberFormat="1" applyFont="1" applyFill="1" applyBorder="1" applyAlignment="1" applyProtection="1">
      <alignment horizontal="center" vertical="center"/>
      <protection locked="0"/>
    </xf>
    <xf numFmtId="165" fontId="69" fillId="0" borderId="15" xfId="2" applyNumberFormat="1" applyFont="1" applyBorder="1" applyAlignment="1">
      <alignment horizontal="center" vertical="center" wrapText="1"/>
    </xf>
    <xf numFmtId="0" fontId="69" fillId="0" borderId="21" xfId="0" applyFont="1" applyBorder="1" applyAlignment="1" applyProtection="1">
      <alignment horizontal="center" vertical="center"/>
      <protection locked="0"/>
    </xf>
    <xf numFmtId="49" fontId="69" fillId="2" borderId="16" xfId="0" applyNumberFormat="1" applyFont="1" applyFill="1" applyBorder="1" applyAlignment="1" applyProtection="1">
      <alignment horizontal="center" vertical="center" wrapText="1"/>
      <protection locked="0"/>
    </xf>
    <xf numFmtId="0" fontId="69" fillId="6" borderId="13" xfId="0" applyFont="1" applyFill="1" applyBorder="1" applyAlignment="1" applyProtection="1">
      <alignment horizontal="center" vertical="center"/>
      <protection locked="0"/>
    </xf>
    <xf numFmtId="0" fontId="69" fillId="0" borderId="21" xfId="2" applyFont="1" applyBorder="1" applyAlignment="1">
      <alignment horizontal="left" vertical="top" wrapText="1"/>
    </xf>
    <xf numFmtId="0" fontId="71" fillId="0" borderId="13" xfId="0" applyFont="1" applyBorder="1" applyAlignment="1" applyProtection="1">
      <alignment horizontal="left" vertical="top" wrapText="1"/>
      <protection locked="0"/>
    </xf>
    <xf numFmtId="14" fontId="68" fillId="0" borderId="13" xfId="0" applyNumberFormat="1" applyFont="1" applyBorder="1" applyAlignment="1">
      <alignment horizontal="center" vertical="center"/>
    </xf>
    <xf numFmtId="14" fontId="68" fillId="0" borderId="19" xfId="6" applyNumberFormat="1" applyFont="1" applyBorder="1" applyAlignment="1" applyProtection="1">
      <alignment horizontal="center" vertical="center" wrapText="1"/>
      <protection locked="0"/>
    </xf>
    <xf numFmtId="0" fontId="69" fillId="0" borderId="12" xfId="0" applyFont="1" applyBorder="1" applyAlignment="1" applyProtection="1">
      <alignment horizontal="left" vertical="top" wrapText="1"/>
      <protection locked="0"/>
    </xf>
    <xf numFmtId="165" fontId="17" fillId="0" borderId="1" xfId="0" applyNumberFormat="1" applyFont="1" applyBorder="1" applyAlignment="1">
      <alignment horizontal="left" vertical="center" wrapText="1"/>
    </xf>
    <xf numFmtId="0" fontId="17" fillId="0" borderId="1" xfId="0" applyFont="1" applyBorder="1" applyAlignment="1">
      <alignment horizontal="left" vertical="center" wrapText="1"/>
    </xf>
    <xf numFmtId="14"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8" fontId="17" fillId="0" borderId="1" xfId="0" applyNumberFormat="1" applyFont="1" applyBorder="1" applyAlignment="1">
      <alignment horizontal="right" vertical="center" wrapText="1"/>
    </xf>
    <xf numFmtId="168" fontId="17" fillId="0" borderId="1" xfId="0" applyNumberFormat="1" applyFont="1" applyBorder="1" applyAlignment="1">
      <alignment vertical="center" wrapText="1"/>
    </xf>
    <xf numFmtId="0" fontId="17" fillId="0" borderId="0" xfId="0" applyFont="1" applyAlignment="1">
      <alignment horizontal="center" vertical="center" wrapText="1"/>
    </xf>
    <xf numFmtId="14" fontId="10" fillId="0" borderId="1" xfId="0" applyNumberFormat="1" applyFont="1" applyBorder="1" applyAlignment="1">
      <alignment horizontal="center" vertical="center" wrapText="1"/>
    </xf>
    <xf numFmtId="0" fontId="10" fillId="0" borderId="1" xfId="0" applyFont="1" applyBorder="1" applyAlignment="1">
      <alignment vertical="center" wrapText="1"/>
    </xf>
    <xf numFmtId="165" fontId="17" fillId="28" borderId="1" xfId="0" applyNumberFormat="1" applyFont="1" applyFill="1" applyBorder="1" applyAlignment="1">
      <alignment horizontal="left" vertical="center" wrapText="1"/>
    </xf>
    <xf numFmtId="0" fontId="17" fillId="28" borderId="1" xfId="0" applyFont="1" applyFill="1" applyBorder="1" applyAlignment="1">
      <alignment horizontal="left" vertical="center" wrapText="1"/>
    </xf>
    <xf numFmtId="14" fontId="17" fillId="28" borderId="1" xfId="0" applyNumberFormat="1" applyFont="1" applyFill="1" applyBorder="1" applyAlignment="1">
      <alignment horizontal="center" vertical="center" wrapText="1"/>
    </xf>
    <xf numFmtId="0" fontId="17" fillId="28" borderId="1" xfId="0" applyFont="1" applyFill="1" applyBorder="1" applyAlignment="1">
      <alignment horizontal="center" vertical="center" wrapText="1"/>
    </xf>
    <xf numFmtId="168" fontId="17" fillId="28" borderId="1" xfId="0" applyNumberFormat="1" applyFont="1" applyFill="1" applyBorder="1" applyAlignment="1">
      <alignment horizontal="right" vertical="center" wrapText="1"/>
    </xf>
    <xf numFmtId="168" fontId="17" fillId="28" borderId="1" xfId="0" applyNumberFormat="1" applyFont="1" applyFill="1" applyBorder="1" applyAlignment="1">
      <alignment vertical="center" wrapText="1"/>
    </xf>
    <xf numFmtId="14" fontId="28" fillId="0" borderId="1" xfId="0" applyNumberFormat="1" applyFont="1" applyBorder="1" applyAlignment="1">
      <alignment wrapText="1"/>
    </xf>
    <xf numFmtId="0" fontId="28" fillId="0" borderId="1" xfId="0" applyFont="1" applyBorder="1" applyAlignment="1">
      <alignment wrapText="1"/>
    </xf>
    <xf numFmtId="172" fontId="28" fillId="20" borderId="1" xfId="0" applyNumberFormat="1" applyFont="1" applyFill="1" applyBorder="1" applyAlignment="1">
      <alignment wrapText="1"/>
    </xf>
    <xf numFmtId="0" fontId="2" fillId="9" borderId="0" xfId="0" applyFont="1" applyFill="1" applyAlignment="1">
      <alignment vertical="center" wrapText="1"/>
    </xf>
    <xf numFmtId="0" fontId="18" fillId="0" borderId="1" xfId="0" applyFont="1" applyBorder="1" applyAlignment="1">
      <alignment wrapText="1"/>
    </xf>
    <xf numFmtId="1" fontId="17" fillId="0" borderId="1" xfId="0" applyNumberFormat="1" applyFont="1" applyBorder="1" applyAlignment="1">
      <alignment horizontal="center" vertical="center" wrapText="1"/>
    </xf>
    <xf numFmtId="14" fontId="28" fillId="0" borderId="1" xfId="0" applyNumberFormat="1" applyFont="1" applyBorder="1" applyAlignment="1">
      <alignment horizontal="right" wrapText="1"/>
    </xf>
    <xf numFmtId="172" fontId="28" fillId="0" borderId="1" xfId="0" applyNumberFormat="1" applyFont="1" applyBorder="1" applyAlignment="1">
      <alignment wrapText="1"/>
    </xf>
    <xf numFmtId="14" fontId="18" fillId="0" borderId="1" xfId="0" applyNumberFormat="1" applyFont="1" applyBorder="1" applyAlignment="1">
      <alignment horizontal="right" wrapText="1"/>
    </xf>
    <xf numFmtId="172" fontId="18" fillId="0" borderId="1" xfId="0" applyNumberFormat="1" applyFont="1" applyBorder="1" applyAlignment="1">
      <alignment wrapText="1"/>
    </xf>
    <xf numFmtId="0" fontId="28" fillId="0" borderId="1" xfId="0" applyFont="1" applyBorder="1" applyAlignment="1">
      <alignment vertical="center" wrapText="1"/>
    </xf>
    <xf numFmtId="0" fontId="28" fillId="0" borderId="1" xfId="0" applyFont="1" applyBorder="1" applyAlignment="1">
      <alignment horizontal="left" vertical="center" wrapText="1"/>
    </xf>
    <xf numFmtId="0" fontId="19" fillId="0" borderId="1" xfId="0" applyFont="1" applyBorder="1" applyAlignment="1">
      <alignment vertical="center" wrapText="1"/>
    </xf>
    <xf numFmtId="0" fontId="69" fillId="0" borderId="32" xfId="0" applyFont="1" applyBorder="1" applyAlignment="1" applyProtection="1">
      <alignment horizontal="center" vertical="center"/>
      <protection locked="0"/>
    </xf>
    <xf numFmtId="16" fontId="7" fillId="0" borderId="0" xfId="0" applyNumberFormat="1" applyFont="1" applyAlignment="1" applyProtection="1">
      <alignment horizontal="center" vertical="center"/>
      <protection locked="0"/>
    </xf>
    <xf numFmtId="0" fontId="7" fillId="15" borderId="6" xfId="0" applyFont="1" applyFill="1" applyBorder="1" applyAlignment="1" applyProtection="1">
      <alignment horizontal="center" vertical="center" wrapText="1"/>
      <protection locked="0"/>
    </xf>
    <xf numFmtId="165" fontId="7" fillId="0" borderId="0" xfId="0" applyNumberFormat="1" applyFont="1" applyAlignment="1">
      <alignment horizontal="center" vertical="center" wrapText="1"/>
    </xf>
    <xf numFmtId="0" fontId="7" fillId="15" borderId="0" xfId="0" applyFont="1" applyFill="1" applyAlignment="1" applyProtection="1">
      <alignment horizontal="center" vertical="center" wrapText="1"/>
      <protection locked="0"/>
    </xf>
    <xf numFmtId="165" fontId="7" fillId="0" borderId="0" xfId="0" applyNumberFormat="1" applyFont="1" applyAlignment="1" applyProtection="1">
      <alignment horizontal="center" vertical="center" wrapText="1"/>
      <protection locked="0"/>
    </xf>
    <xf numFmtId="0" fontId="7" fillId="6" borderId="0" xfId="0" applyFont="1" applyFill="1" applyAlignment="1" applyProtection="1">
      <alignment horizontal="center" vertical="center"/>
      <protection locked="0"/>
    </xf>
    <xf numFmtId="0" fontId="7" fillId="0" borderId="16" xfId="0" applyFont="1" applyBorder="1" applyAlignment="1" applyProtection="1">
      <alignment horizontal="center" vertical="center"/>
      <protection locked="0"/>
    </xf>
    <xf numFmtId="14" fontId="7" fillId="0" borderId="16" xfId="0" applyNumberFormat="1" applyFont="1" applyBorder="1" applyAlignment="1" applyProtection="1">
      <alignment horizontal="center" vertical="center"/>
      <protection locked="0"/>
    </xf>
    <xf numFmtId="168" fontId="69" fillId="0" borderId="6" xfId="0" applyNumberFormat="1" applyFont="1" applyBorder="1" applyAlignment="1">
      <alignment horizontal="center" vertical="center" wrapText="1"/>
    </xf>
    <xf numFmtId="0" fontId="45" fillId="31" borderId="1" xfId="0" applyFont="1" applyFill="1" applyBorder="1" applyAlignment="1">
      <alignment vertical="center" wrapText="1"/>
    </xf>
    <xf numFmtId="14" fontId="69" fillId="2" borderId="0" xfId="2" applyNumberFormat="1" applyFont="1" applyFill="1" applyAlignment="1">
      <alignment horizontal="center" vertical="center" wrapText="1"/>
    </xf>
    <xf numFmtId="0" fontId="89" fillId="32" borderId="8" xfId="0" applyFont="1" applyFill="1" applyBorder="1" applyAlignment="1">
      <alignment wrapText="1"/>
    </xf>
    <xf numFmtId="0" fontId="7" fillId="6" borderId="8" xfId="0" applyFont="1" applyFill="1" applyBorder="1" applyAlignment="1" applyProtection="1">
      <alignment horizontal="center" vertical="center"/>
      <protection locked="0"/>
    </xf>
    <xf numFmtId="14" fontId="69" fillId="14" borderId="0" xfId="0" applyNumberFormat="1" applyFont="1" applyFill="1" applyAlignment="1" applyProtection="1">
      <alignment horizontal="center" vertical="center" wrapText="1"/>
      <protection locked="0"/>
    </xf>
    <xf numFmtId="165" fontId="9" fillId="0" borderId="0" xfId="2" applyNumberFormat="1" applyAlignment="1">
      <alignment horizontal="center" vertical="center" wrapText="1"/>
    </xf>
    <xf numFmtId="0" fontId="69" fillId="0" borderId="24" xfId="0" applyFont="1" applyBorder="1" applyAlignment="1">
      <alignment vertical="top"/>
    </xf>
    <xf numFmtId="165" fontId="7" fillId="6" borderId="24" xfId="0" applyNumberFormat="1" applyFont="1" applyFill="1" applyBorder="1" applyAlignment="1">
      <alignment horizontal="center" vertical="center" wrapText="1"/>
    </xf>
    <xf numFmtId="14" fontId="9" fillId="0" borderId="24" xfId="0" applyNumberFormat="1" applyFont="1" applyBorder="1" applyAlignment="1" applyProtection="1">
      <alignment horizontal="center" vertical="center" wrapText="1"/>
      <protection locked="0"/>
    </xf>
    <xf numFmtId="0" fontId="36" fillId="0" borderId="24" xfId="0" applyFont="1" applyBorder="1" applyAlignment="1">
      <alignment horizontal="center" vertical="center"/>
    </xf>
    <xf numFmtId="0" fontId="69" fillId="7" borderId="13" xfId="0" applyFont="1" applyFill="1" applyBorder="1" applyAlignment="1" applyProtection="1">
      <alignment horizontal="left" vertical="center" wrapText="1"/>
      <protection locked="0"/>
    </xf>
    <xf numFmtId="168" fontId="6" fillId="3" borderId="3" xfId="0" applyNumberFormat="1" applyFont="1" applyFill="1" applyBorder="1" applyAlignment="1" applyProtection="1">
      <alignment horizontal="center" vertical="center" wrapText="1"/>
      <protection locked="0"/>
    </xf>
    <xf numFmtId="164" fontId="7" fillId="0" borderId="3" xfId="0" applyNumberFormat="1" applyFont="1" applyBorder="1" applyAlignment="1" applyProtection="1">
      <alignment horizontal="center" vertical="center"/>
      <protection locked="0"/>
    </xf>
    <xf numFmtId="168" fontId="7" fillId="0" borderId="3" xfId="6" applyNumberFormat="1" applyFont="1" applyBorder="1" applyAlignment="1" applyProtection="1">
      <alignment horizontal="center" vertical="center" wrapText="1"/>
      <protection locked="0"/>
    </xf>
    <xf numFmtId="49" fontId="69" fillId="0" borderId="0" xfId="0" applyNumberFormat="1" applyFont="1" applyAlignment="1" applyProtection="1">
      <alignment horizontal="center" vertical="center" wrapText="1"/>
      <protection locked="0"/>
    </xf>
    <xf numFmtId="168" fontId="69" fillId="0" borderId="23" xfId="6" applyNumberFormat="1" applyFont="1" applyBorder="1" applyAlignment="1" applyProtection="1">
      <alignment horizontal="center" vertical="center" wrapText="1"/>
      <protection locked="0"/>
    </xf>
    <xf numFmtId="164" fontId="57" fillId="14" borderId="0" xfId="6" applyNumberFormat="1" applyFont="1" applyFill="1" applyBorder="1" applyAlignment="1" applyProtection="1">
      <alignment horizontal="center" vertical="center" wrapText="1"/>
      <protection locked="0"/>
    </xf>
    <xf numFmtId="168" fontId="69" fillId="0" borderId="26" xfId="6" applyNumberFormat="1" applyFont="1" applyFill="1" applyBorder="1" applyAlignment="1" applyProtection="1">
      <alignment horizontal="center" vertical="center" wrapText="1"/>
      <protection locked="0"/>
    </xf>
    <xf numFmtId="14" fontId="71" fillId="0" borderId="1" xfId="0" applyNumberFormat="1" applyFont="1" applyBorder="1" applyAlignment="1">
      <alignment vertical="center"/>
    </xf>
    <xf numFmtId="0" fontId="69" fillId="0" borderId="5" xfId="2" applyFont="1" applyBorder="1" applyAlignment="1">
      <alignment horizontal="left" vertical="center" wrapText="1"/>
    </xf>
    <xf numFmtId="0" fontId="71" fillId="0" borderId="1" xfId="0" applyFont="1" applyBorder="1" applyAlignment="1">
      <alignment vertical="center"/>
    </xf>
    <xf numFmtId="14" fontId="69" fillId="0" borderId="2" xfId="0" applyNumberFormat="1" applyFont="1" applyBorder="1" applyAlignment="1">
      <alignment horizontal="center" vertical="center"/>
    </xf>
    <xf numFmtId="6" fontId="69" fillId="0" borderId="13" xfId="0" applyNumberFormat="1" applyFont="1" applyBorder="1" applyAlignment="1">
      <alignment horizontal="center" vertical="center"/>
    </xf>
    <xf numFmtId="0" fontId="71" fillId="0" borderId="0" xfId="0" applyFont="1" applyAlignment="1">
      <alignment horizontal="left" vertical="top" wrapText="1"/>
    </xf>
    <xf numFmtId="0" fontId="71" fillId="0" borderId="2" xfId="0" applyFont="1" applyBorder="1" applyAlignment="1">
      <alignment horizontal="left" vertical="center" wrapText="1"/>
    </xf>
    <xf numFmtId="0" fontId="71" fillId="0" borderId="13" xfId="0" applyFont="1" applyBorder="1" applyAlignment="1">
      <alignment vertical="center"/>
    </xf>
    <xf numFmtId="0" fontId="71" fillId="0" borderId="22" xfId="0" applyFont="1" applyBorder="1" applyAlignment="1">
      <alignment horizontal="center" vertical="center" wrapText="1"/>
    </xf>
    <xf numFmtId="0" fontId="17" fillId="0" borderId="5" xfId="0" applyFont="1" applyBorder="1" applyAlignment="1">
      <alignment horizontal="left" vertical="center" wrapText="1"/>
    </xf>
    <xf numFmtId="0" fontId="71" fillId="30" borderId="1" xfId="0" applyFont="1" applyFill="1" applyBorder="1" applyAlignment="1">
      <alignment vertical="center" wrapText="1"/>
    </xf>
    <xf numFmtId="0" fontId="71" fillId="0" borderId="5" xfId="0" applyFont="1" applyBorder="1" applyAlignment="1" applyProtection="1">
      <alignment horizontal="center" vertical="center" wrapText="1"/>
      <protection locked="0"/>
    </xf>
    <xf numFmtId="0" fontId="69" fillId="0" borderId="1" xfId="0" applyFont="1" applyBorder="1" applyAlignment="1">
      <alignment horizontal="center" wrapText="1"/>
    </xf>
    <xf numFmtId="1" fontId="69" fillId="0" borderId="8" xfId="2" applyNumberFormat="1" applyFont="1" applyBorder="1" applyAlignment="1">
      <alignment horizontal="center" vertical="center" wrapText="1"/>
    </xf>
    <xf numFmtId="6" fontId="69" fillId="0" borderId="3" xfId="0" applyNumberFormat="1" applyFont="1" applyBorder="1" applyAlignment="1">
      <alignment horizontal="center" vertical="center" wrapText="1"/>
    </xf>
    <xf numFmtId="168" fontId="69" fillId="0" borderId="26" xfId="6" applyNumberFormat="1" applyFont="1" applyBorder="1" applyAlignment="1" applyProtection="1">
      <alignment horizontal="center" vertical="center" wrapText="1"/>
      <protection locked="0"/>
    </xf>
    <xf numFmtId="0" fontId="71" fillId="0" borderId="2" xfId="0" applyFont="1" applyBorder="1" applyAlignment="1">
      <alignment horizontal="center" vertical="center"/>
    </xf>
    <xf numFmtId="0" fontId="19" fillId="0" borderId="13" xfId="0" applyFont="1" applyBorder="1" applyAlignment="1">
      <alignment vertical="center" wrapText="1"/>
    </xf>
    <xf numFmtId="14" fontId="69" fillId="0" borderId="24" xfId="2" applyNumberFormat="1" applyFont="1" applyBorder="1" applyAlignment="1">
      <alignment horizontal="center" vertical="center" wrapText="1"/>
    </xf>
    <xf numFmtId="0" fontId="57" fillId="0" borderId="1" xfId="2" applyFont="1" applyBorder="1" applyAlignment="1">
      <alignment vertical="center" wrapText="1"/>
    </xf>
    <xf numFmtId="0" fontId="57" fillId="0" borderId="7" xfId="2" applyFont="1" applyBorder="1" applyAlignment="1">
      <alignment vertical="center" wrapText="1"/>
    </xf>
    <xf numFmtId="0" fontId="57" fillId="0" borderId="13" xfId="2" applyFont="1" applyBorder="1" applyAlignment="1">
      <alignment vertical="center" wrapText="1"/>
    </xf>
    <xf numFmtId="0" fontId="69" fillId="0" borderId="18" xfId="2" applyFont="1" applyBorder="1" applyAlignment="1">
      <alignment horizontal="left" vertical="center" wrapText="1"/>
    </xf>
    <xf numFmtId="0" fontId="20" fillId="33" borderId="8" xfId="0" applyFont="1" applyFill="1" applyBorder="1" applyAlignment="1">
      <alignment wrapText="1"/>
    </xf>
    <xf numFmtId="0" fontId="26" fillId="0" borderId="1" xfId="0" applyFont="1" applyBorder="1" applyAlignment="1">
      <alignment vertical="center" wrapText="1"/>
    </xf>
    <xf numFmtId="0" fontId="28" fillId="28" borderId="1" xfId="0" applyFont="1" applyFill="1" applyBorder="1" applyAlignment="1">
      <alignment vertical="center" wrapText="1"/>
    </xf>
    <xf numFmtId="0" fontId="45" fillId="31" borderId="1" xfId="0" applyFont="1" applyFill="1" applyBorder="1" applyAlignment="1">
      <alignment wrapText="1"/>
    </xf>
    <xf numFmtId="0" fontId="80" fillId="29" borderId="3" xfId="0" applyFont="1" applyFill="1" applyBorder="1" applyAlignment="1">
      <alignment horizontal="center" vertical="center" wrapText="1"/>
    </xf>
    <xf numFmtId="0" fontId="80" fillId="29" borderId="3" xfId="0" applyFont="1" applyFill="1" applyBorder="1" applyAlignment="1" applyProtection="1">
      <alignment horizontal="center" vertical="center" wrapText="1"/>
      <protection locked="0"/>
    </xf>
    <xf numFmtId="0" fontId="94" fillId="0" borderId="0" xfId="0" applyFont="1"/>
    <xf numFmtId="165" fontId="72" fillId="0" borderId="1" xfId="0" applyNumberFormat="1" applyFont="1" applyBorder="1" applyAlignment="1">
      <alignment horizontal="left" vertical="center" wrapText="1"/>
    </xf>
    <xf numFmtId="0" fontId="72" fillId="0" borderId="1" xfId="0" applyFont="1" applyBorder="1" applyAlignment="1">
      <alignment horizontal="left" vertical="center" wrapText="1"/>
    </xf>
    <xf numFmtId="0" fontId="72" fillId="0" borderId="3" xfId="0" applyFont="1" applyBorder="1" applyAlignment="1">
      <alignment horizontal="left" vertical="center" wrapText="1"/>
    </xf>
    <xf numFmtId="0" fontId="62" fillId="0" borderId="1" xfId="0" applyFont="1" applyBorder="1" applyAlignment="1">
      <alignment horizontal="left" vertical="center" wrapText="1"/>
    </xf>
    <xf numFmtId="0" fontId="72" fillId="0" borderId="13" xfId="0" applyFont="1" applyBorder="1" applyAlignment="1">
      <alignment horizontal="center" vertical="center" wrapText="1"/>
    </xf>
    <xf numFmtId="168" fontId="72" fillId="0" borderId="13" xfId="0" applyNumberFormat="1" applyFont="1" applyBorder="1" applyAlignment="1">
      <alignment horizontal="center" vertical="center" wrapText="1"/>
    </xf>
    <xf numFmtId="0" fontId="72" fillId="0" borderId="3" xfId="0" applyFont="1" applyBorder="1" applyAlignment="1">
      <alignment horizontal="center" vertical="center" wrapText="1"/>
    </xf>
    <xf numFmtId="0" fontId="72" fillId="0" borderId="1" xfId="0" applyFont="1" applyBorder="1" applyAlignment="1">
      <alignment horizontal="center" vertical="center" wrapText="1"/>
    </xf>
    <xf numFmtId="14" fontId="72" fillId="0" borderId="1" xfId="0" applyNumberFormat="1" applyFont="1" applyBorder="1" applyAlignment="1">
      <alignment horizontal="center" vertical="center" wrapText="1"/>
    </xf>
    <xf numFmtId="0" fontId="63" fillId="0" borderId="13" xfId="0" applyFont="1" applyBorder="1" applyAlignment="1">
      <alignment vertical="center" wrapText="1"/>
    </xf>
    <xf numFmtId="0" fontId="72" fillId="0" borderId="0" xfId="0" applyFont="1" applyAlignment="1">
      <alignment horizontal="center" vertical="center" wrapText="1"/>
    </xf>
    <xf numFmtId="0" fontId="62" fillId="0" borderId="3" xfId="0" applyFont="1" applyBorder="1" applyAlignment="1">
      <alignment horizontal="left" vertical="center" wrapText="1"/>
    </xf>
    <xf numFmtId="0" fontId="62" fillId="0" borderId="2"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2" xfId="0" applyFont="1" applyBorder="1" applyAlignment="1">
      <alignment vertical="center" wrapText="1"/>
    </xf>
    <xf numFmtId="0" fontId="62" fillId="0" borderId="13" xfId="0" applyFont="1" applyBorder="1" applyAlignment="1">
      <alignment vertical="center" wrapText="1"/>
    </xf>
    <xf numFmtId="14" fontId="62" fillId="0" borderId="1" xfId="0" applyNumberFormat="1" applyFont="1" applyBorder="1" applyAlignment="1">
      <alignment horizontal="center" vertical="center" wrapText="1"/>
    </xf>
    <xf numFmtId="0" fontId="62" fillId="0" borderId="3" xfId="0" applyFont="1" applyBorder="1" applyAlignment="1">
      <alignment horizontal="center" vertical="center" wrapText="1"/>
    </xf>
    <xf numFmtId="0" fontId="72" fillId="0" borderId="2" xfId="0" applyFont="1" applyBorder="1" applyAlignment="1">
      <alignment horizontal="center" vertical="center" wrapText="1"/>
    </xf>
    <xf numFmtId="0" fontId="72" fillId="0" borderId="2" xfId="0" applyFont="1" applyBorder="1" applyAlignment="1">
      <alignment vertical="center" wrapText="1"/>
    </xf>
    <xf numFmtId="0" fontId="72" fillId="0" borderId="13" xfId="0" applyFont="1" applyBorder="1" applyAlignment="1">
      <alignment vertical="center" wrapText="1"/>
    </xf>
    <xf numFmtId="0" fontId="72" fillId="0" borderId="13" xfId="0" applyFont="1" applyBorder="1" applyAlignment="1">
      <alignment horizontal="left" vertical="center" wrapText="1"/>
    </xf>
    <xf numFmtId="0" fontId="72" fillId="0" borderId="1" xfId="0" applyFont="1" applyBorder="1" applyAlignment="1">
      <alignment vertical="center" wrapText="1"/>
    </xf>
    <xf numFmtId="165" fontId="72" fillId="0" borderId="1" xfId="0" applyNumberFormat="1" applyFont="1" applyBorder="1" applyAlignment="1">
      <alignment horizontal="center" vertical="center" wrapText="1"/>
    </xf>
    <xf numFmtId="0" fontId="59" fillId="0" borderId="0" xfId="0" applyFont="1" applyAlignment="1" applyProtection="1">
      <alignment vertical="center"/>
      <protection locked="0"/>
    </xf>
    <xf numFmtId="14" fontId="63" fillId="0" borderId="1" xfId="0" applyNumberFormat="1" applyFont="1" applyBorder="1" applyAlignment="1">
      <alignment horizontal="center" vertical="center" wrapText="1"/>
    </xf>
    <xf numFmtId="168" fontId="72" fillId="0" borderId="1" xfId="0" applyNumberFormat="1" applyFont="1" applyBorder="1" applyAlignment="1">
      <alignment horizontal="center" vertical="center" wrapText="1"/>
    </xf>
    <xf numFmtId="0" fontId="62" fillId="0" borderId="1" xfId="0" applyFont="1" applyBorder="1" applyAlignment="1">
      <alignment vertical="center" wrapText="1"/>
    </xf>
    <xf numFmtId="0" fontId="68" fillId="0" borderId="2" xfId="0" applyFont="1" applyBorder="1" applyAlignment="1">
      <alignment vertical="center" wrapText="1"/>
    </xf>
    <xf numFmtId="0" fontId="68" fillId="0" borderId="13" xfId="0" applyFont="1" applyBorder="1" applyAlignment="1">
      <alignment vertical="center" wrapText="1"/>
    </xf>
    <xf numFmtId="0" fontId="62" fillId="23" borderId="1" xfId="0" applyFont="1" applyFill="1" applyBorder="1" applyAlignment="1">
      <alignment horizontal="left" vertical="center" wrapText="1"/>
    </xf>
    <xf numFmtId="168" fontId="62" fillId="0" borderId="1" xfId="0" applyNumberFormat="1" applyFont="1" applyBorder="1" applyAlignment="1">
      <alignment vertical="center" wrapText="1"/>
    </xf>
    <xf numFmtId="165" fontId="72" fillId="0" borderId="22" xfId="0" applyNumberFormat="1" applyFont="1" applyBorder="1" applyAlignment="1">
      <alignment horizontal="center" vertical="center" wrapText="1"/>
    </xf>
    <xf numFmtId="165" fontId="72" fillId="0" borderId="3" xfId="0" applyNumberFormat="1" applyFont="1" applyBorder="1" applyAlignment="1">
      <alignment horizontal="center" vertical="center" wrapText="1"/>
    </xf>
    <xf numFmtId="0" fontId="72" fillId="0" borderId="5" xfId="0" applyFont="1" applyBorder="1" applyAlignment="1">
      <alignment horizontal="center" vertical="center" wrapText="1"/>
    </xf>
    <xf numFmtId="49" fontId="62" fillId="0" borderId="13" xfId="0" applyNumberFormat="1" applyFont="1" applyBorder="1" applyAlignment="1">
      <alignment horizontal="center" vertical="center" wrapText="1"/>
    </xf>
    <xf numFmtId="0" fontId="62" fillId="0" borderId="8" xfId="0" applyFont="1" applyBorder="1" applyAlignment="1">
      <alignment horizontal="center" vertical="center" wrapText="1"/>
    </xf>
    <xf numFmtId="0" fontId="71" fillId="30" borderId="5" xfId="0" applyFont="1" applyFill="1" applyBorder="1" applyAlignment="1">
      <alignment vertical="center" wrapText="1"/>
    </xf>
    <xf numFmtId="165" fontId="72" fillId="0" borderId="13" xfId="0" applyNumberFormat="1" applyFont="1" applyBorder="1" applyAlignment="1">
      <alignment horizontal="center" vertical="center" wrapText="1"/>
    </xf>
    <xf numFmtId="0" fontId="62" fillId="0" borderId="13" xfId="0" applyFont="1" applyBorder="1" applyAlignment="1">
      <alignment horizontal="left" vertical="center" wrapText="1"/>
    </xf>
    <xf numFmtId="0" fontId="68" fillId="0" borderId="28" xfId="0" applyFont="1" applyBorder="1" applyAlignment="1">
      <alignment horizontal="center" vertical="center"/>
    </xf>
    <xf numFmtId="0" fontId="71" fillId="0" borderId="5" xfId="0" applyFont="1" applyBorder="1" applyAlignment="1">
      <alignment vertical="center" wrapText="1"/>
    </xf>
    <xf numFmtId="14" fontId="69" fillId="0" borderId="2" xfId="0" applyNumberFormat="1" applyFont="1" applyBorder="1" applyAlignment="1">
      <alignment horizontal="center" vertical="center" wrapText="1"/>
    </xf>
    <xf numFmtId="42" fontId="72" fillId="0" borderId="1" xfId="0" applyNumberFormat="1" applyFont="1" applyBorder="1" applyAlignment="1">
      <alignment horizontal="center" vertical="center" wrapText="1"/>
    </xf>
    <xf numFmtId="0" fontId="62" fillId="0" borderId="7" xfId="0" applyFont="1" applyBorder="1" applyAlignment="1">
      <alignment horizontal="center" vertical="center" wrapText="1"/>
    </xf>
    <xf numFmtId="168" fontId="72" fillId="0" borderId="5" xfId="0" applyNumberFormat="1" applyFont="1" applyBorder="1" applyAlignment="1">
      <alignment vertical="center" wrapText="1"/>
    </xf>
    <xf numFmtId="0" fontId="68" fillId="0" borderId="2" xfId="0" applyFont="1" applyBorder="1" applyAlignment="1">
      <alignment horizontal="center" vertical="center" wrapText="1"/>
    </xf>
    <xf numFmtId="168" fontId="69" fillId="7" borderId="5" xfId="6" applyNumberFormat="1" applyFont="1" applyFill="1" applyBorder="1" applyAlignment="1" applyProtection="1">
      <alignment horizontal="center" vertical="center" wrapText="1"/>
      <protection locked="0"/>
    </xf>
    <xf numFmtId="0" fontId="68" fillId="0" borderId="16" xfId="0" applyFont="1" applyBorder="1" applyAlignment="1">
      <alignment horizontal="center" vertical="center" wrapText="1"/>
    </xf>
    <xf numFmtId="0" fontId="93" fillId="29" borderId="13" xfId="0" applyFont="1" applyFill="1" applyBorder="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165" fontId="69" fillId="0" borderId="21" xfId="0" applyNumberFormat="1" applyFont="1" applyBorder="1" applyAlignment="1" applyProtection="1">
      <alignment horizontal="center" vertical="center" wrapText="1"/>
      <protection locked="0"/>
    </xf>
    <xf numFmtId="167" fontId="72" fillId="0" borderId="1" xfId="0" applyNumberFormat="1" applyFont="1" applyBorder="1" applyAlignment="1">
      <alignment horizontal="center" vertical="center" wrapText="1"/>
    </xf>
    <xf numFmtId="168" fontId="72" fillId="0" borderId="3" xfId="0" applyNumberFormat="1" applyFont="1" applyBorder="1" applyAlignment="1">
      <alignment horizontal="center" vertical="center" wrapText="1"/>
    </xf>
    <xf numFmtId="6" fontId="69" fillId="0" borderId="5" xfId="0" applyNumberFormat="1" applyFont="1" applyBorder="1" applyAlignment="1">
      <alignment horizontal="center" vertical="center" wrapText="1"/>
    </xf>
    <xf numFmtId="0" fontId="69" fillId="6" borderId="8" xfId="0" applyFont="1" applyFill="1" applyBorder="1" applyAlignment="1" applyProtection="1">
      <alignment horizontal="center" vertical="center"/>
      <protection locked="0"/>
    </xf>
    <xf numFmtId="0" fontId="72" fillId="0" borderId="7" xfId="0" applyFont="1" applyBorder="1" applyAlignment="1">
      <alignment horizontal="center" vertical="center" wrapText="1"/>
    </xf>
    <xf numFmtId="0" fontId="63" fillId="0" borderId="2" xfId="0" applyFont="1" applyBorder="1" applyAlignment="1">
      <alignment vertical="center" wrapText="1"/>
    </xf>
    <xf numFmtId="0" fontId="71" fillId="0" borderId="2" xfId="0" applyFont="1" applyBorder="1" applyAlignment="1">
      <alignment vertical="center" wrapText="1"/>
    </xf>
    <xf numFmtId="0" fontId="74" fillId="0" borderId="13" xfId="0" applyFont="1" applyBorder="1" applyAlignment="1">
      <alignment vertical="center" wrapText="1"/>
    </xf>
    <xf numFmtId="168" fontId="69" fillId="2" borderId="3" xfId="0" applyNumberFormat="1" applyFont="1" applyFill="1" applyBorder="1" applyAlignment="1" applyProtection="1">
      <alignment horizontal="center" vertical="center" wrapText="1"/>
      <protection locked="0"/>
    </xf>
    <xf numFmtId="0" fontId="91" fillId="0" borderId="0" xfId="0" applyFont="1" applyAlignment="1">
      <alignment vertical="top"/>
    </xf>
    <xf numFmtId="6" fontId="68" fillId="0" borderId="13" xfId="0" applyNumberFormat="1" applyFont="1" applyBorder="1" applyAlignment="1">
      <alignment horizontal="center" vertical="center"/>
    </xf>
    <xf numFmtId="0" fontId="71" fillId="0" borderId="7" xfId="0" applyFont="1" applyBorder="1" applyAlignment="1">
      <alignment horizontal="center" vertical="center" wrapText="1"/>
    </xf>
    <xf numFmtId="0" fontId="71" fillId="0" borderId="8" xfId="0" applyFont="1" applyBorder="1" applyAlignment="1">
      <alignment horizontal="center" vertical="center" wrapText="1"/>
    </xf>
    <xf numFmtId="14" fontId="71" fillId="0" borderId="5" xfId="0" applyNumberFormat="1" applyFont="1" applyBorder="1" applyAlignment="1">
      <alignment horizontal="center" vertical="center" wrapText="1"/>
    </xf>
    <xf numFmtId="6" fontId="71" fillId="0" borderId="5" xfId="0" applyNumberFormat="1" applyFont="1" applyBorder="1" applyAlignment="1">
      <alignment horizontal="center" vertical="center" wrapText="1"/>
    </xf>
    <xf numFmtId="0" fontId="71" fillId="0" borderId="5" xfId="0" applyFont="1" applyBorder="1" applyAlignment="1">
      <alignment vertical="center"/>
    </xf>
    <xf numFmtId="0" fontId="71" fillId="0" borderId="15" xfId="0" applyFont="1" applyBorder="1" applyAlignment="1">
      <alignment vertical="center"/>
    </xf>
    <xf numFmtId="0" fontId="71" fillId="0" borderId="0" xfId="0" applyFont="1" applyAlignment="1">
      <alignment vertical="center" wrapText="1"/>
    </xf>
    <xf numFmtId="6" fontId="71" fillId="0" borderId="1" xfId="0" applyNumberFormat="1" applyFont="1" applyBorder="1" applyAlignment="1">
      <alignment horizontal="center" vertical="center" wrapText="1"/>
    </xf>
    <xf numFmtId="6" fontId="71" fillId="0" borderId="13" xfId="0" applyNumberFormat="1" applyFont="1" applyBorder="1" applyAlignment="1">
      <alignment horizontal="center" vertical="center" wrapText="1"/>
    </xf>
    <xf numFmtId="14" fontId="71" fillId="0" borderId="13" xfId="0" applyNumberFormat="1" applyFont="1" applyBorder="1" applyAlignment="1">
      <alignment horizontal="center" vertical="center" wrapText="1"/>
    </xf>
    <xf numFmtId="14" fontId="69" fillId="0" borderId="15" xfId="0" applyNumberFormat="1" applyFont="1" applyBorder="1" applyAlignment="1">
      <alignment horizontal="center" vertical="center"/>
    </xf>
    <xf numFmtId="0" fontId="68" fillId="10" borderId="0" xfId="0" applyFont="1" applyFill="1" applyAlignment="1">
      <alignment vertical="center"/>
    </xf>
    <xf numFmtId="0" fontId="71" fillId="0" borderId="8" xfId="0" applyFont="1" applyBorder="1" applyAlignment="1">
      <alignment horizontal="center" vertical="center"/>
    </xf>
    <xf numFmtId="14" fontId="72" fillId="0" borderId="13" xfId="0" applyNumberFormat="1" applyFont="1" applyBorder="1" applyAlignment="1">
      <alignment horizontal="center" vertical="center" wrapText="1"/>
    </xf>
    <xf numFmtId="168" fontId="62" fillId="0" borderId="1" xfId="0" applyNumberFormat="1" applyFont="1" applyBorder="1" applyAlignment="1">
      <alignment horizontal="center" vertical="center" wrapText="1"/>
    </xf>
    <xf numFmtId="6" fontId="71" fillId="0" borderId="8" xfId="0" applyNumberFormat="1" applyFont="1" applyBorder="1" applyAlignment="1">
      <alignment horizontal="center" vertical="center" wrapText="1"/>
    </xf>
    <xf numFmtId="14" fontId="72" fillId="0" borderId="7" xfId="0" applyNumberFormat="1" applyFont="1" applyBorder="1" applyAlignment="1">
      <alignment horizontal="center" vertical="center" wrapText="1"/>
    </xf>
    <xf numFmtId="14" fontId="71" fillId="0" borderId="1" xfId="0" applyNumberFormat="1" applyFont="1" applyBorder="1" applyAlignment="1">
      <alignment vertical="center" wrapText="1"/>
    </xf>
    <xf numFmtId="168" fontId="62" fillId="0" borderId="3" xfId="0" applyNumberFormat="1" applyFont="1" applyBorder="1" applyAlignment="1">
      <alignment horizontal="center" vertical="center" wrapText="1"/>
    </xf>
    <xf numFmtId="0" fontId="74" fillId="0" borderId="2" xfId="0" applyFont="1" applyBorder="1" applyAlignment="1">
      <alignment vertical="center" wrapText="1"/>
    </xf>
    <xf numFmtId="0" fontId="74" fillId="0" borderId="1" xfId="0" applyFont="1" applyBorder="1" applyAlignment="1">
      <alignment vertical="center" wrapText="1"/>
    </xf>
    <xf numFmtId="14" fontId="62" fillId="0" borderId="13" xfId="0" applyNumberFormat="1" applyFont="1" applyBorder="1" applyAlignment="1">
      <alignment horizontal="center" vertical="center" wrapText="1"/>
    </xf>
    <xf numFmtId="14" fontId="62" fillId="0" borderId="13" xfId="0" applyNumberFormat="1" applyFont="1" applyBorder="1" applyAlignment="1">
      <alignment horizontal="left" vertical="center" wrapText="1"/>
    </xf>
    <xf numFmtId="168" fontId="69" fillId="0" borderId="19" xfId="6" applyNumberFormat="1" applyFont="1" applyBorder="1" applyAlignment="1" applyProtection="1">
      <alignment horizontal="center" vertical="center" wrapText="1"/>
      <protection locked="0"/>
    </xf>
    <xf numFmtId="168" fontId="69" fillId="0" borderId="12" xfId="6" applyNumberFormat="1" applyFont="1" applyFill="1" applyBorder="1" applyAlignment="1" applyProtection="1">
      <alignment horizontal="center" vertical="center" wrapText="1"/>
      <protection locked="0"/>
    </xf>
    <xf numFmtId="14" fontId="71" fillId="0" borderId="7" xfId="0" applyNumberFormat="1" applyFont="1" applyBorder="1" applyAlignment="1">
      <alignment vertical="center"/>
    </xf>
    <xf numFmtId="0" fontId="69" fillId="0" borderId="12" xfId="2" applyFont="1" applyBorder="1" applyAlignment="1">
      <alignment horizontal="center" vertical="center" wrapText="1"/>
    </xf>
    <xf numFmtId="0" fontId="69" fillId="0" borderId="12" xfId="0" applyFont="1" applyBorder="1" applyAlignment="1">
      <alignment horizontal="center" vertical="center" wrapText="1"/>
    </xf>
    <xf numFmtId="0" fontId="69" fillId="0" borderId="27" xfId="0" applyFont="1" applyBorder="1" applyAlignment="1">
      <alignment horizontal="center" vertical="center" wrapText="1"/>
    </xf>
    <xf numFmtId="0" fontId="69" fillId="0" borderId="42" xfId="0" applyFont="1" applyBorder="1" applyAlignment="1" applyProtection="1">
      <alignment horizontal="center" vertical="center" wrapText="1"/>
      <protection locked="0"/>
    </xf>
    <xf numFmtId="165" fontId="69" fillId="0" borderId="12" xfId="0" applyNumberFormat="1" applyFont="1" applyBorder="1" applyAlignment="1">
      <alignment horizontal="center" vertical="center" wrapText="1"/>
    </xf>
    <xf numFmtId="14" fontId="69" fillId="0" borderId="12" xfId="0" applyNumberFormat="1" applyFont="1" applyBorder="1" applyAlignment="1">
      <alignment horizontal="center" vertical="center" wrapText="1"/>
    </xf>
    <xf numFmtId="165" fontId="69" fillId="0" borderId="2" xfId="0" applyNumberFormat="1" applyFont="1" applyBorder="1" applyAlignment="1" applyProtection="1">
      <alignment horizontal="center" vertical="center"/>
      <protection locked="0"/>
    </xf>
    <xf numFmtId="168" fontId="59" fillId="0" borderId="1" xfId="0" applyNumberFormat="1" applyFont="1" applyBorder="1" applyAlignment="1">
      <alignment horizontal="center" vertical="center" wrapText="1"/>
    </xf>
    <xf numFmtId="0" fontId="84" fillId="0" borderId="5" xfId="0" applyFont="1" applyBorder="1" applyAlignment="1">
      <alignment horizontal="center"/>
    </xf>
    <xf numFmtId="14" fontId="69" fillId="0" borderId="12" xfId="0" applyNumberFormat="1" applyFont="1" applyBorder="1" applyAlignment="1" applyProtection="1">
      <alignment horizontal="center" vertical="center" wrapText="1"/>
      <protection locked="0"/>
    </xf>
    <xf numFmtId="167" fontId="69" fillId="0" borderId="18" xfId="0" applyNumberFormat="1" applyFont="1" applyBorder="1" applyAlignment="1" applyProtection="1">
      <alignment horizontal="center" vertical="center" wrapText="1"/>
      <protection locked="0"/>
    </xf>
    <xf numFmtId="167" fontId="69" fillId="0" borderId="12" xfId="0" applyNumberFormat="1" applyFont="1" applyBorder="1" applyAlignment="1" applyProtection="1">
      <alignment horizontal="center" vertical="center" wrapText="1"/>
      <protection locked="0"/>
    </xf>
    <xf numFmtId="0" fontId="68" fillId="0" borderId="12" xfId="0" applyFont="1" applyBorder="1" applyAlignment="1">
      <alignment horizontal="center" vertical="center"/>
    </xf>
    <xf numFmtId="0" fontId="62" fillId="0" borderId="7" xfId="0" applyFont="1" applyBorder="1" applyAlignment="1">
      <alignment horizontal="left" vertical="center" wrapText="1"/>
    </xf>
    <xf numFmtId="168" fontId="72" fillId="0" borderId="0" xfId="0" applyNumberFormat="1" applyFont="1" applyAlignment="1">
      <alignment horizontal="center" vertical="center" wrapText="1"/>
    </xf>
    <xf numFmtId="0" fontId="74" fillId="0" borderId="2" xfId="0" applyFont="1" applyBorder="1" applyAlignment="1">
      <alignment wrapText="1"/>
    </xf>
    <xf numFmtId="168" fontId="69" fillId="0" borderId="9" xfId="6" applyNumberFormat="1" applyFont="1" applyBorder="1" applyAlignment="1" applyProtection="1">
      <alignment horizontal="center" vertical="center" wrapText="1"/>
      <protection locked="0"/>
    </xf>
    <xf numFmtId="0" fontId="95" fillId="0" borderId="0" xfId="0" applyFont="1" applyAlignment="1">
      <alignment horizontal="center" vertical="center" wrapText="1"/>
    </xf>
    <xf numFmtId="168" fontId="69" fillId="0" borderId="14" xfId="0" applyNumberFormat="1" applyFont="1" applyBorder="1" applyAlignment="1" applyProtection="1">
      <alignment horizontal="center" vertical="center" wrapText="1"/>
      <protection locked="0"/>
    </xf>
    <xf numFmtId="0" fontId="71" fillId="0" borderId="0" xfId="0" applyFont="1" applyAlignment="1">
      <alignment vertical="center"/>
    </xf>
    <xf numFmtId="168" fontId="7" fillId="2" borderId="3" xfId="0" applyNumberFormat="1" applyFont="1" applyFill="1" applyBorder="1" applyAlignment="1" applyProtection="1">
      <alignment horizontal="center" vertical="center" wrapText="1"/>
      <protection locked="0"/>
    </xf>
    <xf numFmtId="168" fontId="7" fillId="2" borderId="3" xfId="0" applyNumberFormat="1" applyFont="1" applyFill="1" applyBorder="1" applyAlignment="1" applyProtection="1">
      <alignment horizontal="center" vertical="center"/>
      <protection locked="0"/>
    </xf>
    <xf numFmtId="167" fontId="7" fillId="2" borderId="3" xfId="0" applyNumberFormat="1" applyFont="1" applyFill="1" applyBorder="1" applyAlignment="1" applyProtection="1">
      <alignment horizontal="center" vertical="center" wrapText="1"/>
      <protection locked="0"/>
    </xf>
    <xf numFmtId="168" fontId="7" fillId="2" borderId="9" xfId="0" applyNumberFormat="1" applyFont="1" applyFill="1" applyBorder="1" applyAlignment="1" applyProtection="1">
      <alignment horizontal="center" vertical="center" wrapText="1"/>
      <protection locked="0"/>
    </xf>
    <xf numFmtId="168" fontId="7" fillId="2" borderId="9" xfId="0" applyNumberFormat="1" applyFont="1" applyFill="1" applyBorder="1" applyAlignment="1" applyProtection="1">
      <alignment horizontal="center" vertical="center"/>
      <protection locked="0"/>
    </xf>
    <xf numFmtId="168" fontId="69" fillId="0" borderId="3" xfId="0" applyNumberFormat="1" applyFont="1" applyBorder="1" applyAlignment="1" applyProtection="1">
      <alignment horizontal="center" vertical="center"/>
      <protection locked="0"/>
    </xf>
    <xf numFmtId="168" fontId="69" fillId="2" borderId="3" xfId="0" applyNumberFormat="1" applyFont="1" applyFill="1" applyBorder="1" applyAlignment="1" applyProtection="1">
      <alignment horizontal="center" vertical="center"/>
      <protection locked="0"/>
    </xf>
    <xf numFmtId="168" fontId="69" fillId="25" borderId="3" xfId="0" applyNumberFormat="1" applyFont="1" applyFill="1" applyBorder="1" applyAlignment="1" applyProtection="1">
      <alignment horizontal="center" vertical="center" wrapText="1"/>
      <protection locked="0"/>
    </xf>
    <xf numFmtId="0" fontId="69" fillId="0" borderId="10" xfId="2" applyFont="1" applyBorder="1" applyAlignment="1">
      <alignment horizontal="left" vertical="top" wrapText="1"/>
    </xf>
    <xf numFmtId="0" fontId="69" fillId="2" borderId="23" xfId="0" applyFont="1" applyFill="1" applyBorder="1" applyAlignment="1" applyProtection="1">
      <alignment horizontal="center" vertical="center" wrapText="1"/>
      <protection locked="0"/>
    </xf>
    <xf numFmtId="0" fontId="71" fillId="0" borderId="0" xfId="0" applyFont="1" applyAlignment="1">
      <alignment wrapText="1"/>
    </xf>
    <xf numFmtId="0" fontId="71" fillId="0" borderId="0" xfId="0" applyFont="1"/>
    <xf numFmtId="164" fontId="69" fillId="0" borderId="0" xfId="0" applyNumberFormat="1" applyFont="1" applyAlignment="1" applyProtection="1">
      <alignment horizontal="center" vertical="center" wrapText="1"/>
      <protection locked="0"/>
    </xf>
    <xf numFmtId="168" fontId="69" fillId="0" borderId="8" xfId="0" applyNumberFormat="1" applyFont="1" applyBorder="1" applyAlignment="1" applyProtection="1">
      <alignment horizontal="center" vertical="center" wrapText="1"/>
      <protection locked="0"/>
    </xf>
    <xf numFmtId="168" fontId="69" fillId="2" borderId="16" xfId="0" applyNumberFormat="1" applyFont="1" applyFill="1" applyBorder="1" applyAlignment="1" applyProtection="1">
      <alignment horizontal="center" vertical="center"/>
      <protection locked="0"/>
    </xf>
    <xf numFmtId="168" fontId="69" fillId="0" borderId="16" xfId="0" applyNumberFormat="1" applyFont="1" applyBorder="1" applyAlignment="1" applyProtection="1">
      <alignment horizontal="center" vertical="center" wrapText="1"/>
      <protection locked="0"/>
    </xf>
    <xf numFmtId="0" fontId="69" fillId="2" borderId="16" xfId="2" applyFont="1" applyFill="1" applyBorder="1" applyAlignment="1">
      <alignment horizontal="center" vertical="center" wrapText="1"/>
    </xf>
    <xf numFmtId="168" fontId="68" fillId="0" borderId="16" xfId="0" applyNumberFormat="1" applyFont="1" applyBorder="1" applyAlignment="1">
      <alignment horizontal="center" vertical="center"/>
    </xf>
    <xf numFmtId="0" fontId="68" fillId="0" borderId="19" xfId="0" applyFont="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2" xfId="2" applyFont="1" applyBorder="1" applyAlignment="1">
      <alignment horizontal="left" vertical="center" wrapText="1"/>
    </xf>
    <xf numFmtId="0" fontId="71" fillId="0" borderId="2" xfId="2" applyFont="1" applyBorder="1" applyAlignment="1">
      <alignment horizontal="left" vertical="center" wrapText="1"/>
    </xf>
    <xf numFmtId="14" fontId="69" fillId="0" borderId="2" xfId="2" applyNumberFormat="1" applyFont="1" applyBorder="1" applyAlignment="1">
      <alignment horizontal="left" vertical="center" wrapText="1"/>
    </xf>
    <xf numFmtId="14" fontId="69" fillId="0" borderId="1" xfId="2" applyNumberFormat="1" applyFont="1" applyBorder="1" applyAlignment="1">
      <alignment horizontal="left" vertical="center" wrapText="1"/>
    </xf>
    <xf numFmtId="0" fontId="69" fillId="0" borderId="6" xfId="0" applyFont="1" applyBorder="1" applyAlignment="1">
      <alignment horizontal="left" vertical="center" wrapText="1"/>
    </xf>
    <xf numFmtId="0" fontId="69" fillId="0" borderId="33" xfId="0" applyFont="1" applyBorder="1" applyAlignment="1" applyProtection="1">
      <alignment horizontal="left" vertical="center" wrapText="1"/>
      <protection locked="0"/>
    </xf>
    <xf numFmtId="49" fontId="69" fillId="2" borderId="34" xfId="0" applyNumberFormat="1" applyFont="1" applyFill="1" applyBorder="1" applyAlignment="1" applyProtection="1">
      <alignment horizontal="left" vertical="center" wrapText="1"/>
      <protection locked="0"/>
    </xf>
    <xf numFmtId="14" fontId="69" fillId="0" borderId="5" xfId="0" applyNumberFormat="1" applyFont="1" applyBorder="1" applyAlignment="1" applyProtection="1">
      <alignment horizontal="left" vertical="center" wrapText="1"/>
      <protection locked="0"/>
    </xf>
    <xf numFmtId="0" fontId="71" fillId="11" borderId="1" xfId="0" applyFont="1" applyFill="1" applyBorder="1" applyAlignment="1">
      <alignment horizontal="center" vertical="center" wrapText="1"/>
    </xf>
    <xf numFmtId="0" fontId="69" fillId="6" borderId="8" xfId="0" applyFont="1" applyFill="1" applyBorder="1" applyAlignment="1" applyProtection="1">
      <alignment horizontal="center" vertical="center" wrapText="1"/>
      <protection locked="0"/>
    </xf>
    <xf numFmtId="14" fontId="71" fillId="0" borderId="1" xfId="0" applyNumberFormat="1" applyFont="1" applyBorder="1" applyAlignment="1">
      <alignment wrapText="1"/>
    </xf>
    <xf numFmtId="0" fontId="77" fillId="0" borderId="1" xfId="19" applyBorder="1" applyAlignment="1" applyProtection="1">
      <alignment horizontal="center" vertical="center" wrapText="1"/>
      <protection locked="0"/>
    </xf>
    <xf numFmtId="168" fontId="69" fillId="0" borderId="11" xfId="6" applyNumberFormat="1" applyFont="1" applyBorder="1" applyAlignment="1" applyProtection="1">
      <alignment horizontal="center" vertical="center" wrapText="1"/>
      <protection locked="0"/>
    </xf>
    <xf numFmtId="0" fontId="96" fillId="0" borderId="0" xfId="0" applyFont="1"/>
    <xf numFmtId="0" fontId="68" fillId="0" borderId="8" xfId="0" applyFont="1" applyBorder="1" applyAlignment="1">
      <alignment horizontal="center" vertical="center" wrapText="1"/>
    </xf>
    <xf numFmtId="0" fontId="68" fillId="0" borderId="8" xfId="0" applyFont="1" applyBorder="1" applyAlignment="1">
      <alignment horizontal="left" vertical="center" wrapText="1"/>
    </xf>
    <xf numFmtId="8" fontId="69" fillId="0" borderId="13" xfId="0" applyNumberFormat="1" applyFont="1" applyBorder="1" applyAlignment="1" applyProtection="1">
      <alignment horizontal="center" vertical="center" wrapText="1"/>
      <protection locked="0"/>
    </xf>
    <xf numFmtId="0" fontId="68" fillId="0" borderId="19" xfId="0" applyFont="1" applyBorder="1" applyAlignment="1">
      <alignment horizontal="center" vertical="center"/>
    </xf>
    <xf numFmtId="0" fontId="90" fillId="0" borderId="1" xfId="0" applyFont="1" applyBorder="1" applyAlignment="1">
      <alignment horizontal="center" vertical="center"/>
    </xf>
    <xf numFmtId="0" fontId="68" fillId="0" borderId="14" xfId="0" applyFont="1" applyBorder="1" applyAlignment="1">
      <alignment horizontal="center" vertical="center" wrapText="1"/>
    </xf>
    <xf numFmtId="0" fontId="69" fillId="0" borderId="30" xfId="0" applyFont="1" applyBorder="1" applyAlignment="1">
      <alignment horizontal="left" vertical="center" wrapText="1"/>
    </xf>
    <xf numFmtId="0" fontId="71" fillId="0" borderId="18" xfId="0" applyFont="1" applyBorder="1" applyAlignment="1">
      <alignment vertical="center"/>
    </xf>
    <xf numFmtId="14" fontId="71" fillId="0" borderId="3" xfId="0" applyNumberFormat="1" applyFont="1" applyBorder="1" applyAlignment="1">
      <alignment vertical="center"/>
    </xf>
    <xf numFmtId="14" fontId="69" fillId="0" borderId="2" xfId="2" applyNumberFormat="1" applyFont="1" applyBorder="1" applyAlignment="1">
      <alignment horizontal="center" vertical="center" wrapText="1"/>
    </xf>
    <xf numFmtId="2" fontId="62" fillId="0" borderId="3" xfId="0" applyNumberFormat="1" applyFont="1" applyBorder="1" applyAlignment="1">
      <alignment horizontal="center" vertical="center" wrapText="1"/>
    </xf>
    <xf numFmtId="168" fontId="62" fillId="0" borderId="13" xfId="0" applyNumberFormat="1" applyFont="1" applyBorder="1" applyAlignment="1">
      <alignment vertical="center" wrapText="1"/>
    </xf>
    <xf numFmtId="168" fontId="69" fillId="0" borderId="16" xfId="6" applyNumberFormat="1" applyFont="1" applyFill="1" applyBorder="1" applyAlignment="1" applyProtection="1">
      <alignment horizontal="center" vertical="center" wrapText="1"/>
      <protection locked="0"/>
    </xf>
    <xf numFmtId="168" fontId="72" fillId="0" borderId="13" xfId="0" applyNumberFormat="1" applyFont="1" applyBorder="1" applyAlignment="1">
      <alignment vertical="center" wrapText="1"/>
    </xf>
    <xf numFmtId="168" fontId="62" fillId="0" borderId="13" xfId="0" applyNumberFormat="1" applyFont="1" applyBorder="1" applyAlignment="1">
      <alignment horizontal="center" vertical="center" wrapText="1"/>
    </xf>
    <xf numFmtId="14" fontId="69" fillId="0" borderId="20" xfId="0" applyNumberFormat="1" applyFont="1" applyBorder="1" applyAlignment="1" applyProtection="1">
      <alignment horizontal="center" vertical="center" wrapText="1"/>
      <protection locked="0"/>
    </xf>
    <xf numFmtId="14" fontId="69" fillId="0" borderId="27" xfId="0" applyNumberFormat="1" applyFont="1" applyBorder="1" applyAlignment="1" applyProtection="1">
      <alignment horizontal="center" vertical="center" wrapText="1"/>
      <protection locked="0"/>
    </xf>
    <xf numFmtId="0" fontId="71" fillId="2" borderId="5" xfId="0" applyFont="1" applyFill="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protection locked="0"/>
    </xf>
    <xf numFmtId="0" fontId="71" fillId="0" borderId="21" xfId="0" applyFont="1" applyBorder="1" applyAlignment="1">
      <alignment horizontal="left" vertical="center" wrapText="1"/>
    </xf>
    <xf numFmtId="0" fontId="71" fillId="0" borderId="7" xfId="0" applyFont="1" applyBorder="1" applyAlignment="1" applyProtection="1">
      <alignment horizontal="left" vertical="center" wrapText="1"/>
      <protection locked="0"/>
    </xf>
    <xf numFmtId="0" fontId="69" fillId="2" borderId="9" xfId="0" applyFont="1" applyFill="1" applyBorder="1" applyAlignment="1" applyProtection="1">
      <alignment horizontal="left" vertical="center" wrapText="1"/>
      <protection locked="0"/>
    </xf>
    <xf numFmtId="0" fontId="69" fillId="7" borderId="8" xfId="0" applyFont="1" applyFill="1" applyBorder="1" applyAlignment="1" applyProtection="1">
      <alignment horizontal="left" vertical="center" wrapText="1"/>
      <protection locked="0"/>
    </xf>
    <xf numFmtId="16" fontId="72" fillId="0" borderId="1" xfId="0" applyNumberFormat="1" applyFont="1" applyBorder="1" applyAlignment="1">
      <alignment horizontal="left" vertical="center" wrapText="1"/>
    </xf>
    <xf numFmtId="0" fontId="71" fillId="0" borderId="8" xfId="0" applyFont="1" applyBorder="1" applyAlignment="1">
      <alignment horizontal="center" wrapText="1"/>
    </xf>
    <xf numFmtId="0" fontId="62" fillId="0" borderId="15" xfId="0" applyFont="1" applyBorder="1" applyAlignment="1">
      <alignment horizontal="center" vertical="center" wrapText="1"/>
    </xf>
    <xf numFmtId="168" fontId="62" fillId="0" borderId="15" xfId="0" applyNumberFormat="1" applyFont="1" applyBorder="1" applyAlignment="1">
      <alignment vertical="center" wrapText="1"/>
    </xf>
    <xf numFmtId="0" fontId="80" fillId="0" borderId="3" xfId="0" applyFont="1" applyBorder="1" applyAlignment="1">
      <alignment horizontal="center" vertical="center" wrapText="1"/>
    </xf>
    <xf numFmtId="0" fontId="71" fillId="0" borderId="13" xfId="1" applyFont="1" applyBorder="1" applyAlignment="1">
      <alignment horizontal="center" vertical="center" wrapText="1"/>
    </xf>
    <xf numFmtId="14" fontId="69" fillId="6" borderId="1" xfId="0" applyNumberFormat="1" applyFont="1" applyFill="1" applyBorder="1" applyAlignment="1" applyProtection="1">
      <alignment horizontal="center" vertical="center" wrapText="1"/>
      <protection locked="0"/>
    </xf>
    <xf numFmtId="0" fontId="69" fillId="0" borderId="33" xfId="0" applyFont="1" applyBorder="1" applyAlignment="1">
      <alignment horizontal="center" vertical="center" wrapText="1"/>
    </xf>
    <xf numFmtId="0" fontId="69" fillId="0" borderId="33" xfId="6" applyNumberFormat="1" applyFont="1" applyFill="1" applyBorder="1" applyAlignment="1">
      <alignment horizontal="center" vertical="center" wrapText="1"/>
    </xf>
    <xf numFmtId="168" fontId="69" fillId="0" borderId="31" xfId="6" applyNumberFormat="1" applyFont="1" applyFill="1" applyBorder="1" applyAlignment="1" applyProtection="1">
      <alignment horizontal="center" vertical="center" wrapText="1"/>
      <protection locked="0"/>
    </xf>
    <xf numFmtId="0" fontId="69" fillId="0" borderId="31" xfId="0" applyFont="1" applyBorder="1" applyAlignment="1">
      <alignment horizontal="center" vertical="center" wrapText="1"/>
    </xf>
    <xf numFmtId="168" fontId="69" fillId="0" borderId="14" xfId="6" applyNumberFormat="1"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28" fillId="0" borderId="2" xfId="0" applyFont="1" applyBorder="1" applyAlignment="1" applyProtection="1">
      <alignment horizontal="left" vertical="center" wrapText="1"/>
      <protection locked="0"/>
    </xf>
    <xf numFmtId="0" fontId="101" fillId="0" borderId="0" xfId="0" applyFont="1" applyAlignment="1">
      <alignment horizontal="center" vertical="center" wrapText="1"/>
    </xf>
    <xf numFmtId="0" fontId="69" fillId="2" borderId="7" xfId="2" applyFont="1" applyFill="1" applyBorder="1" applyAlignment="1">
      <alignment horizontal="center" vertical="center" wrapText="1"/>
    </xf>
    <xf numFmtId="0" fontId="69" fillId="7" borderId="2" xfId="2" applyFont="1" applyFill="1" applyBorder="1" applyAlignment="1">
      <alignment horizontal="left" vertical="center" wrapText="1"/>
    </xf>
    <xf numFmtId="168" fontId="69" fillId="13" borderId="3" xfId="6" applyNumberFormat="1" applyFont="1" applyFill="1" applyBorder="1" applyAlignment="1" applyProtection="1">
      <alignment horizontal="center" vertical="center" wrapText="1"/>
      <protection locked="0"/>
    </xf>
    <xf numFmtId="0" fontId="102" fillId="0" borderId="0" xfId="0" applyFont="1"/>
    <xf numFmtId="0" fontId="69" fillId="2" borderId="12" xfId="2" applyFont="1" applyFill="1" applyBorder="1" applyAlignment="1">
      <alignment horizontal="center" vertical="center" wrapText="1"/>
    </xf>
    <xf numFmtId="166" fontId="69" fillId="0" borderId="7" xfId="0" applyNumberFormat="1" applyFont="1" applyBorder="1" applyAlignment="1" applyProtection="1">
      <alignment horizontal="center" vertical="center" wrapText="1"/>
      <protection locked="0"/>
    </xf>
    <xf numFmtId="14" fontId="62" fillId="7" borderId="1" xfId="0" applyNumberFormat="1" applyFont="1" applyFill="1" applyBorder="1" applyAlignment="1">
      <alignment horizontal="center" vertical="center" wrapText="1"/>
    </xf>
    <xf numFmtId="168" fontId="62" fillId="7" borderId="1" xfId="0" applyNumberFormat="1" applyFont="1" applyFill="1" applyBorder="1" applyAlignment="1">
      <alignment horizontal="center" vertical="center" wrapText="1"/>
    </xf>
    <xf numFmtId="0" fontId="74" fillId="7" borderId="2" xfId="0" applyFont="1" applyFill="1" applyBorder="1" applyAlignment="1" applyProtection="1">
      <alignment horizontal="left" vertical="center" wrapText="1"/>
      <protection locked="0"/>
    </xf>
    <xf numFmtId="0" fontId="69" fillId="7" borderId="0" xfId="0" applyFont="1" applyFill="1" applyAlignment="1" applyProtection="1">
      <alignment horizontal="left" vertical="center" wrapText="1"/>
      <protection locked="0"/>
    </xf>
    <xf numFmtId="0" fontId="104" fillId="0" borderId="0" xfId="0" applyFont="1"/>
    <xf numFmtId="14" fontId="69" fillId="0" borderId="12" xfId="2" applyNumberFormat="1" applyFont="1" applyBorder="1" applyAlignment="1">
      <alignment horizontal="center" vertical="center" wrapText="1"/>
    </xf>
    <xf numFmtId="168" fontId="69" fillId="2" borderId="13" xfId="2" applyNumberFormat="1" applyFont="1" applyFill="1" applyBorder="1" applyAlignment="1">
      <alignment horizontal="center" vertical="center" wrapText="1"/>
    </xf>
    <xf numFmtId="168" fontId="69" fillId="0" borderId="16" xfId="6" applyNumberFormat="1"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9" fillId="0" borderId="33" xfId="0" applyFont="1" applyBorder="1" applyAlignment="1">
      <alignment horizontal="left" vertical="center" wrapText="1"/>
    </xf>
    <xf numFmtId="0" fontId="69" fillId="7" borderId="19" xfId="2" applyFont="1" applyFill="1" applyBorder="1" applyAlignment="1">
      <alignment horizontal="left" vertical="center" wrapText="1"/>
    </xf>
    <xf numFmtId="0" fontId="72" fillId="7" borderId="7" xfId="0" applyFont="1" applyFill="1" applyBorder="1" applyAlignment="1">
      <alignment horizontal="left" vertical="center" wrapText="1"/>
    </xf>
    <xf numFmtId="1" fontId="69" fillId="0" borderId="12" xfId="2" applyNumberFormat="1" applyFont="1" applyBorder="1" applyAlignment="1">
      <alignment horizontal="center" vertical="center" wrapText="1"/>
    </xf>
    <xf numFmtId="0" fontId="105" fillId="0" borderId="0" xfId="0" applyFont="1" applyAlignment="1">
      <alignment horizontal="center" vertical="center" wrapText="1"/>
    </xf>
    <xf numFmtId="168" fontId="69" fillId="0" borderId="44" xfId="6" applyNumberFormat="1" applyFont="1" applyBorder="1" applyAlignment="1" applyProtection="1">
      <alignment horizontal="center" vertical="center" wrapText="1"/>
      <protection locked="0"/>
    </xf>
    <xf numFmtId="0" fontId="69" fillId="7" borderId="1" xfId="2" applyFont="1" applyFill="1" applyBorder="1" applyAlignment="1">
      <alignment horizontal="left" vertical="center" wrapText="1"/>
    </xf>
    <xf numFmtId="0" fontId="62" fillId="0" borderId="0" xfId="0" applyFont="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0" xfId="0" applyFont="1" applyFill="1" applyAlignment="1" applyProtection="1">
      <alignment horizontal="left" vertical="center" wrapText="1"/>
      <protection locked="0"/>
    </xf>
    <xf numFmtId="0" fontId="69" fillId="0" borderId="11" xfId="0" applyFont="1" applyBorder="1" applyAlignment="1" applyProtection="1">
      <alignment horizontal="left" vertical="center" wrapText="1"/>
      <protection locked="0"/>
    </xf>
    <xf numFmtId="0" fontId="68" fillId="0" borderId="13" xfId="0" applyFont="1" applyBorder="1" applyAlignment="1">
      <alignment horizontal="left" vertical="center"/>
    </xf>
    <xf numFmtId="0" fontId="71" fillId="0" borderId="1" xfId="0" quotePrefix="1" applyFont="1" applyBorder="1" applyAlignment="1">
      <alignment horizontal="center" wrapText="1"/>
    </xf>
    <xf numFmtId="0" fontId="69" fillId="0" borderId="31" xfId="0" applyFont="1" applyBorder="1" applyAlignment="1">
      <alignment horizontal="center" vertical="center"/>
    </xf>
    <xf numFmtId="14" fontId="69" fillId="0" borderId="16" xfId="2" applyNumberFormat="1" applyFont="1" applyBorder="1" applyAlignment="1">
      <alignment horizontal="center" vertical="center" wrapText="1"/>
    </xf>
    <xf numFmtId="167" fontId="69" fillId="0" borderId="1" xfId="0" applyNumberFormat="1" applyFont="1" applyBorder="1" applyAlignment="1" applyProtection="1">
      <alignment horizontal="center" vertical="center"/>
      <protection locked="0"/>
    </xf>
    <xf numFmtId="167" fontId="69" fillId="15" borderId="13" xfId="0" applyNumberFormat="1" applyFont="1" applyFill="1" applyBorder="1" applyAlignment="1" applyProtection="1">
      <alignment horizontal="center" vertical="center" wrapText="1"/>
      <protection locked="0"/>
    </xf>
    <xf numFmtId="14" fontId="68" fillId="7" borderId="7" xfId="0" applyNumberFormat="1" applyFont="1" applyFill="1" applyBorder="1" applyAlignment="1">
      <alignment horizontal="center" vertical="center"/>
    </xf>
    <xf numFmtId="0" fontId="68" fillId="7" borderId="5" xfId="0" applyFont="1" applyFill="1" applyBorder="1" applyAlignment="1">
      <alignment horizontal="center" vertical="center"/>
    </xf>
    <xf numFmtId="0" fontId="69" fillId="7" borderId="5" xfId="0" applyFont="1" applyFill="1" applyBorder="1" applyAlignment="1" applyProtection="1">
      <alignment horizontal="center" vertical="center"/>
      <protection locked="0"/>
    </xf>
    <xf numFmtId="0" fontId="69" fillId="7" borderId="5" xfId="0" applyFont="1" applyFill="1" applyBorder="1" applyAlignment="1" applyProtection="1">
      <alignment horizontal="center" vertical="center" wrapText="1"/>
      <protection locked="0"/>
    </xf>
    <xf numFmtId="0" fontId="69" fillId="7" borderId="5" xfId="0" applyFont="1" applyFill="1" applyBorder="1" applyAlignment="1">
      <alignment horizontal="center" vertical="center" wrapText="1"/>
    </xf>
    <xf numFmtId="0" fontId="69" fillId="7" borderId="5" xfId="0" applyFont="1" applyFill="1" applyBorder="1" applyAlignment="1" applyProtection="1">
      <alignment horizontal="left" vertical="center" wrapText="1"/>
      <protection locked="0"/>
    </xf>
    <xf numFmtId="165" fontId="69" fillId="7" borderId="5" xfId="0" applyNumberFormat="1" applyFont="1" applyFill="1" applyBorder="1" applyAlignment="1" applyProtection="1">
      <alignment horizontal="center" vertical="center" wrapText="1"/>
      <protection locked="0"/>
    </xf>
    <xf numFmtId="165" fontId="69" fillId="7" borderId="5" xfId="0" applyNumberFormat="1" applyFont="1" applyFill="1" applyBorder="1" applyAlignment="1" applyProtection="1">
      <alignment horizontal="center" vertical="center"/>
      <protection locked="0"/>
    </xf>
    <xf numFmtId="49" fontId="69" fillId="7" borderId="5" xfId="0" applyNumberFormat="1" applyFont="1" applyFill="1" applyBorder="1" applyAlignment="1" applyProtection="1">
      <alignment horizontal="center" vertical="center"/>
      <protection locked="0"/>
    </xf>
    <xf numFmtId="49" fontId="69" fillId="7" borderId="5" xfId="0" applyNumberFormat="1" applyFont="1" applyFill="1" applyBorder="1" applyAlignment="1" applyProtection="1">
      <alignment horizontal="center" vertical="center" wrapText="1"/>
      <protection locked="0"/>
    </xf>
    <xf numFmtId="14" fontId="68" fillId="7" borderId="1" xfId="6" applyNumberFormat="1" applyFont="1" applyFill="1" applyBorder="1" applyAlignment="1" applyProtection="1">
      <alignment horizontal="center" vertical="center" wrapText="1"/>
      <protection locked="0"/>
    </xf>
    <xf numFmtId="0" fontId="71" fillId="7" borderId="5" xfId="0" applyFont="1" applyFill="1" applyBorder="1" applyAlignment="1" applyProtection="1">
      <alignment horizontal="left" vertical="top" wrapText="1"/>
      <protection locked="0"/>
    </xf>
    <xf numFmtId="0" fontId="0" fillId="7" borderId="0" xfId="0" applyFill="1"/>
    <xf numFmtId="49" fontId="71" fillId="2" borderId="2" xfId="0" applyNumberFormat="1" applyFont="1" applyFill="1" applyBorder="1" applyAlignment="1" applyProtection="1">
      <alignment horizontal="left" vertical="center" wrapText="1"/>
      <protection locked="0"/>
    </xf>
    <xf numFmtId="0" fontId="71" fillId="7" borderId="5" xfId="0" applyFont="1" applyFill="1" applyBorder="1" applyAlignment="1">
      <alignment vertical="center" wrapText="1"/>
    </xf>
    <xf numFmtId="0" fontId="68" fillId="0" borderId="1" xfId="0" quotePrefix="1" applyFont="1" applyBorder="1" applyAlignment="1">
      <alignment horizontal="left" vertical="center" wrapText="1"/>
    </xf>
    <xf numFmtId="0" fontId="69" fillId="0" borderId="8" xfId="1" applyFont="1" applyBorder="1" applyAlignment="1" applyProtection="1">
      <alignment horizontal="left" vertical="center" wrapText="1"/>
      <protection locked="0"/>
    </xf>
    <xf numFmtId="0" fontId="69" fillId="0" borderId="27" xfId="1" applyFont="1" applyBorder="1" applyAlignment="1" applyProtection="1">
      <alignment horizontal="center" vertical="center" wrapText="1"/>
      <protection locked="0"/>
    </xf>
    <xf numFmtId="0" fontId="106" fillId="0" borderId="0" xfId="0" applyFont="1"/>
    <xf numFmtId="6" fontId="71" fillId="0" borderId="16" xfId="0" applyNumberFormat="1" applyFont="1" applyBorder="1" applyAlignment="1">
      <alignment horizontal="center" vertical="center" wrapText="1"/>
    </xf>
    <xf numFmtId="0" fontId="68" fillId="0" borderId="10" xfId="0" applyFont="1" applyBorder="1" applyAlignment="1">
      <alignment horizontal="center" vertical="center" wrapText="1"/>
    </xf>
    <xf numFmtId="8" fontId="68" fillId="0" borderId="9" xfId="0" applyNumberFormat="1" applyFont="1" applyBorder="1" applyAlignment="1">
      <alignment horizontal="center" vertical="center"/>
    </xf>
    <xf numFmtId="0" fontId="68" fillId="0" borderId="9" xfId="0" applyFont="1" applyBorder="1" applyAlignment="1">
      <alignment horizontal="center" vertical="center" wrapText="1"/>
    </xf>
    <xf numFmtId="168" fontId="69" fillId="12" borderId="8" xfId="0" applyNumberFormat="1" applyFont="1" applyFill="1" applyBorder="1" applyAlignment="1" applyProtection="1">
      <alignment horizontal="center" vertical="center" wrapText="1"/>
      <protection locked="0"/>
    </xf>
    <xf numFmtId="0" fontId="68" fillId="0" borderId="43" xfId="0" applyFont="1" applyBorder="1" applyAlignment="1">
      <alignment horizontal="center" vertical="center"/>
    </xf>
    <xf numFmtId="0" fontId="69" fillId="0" borderId="44" xfId="0" applyFont="1" applyBorder="1" applyAlignment="1" applyProtection="1">
      <alignment horizontal="center" vertical="center"/>
      <protection locked="0"/>
    </xf>
    <xf numFmtId="0" fontId="69" fillId="2" borderId="44" xfId="0" applyFont="1" applyFill="1" applyBorder="1" applyAlignment="1" applyProtection="1">
      <alignment horizontal="center" vertical="center" wrapText="1"/>
      <protection locked="0"/>
    </xf>
    <xf numFmtId="0" fontId="69" fillId="0" borderId="45" xfId="0" applyFont="1" applyBorder="1" applyAlignment="1" applyProtection="1">
      <alignment horizontal="center" vertical="center" wrapText="1"/>
      <protection locked="0"/>
    </xf>
    <xf numFmtId="0" fontId="69" fillId="0" borderId="45" xfId="0" applyFont="1" applyBorder="1" applyAlignment="1">
      <alignment horizontal="left" vertical="center" wrapText="1"/>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165" fontId="69" fillId="0" borderId="44" xfId="0" applyNumberFormat="1" applyFont="1" applyBorder="1" applyAlignment="1" applyProtection="1">
      <alignment horizontal="center" vertical="center"/>
      <protection locked="0"/>
    </xf>
    <xf numFmtId="165" fontId="69" fillId="0" borderId="44" xfId="0" applyNumberFormat="1" applyFont="1" applyBorder="1" applyAlignment="1" applyProtection="1">
      <alignment horizontal="center" vertical="center" wrapText="1"/>
      <protection locked="0"/>
    </xf>
    <xf numFmtId="49" fontId="69" fillId="0" borderId="44" xfId="0" applyNumberFormat="1" applyFont="1" applyBorder="1" applyAlignment="1" applyProtection="1">
      <alignment horizontal="center" vertical="center" wrapText="1"/>
      <protection locked="0"/>
    </xf>
    <xf numFmtId="0" fontId="71" fillId="11" borderId="44" xfId="0" applyFont="1" applyFill="1" applyBorder="1" applyAlignment="1">
      <alignment horizontal="center" vertical="center" wrapText="1"/>
    </xf>
    <xf numFmtId="0" fontId="108" fillId="0" borderId="0" xfId="0" applyFont="1" applyAlignment="1">
      <alignment horizontal="center" vertical="center" wrapText="1"/>
    </xf>
    <xf numFmtId="0" fontId="80" fillId="29" borderId="5" xfId="0" applyFont="1" applyFill="1" applyBorder="1" applyAlignment="1">
      <alignment horizontal="center" vertical="center" wrapText="1"/>
    </xf>
    <xf numFmtId="0" fontId="69" fillId="0" borderId="10" xfId="1" applyFont="1" applyBorder="1" applyAlignment="1">
      <alignment horizontal="center" vertical="center" wrapText="1"/>
    </xf>
    <xf numFmtId="0" fontId="69" fillId="0" borderId="7" xfId="1" applyFont="1" applyBorder="1" applyAlignment="1">
      <alignment horizontal="center" vertical="center" wrapText="1"/>
    </xf>
    <xf numFmtId="165" fontId="69" fillId="0" borderId="16" xfId="0" applyNumberFormat="1" applyFont="1" applyBorder="1" applyAlignment="1" applyProtection="1">
      <alignment horizontal="center" vertical="center" wrapText="1"/>
      <protection locked="0"/>
    </xf>
    <xf numFmtId="0" fontId="109" fillId="0" borderId="0" xfId="0" applyFont="1"/>
    <xf numFmtId="0" fontId="69" fillId="0" borderId="6" xfId="2" applyFont="1" applyBorder="1" applyAlignment="1">
      <alignment horizontal="left" vertical="center" wrapText="1"/>
    </xf>
    <xf numFmtId="6" fontId="68" fillId="0" borderId="1" xfId="0" applyNumberFormat="1" applyFont="1" applyBorder="1" applyAlignment="1">
      <alignment horizontal="center" vertical="center"/>
    </xf>
    <xf numFmtId="6" fontId="68" fillId="0" borderId="3" xfId="0" applyNumberFormat="1" applyFont="1" applyBorder="1" applyAlignment="1">
      <alignment horizontal="center" vertical="center"/>
    </xf>
    <xf numFmtId="168" fontId="69" fillId="2" borderId="16" xfId="0" applyNumberFormat="1" applyFont="1" applyFill="1" applyBorder="1" applyAlignment="1" applyProtection="1">
      <alignment horizontal="center" vertical="center" wrapText="1"/>
      <protection locked="0"/>
    </xf>
    <xf numFmtId="0" fontId="69" fillId="2" borderId="10" xfId="1" applyFont="1" applyFill="1" applyBorder="1" applyAlignment="1">
      <alignment horizontal="center" vertical="center" wrapText="1"/>
    </xf>
    <xf numFmtId="6" fontId="69" fillId="0" borderId="13" xfId="0" applyNumberFormat="1" applyFont="1" applyBorder="1" applyAlignment="1">
      <alignment horizontal="center" vertical="center" wrapText="1"/>
    </xf>
    <xf numFmtId="14" fontId="69" fillId="6" borderId="13" xfId="0" applyNumberFormat="1" applyFont="1" applyFill="1" applyBorder="1" applyAlignment="1" applyProtection="1">
      <alignment horizontal="center" vertical="center"/>
      <protection locked="0"/>
    </xf>
    <xf numFmtId="49" fontId="69" fillId="2" borderId="19" xfId="0" applyNumberFormat="1" applyFont="1" applyFill="1" applyBorder="1" applyAlignment="1" applyProtection="1">
      <alignment horizontal="left" vertical="center" wrapText="1"/>
      <protection locked="0"/>
    </xf>
    <xf numFmtId="0" fontId="71" fillId="0" borderId="10" xfId="0" applyFont="1" applyBorder="1" applyAlignment="1">
      <alignment horizontal="left" vertical="top" wrapText="1"/>
    </xf>
    <xf numFmtId="0" fontId="68" fillId="0" borderId="7" xfId="0" applyFont="1" applyBorder="1" applyAlignment="1">
      <alignment horizontal="center" vertical="center" wrapText="1"/>
    </xf>
    <xf numFmtId="0" fontId="69" fillId="0" borderId="31" xfId="0" applyFont="1" applyBorder="1" applyAlignment="1" applyProtection="1">
      <alignment horizontal="left" vertical="center" wrapText="1"/>
      <protection locked="0"/>
    </xf>
    <xf numFmtId="14" fontId="69" fillId="11" borderId="13" xfId="0" applyNumberFormat="1" applyFont="1" applyFill="1" applyBorder="1" applyAlignment="1" applyProtection="1">
      <alignment horizontal="center" vertical="center" wrapText="1"/>
      <protection locked="0"/>
    </xf>
    <xf numFmtId="0" fontId="68" fillId="12" borderId="13" xfId="0" applyFont="1" applyFill="1" applyBorder="1" applyAlignment="1">
      <alignment horizontal="center" vertical="center"/>
    </xf>
    <xf numFmtId="0" fontId="68" fillId="12" borderId="24" xfId="0" applyFont="1" applyFill="1" applyBorder="1" applyAlignment="1">
      <alignment horizontal="center" vertical="center"/>
    </xf>
    <xf numFmtId="14" fontId="68" fillId="0" borderId="31" xfId="0" applyNumberFormat="1" applyFont="1" applyBorder="1" applyAlignment="1">
      <alignment horizontal="center" vertical="center"/>
    </xf>
    <xf numFmtId="0" fontId="109" fillId="10" borderId="0" xfId="0" applyFont="1" applyFill="1"/>
    <xf numFmtId="168" fontId="69" fillId="0" borderId="16" xfId="0" applyNumberFormat="1" applyFont="1" applyBorder="1" applyAlignment="1" applyProtection="1">
      <alignment horizontal="center" vertical="center"/>
      <protection locked="0"/>
    </xf>
    <xf numFmtId="0" fontId="69" fillId="0" borderId="28" xfId="1" applyFont="1" applyBorder="1" applyAlignment="1">
      <alignment horizontal="center" vertical="center"/>
    </xf>
    <xf numFmtId="0" fontId="109" fillId="0" borderId="0" xfId="0" applyFont="1" applyAlignment="1">
      <alignment vertical="center"/>
    </xf>
    <xf numFmtId="165" fontId="68" fillId="0" borderId="13" xfId="0" applyNumberFormat="1" applyFont="1" applyBorder="1" applyAlignment="1" applyProtection="1">
      <alignment horizontal="center" vertical="center"/>
      <protection locked="0"/>
    </xf>
    <xf numFmtId="14" fontId="69" fillId="2" borderId="13" xfId="1" applyNumberFormat="1" applyFont="1" applyFill="1" applyBorder="1" applyAlignment="1">
      <alignment horizontal="center" vertical="center" wrapText="1"/>
    </xf>
    <xf numFmtId="0" fontId="69" fillId="2" borderId="13" xfId="0" applyFont="1" applyFill="1" applyBorder="1" applyAlignment="1">
      <alignment horizontal="center" vertical="center"/>
    </xf>
    <xf numFmtId="168" fontId="69" fillId="2" borderId="13" xfId="0" applyNumberFormat="1" applyFont="1" applyFill="1" applyBorder="1" applyAlignment="1">
      <alignment horizontal="center" vertical="center" wrapText="1"/>
    </xf>
    <xf numFmtId="0" fontId="71" fillId="0" borderId="2" xfId="0" applyFont="1" applyBorder="1" applyAlignment="1">
      <alignment vertical="center"/>
    </xf>
    <xf numFmtId="0" fontId="69" fillId="7" borderId="2" xfId="0" applyFont="1" applyFill="1" applyBorder="1" applyAlignment="1" applyProtection="1">
      <alignment horizontal="left" vertical="center" wrapText="1"/>
      <protection locked="0"/>
    </xf>
    <xf numFmtId="167" fontId="69" fillId="2" borderId="3" xfId="0" applyNumberFormat="1" applyFont="1" applyFill="1" applyBorder="1" applyAlignment="1">
      <alignment horizontal="center" vertical="center"/>
    </xf>
    <xf numFmtId="0" fontId="6" fillId="3" borderId="8" xfId="0" applyFont="1" applyFill="1" applyBorder="1" applyAlignment="1" applyProtection="1">
      <alignment horizontal="left" vertical="center" wrapText="1"/>
      <protection locked="0"/>
    </xf>
    <xf numFmtId="0" fontId="6" fillId="3" borderId="8" xfId="0" applyFont="1" applyFill="1" applyBorder="1" applyAlignment="1" applyProtection="1">
      <alignment horizontal="center" vertical="center" wrapText="1"/>
      <protection locked="0"/>
    </xf>
    <xf numFmtId="0" fontId="6" fillId="3" borderId="10" xfId="0" applyFont="1" applyFill="1" applyBorder="1" applyAlignment="1" applyProtection="1">
      <alignment horizontal="center" vertical="center" wrapText="1"/>
      <protection locked="0"/>
    </xf>
    <xf numFmtId="168" fontId="6" fillId="3" borderId="8" xfId="0" applyNumberFormat="1" applyFont="1" applyFill="1" applyBorder="1" applyAlignment="1" applyProtection="1">
      <alignment horizontal="center" vertical="center" wrapText="1"/>
      <protection locked="0"/>
    </xf>
    <xf numFmtId="168" fontId="8" fillId="5" borderId="10" xfId="0" applyNumberFormat="1" applyFont="1" applyFill="1" applyBorder="1" applyAlignment="1" applyProtection="1">
      <alignment horizontal="center" vertical="center" wrapText="1"/>
      <protection locked="0"/>
    </xf>
    <xf numFmtId="0" fontId="6" fillId="3" borderId="9" xfId="0" applyFont="1" applyFill="1" applyBorder="1" applyAlignment="1" applyProtection="1">
      <alignment horizontal="center" vertical="center" wrapText="1"/>
      <protection locked="0"/>
    </xf>
    <xf numFmtId="0" fontId="45" fillId="31" borderId="8" xfId="0" applyFont="1" applyFill="1" applyBorder="1" applyAlignment="1">
      <alignment vertical="center" wrapText="1"/>
    </xf>
    <xf numFmtId="0" fontId="8" fillId="5" borderId="8" xfId="0" applyFont="1" applyFill="1" applyBorder="1" applyAlignment="1" applyProtection="1">
      <alignment horizontal="center" vertical="center" wrapText="1"/>
      <protection locked="0"/>
    </xf>
    <xf numFmtId="167" fontId="69" fillId="15" borderId="6" xfId="0" applyNumberFormat="1" applyFont="1" applyFill="1" applyBorder="1" applyAlignment="1" applyProtection="1">
      <alignment horizontal="center" vertical="center" wrapText="1"/>
      <protection locked="0"/>
    </xf>
    <xf numFmtId="165" fontId="69" fillId="6" borderId="13" xfId="0" applyNumberFormat="1" applyFont="1" applyFill="1" applyBorder="1" applyAlignment="1" applyProtection="1">
      <alignment horizontal="center" vertical="center" wrapText="1"/>
      <protection locked="0"/>
    </xf>
    <xf numFmtId="165" fontId="69" fillId="12" borderId="13" xfId="0" applyNumberFormat="1" applyFont="1" applyFill="1" applyBorder="1" applyAlignment="1">
      <alignment horizontal="center" vertical="center" wrapText="1"/>
    </xf>
    <xf numFmtId="0" fontId="84" fillId="0" borderId="13" xfId="0" applyFont="1" applyBorder="1" applyAlignment="1">
      <alignment horizontal="center" vertical="center"/>
    </xf>
    <xf numFmtId="168" fontId="69" fillId="0" borderId="19" xfId="6" applyNumberFormat="1" applyFont="1" applyFill="1" applyBorder="1" applyAlignment="1" applyProtection="1">
      <alignment horizontal="center" vertical="center" wrapText="1"/>
      <protection locked="0"/>
    </xf>
    <xf numFmtId="168" fontId="69" fillId="0" borderId="25" xfId="6" applyNumberFormat="1" applyFont="1" applyFill="1" applyBorder="1" applyAlignment="1" applyProtection="1">
      <alignment horizontal="center" vertical="center" wrapText="1"/>
      <protection locked="0"/>
    </xf>
    <xf numFmtId="0" fontId="71" fillId="2" borderId="3" xfId="0" applyFont="1" applyFill="1" applyBorder="1" applyAlignment="1" applyProtection="1">
      <alignment horizontal="center" vertical="center" wrapText="1"/>
      <protection locked="0"/>
    </xf>
    <xf numFmtId="0" fontId="71" fillId="0" borderId="3" xfId="0" applyFont="1" applyBorder="1" applyAlignment="1" applyProtection="1">
      <alignment horizontal="center" vertical="center" wrapText="1"/>
      <protection locked="0"/>
    </xf>
    <xf numFmtId="168" fontId="69" fillId="0" borderId="15" xfId="0" applyNumberFormat="1" applyFont="1" applyBorder="1" applyAlignment="1" applyProtection="1">
      <alignment horizontal="center" vertical="center" wrapText="1"/>
      <protection locked="0"/>
    </xf>
    <xf numFmtId="0" fontId="69" fillId="0" borderId="19" xfId="2" applyFont="1" applyBorder="1" applyAlignment="1">
      <alignment horizontal="left" vertical="center" wrapText="1"/>
    </xf>
    <xf numFmtId="0" fontId="94" fillId="0" borderId="0" xfId="0" applyFont="1" applyAlignment="1">
      <alignment vertical="center"/>
    </xf>
    <xf numFmtId="16" fontId="68" fillId="0" borderId="0" xfId="0" applyNumberFormat="1" applyFont="1" applyAlignment="1">
      <alignment vertical="center"/>
    </xf>
    <xf numFmtId="0" fontId="69" fillId="0" borderId="0" xfId="0" applyFont="1" applyAlignment="1">
      <alignment vertical="center"/>
    </xf>
    <xf numFmtId="0" fontId="91" fillId="0" borderId="0" xfId="0" applyFont="1" applyAlignment="1">
      <alignment vertical="center"/>
    </xf>
    <xf numFmtId="0" fontId="92" fillId="10" borderId="0" xfId="0" applyFont="1" applyFill="1" applyAlignment="1">
      <alignment vertical="center"/>
    </xf>
    <xf numFmtId="0" fontId="98" fillId="0" borderId="0" xfId="0" applyFont="1" applyAlignment="1">
      <alignment vertical="center"/>
    </xf>
    <xf numFmtId="0" fontId="100" fillId="0" borderId="0" xfId="0" applyFont="1" applyAlignment="1">
      <alignment vertical="center"/>
    </xf>
    <xf numFmtId="0" fontId="99" fillId="0" borderId="0" xfId="0" applyFont="1" applyAlignment="1">
      <alignment vertical="center"/>
    </xf>
    <xf numFmtId="0" fontId="102" fillId="0" borderId="0" xfId="0" applyFont="1" applyAlignment="1">
      <alignment vertical="center"/>
    </xf>
    <xf numFmtId="0" fontId="104" fillId="0" borderId="0" xfId="0" applyFont="1" applyAlignment="1">
      <alignment vertical="center"/>
    </xf>
    <xf numFmtId="0" fontId="81" fillId="0" borderId="7" xfId="0" applyFont="1" applyBorder="1" applyAlignment="1">
      <alignment vertical="center"/>
    </xf>
    <xf numFmtId="0" fontId="103" fillId="0" borderId="0" xfId="0" applyFont="1" applyAlignment="1">
      <alignment vertical="center"/>
    </xf>
    <xf numFmtId="0" fontId="71" fillId="10" borderId="0" xfId="0" applyFont="1" applyFill="1" applyAlignment="1">
      <alignment vertical="center"/>
    </xf>
    <xf numFmtId="0" fontId="81" fillId="0" borderId="0" xfId="0" applyFont="1" applyAlignment="1">
      <alignment vertical="center"/>
    </xf>
    <xf numFmtId="0" fontId="106" fillId="0" borderId="0" xfId="0" applyFont="1" applyAlignment="1">
      <alignment vertical="center"/>
    </xf>
    <xf numFmtId="0" fontId="107" fillId="0" borderId="0" xfId="0" applyFont="1" applyAlignment="1">
      <alignment vertical="center"/>
    </xf>
    <xf numFmtId="0" fontId="68" fillId="0" borderId="30" xfId="0" applyFont="1" applyBorder="1" applyAlignment="1">
      <alignment vertical="center" wrapText="1"/>
    </xf>
    <xf numFmtId="14" fontId="69" fillId="0" borderId="8" xfId="1" applyNumberFormat="1" applyFont="1" applyBorder="1" applyAlignment="1">
      <alignment horizontal="center" vertical="center" wrapText="1"/>
    </xf>
    <xf numFmtId="0" fontId="69" fillId="0" borderId="10" xfId="0" applyFont="1" applyBorder="1" applyAlignment="1">
      <alignment horizontal="center" vertical="center"/>
    </xf>
    <xf numFmtId="168" fontId="69" fillId="0" borderId="21" xfId="0" applyNumberFormat="1" applyFont="1" applyBorder="1" applyAlignment="1" applyProtection="1">
      <alignment horizontal="center" vertical="center" wrapText="1"/>
      <protection locked="0"/>
    </xf>
    <xf numFmtId="168" fontId="69" fillId="0" borderId="12" xfId="6" applyNumberFormat="1" applyFont="1" applyBorder="1" applyAlignment="1" applyProtection="1">
      <alignment horizontal="center" vertical="center" wrapText="1"/>
      <protection locked="0"/>
    </xf>
    <xf numFmtId="168" fontId="69" fillId="2" borderId="26" xfId="0" applyNumberFormat="1" applyFont="1" applyFill="1" applyBorder="1" applyAlignment="1" applyProtection="1">
      <alignment horizontal="center" vertical="center"/>
      <protection locked="0"/>
    </xf>
    <xf numFmtId="1" fontId="69" fillId="0" borderId="13" xfId="0" applyNumberFormat="1" applyFont="1" applyBorder="1" applyAlignment="1">
      <alignment horizontal="center" vertical="center" wrapText="1"/>
    </xf>
    <xf numFmtId="168" fontId="69" fillId="2" borderId="14" xfId="2" applyNumberFormat="1" applyFont="1" applyFill="1" applyBorder="1" applyAlignment="1">
      <alignment horizontal="center" vertical="center" wrapText="1"/>
    </xf>
    <xf numFmtId="14" fontId="62" fillId="0" borderId="7" xfId="0" applyNumberFormat="1" applyFont="1" applyBorder="1" applyAlignment="1">
      <alignment horizontal="center" vertical="center" wrapText="1"/>
    </xf>
    <xf numFmtId="0" fontId="69" fillId="0" borderId="32" xfId="0" applyFont="1" applyBorder="1" applyAlignment="1" applyProtection="1">
      <alignment horizontal="center" vertical="center" wrapText="1"/>
      <protection locked="0"/>
    </xf>
    <xf numFmtId="0" fontId="69" fillId="2" borderId="30" xfId="0" applyFont="1" applyFill="1" applyBorder="1" applyAlignment="1" applyProtection="1">
      <alignment horizontal="center" vertical="center"/>
      <protection locked="0"/>
    </xf>
    <xf numFmtId="0" fontId="71" fillId="0" borderId="12" xfId="0" applyFont="1" applyBorder="1" applyAlignment="1">
      <alignment vertical="center" wrapText="1"/>
    </xf>
    <xf numFmtId="15" fontId="69" fillId="0" borderId="1" xfId="0" applyNumberFormat="1" applyFont="1" applyBorder="1" applyAlignment="1" applyProtection="1">
      <alignment horizontal="center" vertical="center"/>
      <protection locked="0"/>
    </xf>
    <xf numFmtId="0" fontId="0" fillId="28" borderId="48" xfId="0" applyFill="1" applyBorder="1" applyAlignment="1">
      <alignment horizontal="center" vertical="center" wrapText="1"/>
    </xf>
    <xf numFmtId="9" fontId="0" fillId="27" borderId="47" xfId="0" applyNumberFormat="1" applyFill="1" applyBorder="1" applyAlignment="1">
      <alignment horizontal="center" vertical="center"/>
    </xf>
    <xf numFmtId="0" fontId="0" fillId="28" borderId="1" xfId="0" applyFill="1" applyBorder="1" applyAlignment="1">
      <alignment horizontal="center" vertical="center" wrapText="1"/>
    </xf>
    <xf numFmtId="0" fontId="71" fillId="2" borderId="2" xfId="0" quotePrefix="1" applyFont="1" applyFill="1" applyBorder="1" applyAlignment="1" applyProtection="1">
      <alignment horizontal="left" vertical="center" wrapText="1"/>
      <protection locked="0"/>
    </xf>
    <xf numFmtId="0" fontId="71" fillId="0" borderId="3" xfId="0" applyFont="1" applyBorder="1" applyAlignment="1">
      <alignment vertical="center" wrapText="1"/>
    </xf>
    <xf numFmtId="165" fontId="69" fillId="0" borderId="12" xfId="0" applyNumberFormat="1" applyFont="1" applyBorder="1" applyAlignment="1" applyProtection="1">
      <alignment horizontal="center" vertical="center"/>
      <protection locked="0"/>
    </xf>
    <xf numFmtId="49" fontId="69" fillId="0" borderId="12" xfId="0" applyNumberFormat="1" applyFont="1" applyBorder="1" applyAlignment="1" applyProtection="1">
      <alignment horizontal="center" vertical="center" wrapText="1"/>
      <protection locked="0"/>
    </xf>
    <xf numFmtId="168" fontId="68" fillId="0" borderId="5" xfId="0" applyNumberFormat="1"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69" fillId="0" borderId="46" xfId="0" applyFont="1" applyBorder="1" applyAlignment="1" applyProtection="1">
      <alignment horizontal="center" vertical="center" wrapText="1"/>
      <protection locked="0"/>
    </xf>
    <xf numFmtId="0" fontId="110" fillId="0" borderId="0" xfId="0" applyFont="1"/>
    <xf numFmtId="168" fontId="69" fillId="0" borderId="8" xfId="6" applyNumberFormat="1" applyFont="1" applyBorder="1" applyAlignment="1" applyProtection="1">
      <alignment horizontal="center" vertical="center" wrapText="1"/>
      <protection locked="0"/>
    </xf>
    <xf numFmtId="0" fontId="69" fillId="0" borderId="35" xfId="2" applyFont="1" applyBorder="1" applyAlignment="1">
      <alignment horizontal="left" vertical="center" wrapText="1"/>
    </xf>
    <xf numFmtId="14" fontId="69" fillId="0" borderId="21" xfId="2" applyNumberFormat="1" applyFont="1" applyBorder="1" applyAlignment="1">
      <alignment horizontal="left" vertical="top" wrapText="1"/>
    </xf>
    <xf numFmtId="49" fontId="71" fillId="2" borderId="2" xfId="0" applyNumberFormat="1" applyFont="1" applyFill="1" applyBorder="1" applyAlignment="1" applyProtection="1">
      <alignment horizontal="left" vertical="top" wrapText="1"/>
      <protection locked="0"/>
    </xf>
    <xf numFmtId="0" fontId="72" fillId="0" borderId="2" xfId="0" applyFont="1" applyBorder="1" applyAlignment="1">
      <alignment horizontal="left" vertical="top" wrapText="1"/>
    </xf>
    <xf numFmtId="0" fontId="68" fillId="0" borderId="7" xfId="0" applyFont="1" applyBorder="1" applyAlignment="1">
      <alignment horizontal="left" vertical="top" wrapText="1"/>
    </xf>
    <xf numFmtId="6" fontId="71" fillId="0" borderId="30" xfId="0" applyNumberFormat="1" applyFont="1" applyBorder="1" applyAlignment="1">
      <alignment horizontal="center" vertical="center" wrapText="1"/>
    </xf>
    <xf numFmtId="0" fontId="69" fillId="0" borderId="31" xfId="1"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2" xfId="0" applyFont="1" applyBorder="1" applyAlignment="1">
      <alignment horizontal="center" vertical="center" wrapText="1"/>
    </xf>
    <xf numFmtId="14" fontId="1" fillId="0" borderId="0" xfId="0" applyNumberFormat="1" applyFont="1" applyAlignment="1">
      <alignment vertical="center"/>
    </xf>
    <xf numFmtId="0" fontId="1" fillId="0" borderId="1" xfId="0" applyFont="1" applyBorder="1" applyAlignment="1">
      <alignment vertical="center"/>
    </xf>
    <xf numFmtId="14" fontId="1" fillId="0" borderId="0" xfId="0" applyNumberFormat="1" applyFont="1"/>
    <xf numFmtId="0" fontId="1" fillId="0" borderId="1" xfId="0" applyFont="1" applyBorder="1"/>
    <xf numFmtId="0" fontId="1" fillId="0" borderId="1" xfId="0" applyFont="1" applyBorder="1" applyAlignment="1">
      <alignment horizontal="left" vertical="center" wrapText="1"/>
    </xf>
    <xf numFmtId="14" fontId="1" fillId="0" borderId="1" xfId="0" applyNumberFormat="1"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1" xfId="0" applyFont="1" applyBorder="1" applyAlignment="1" applyProtection="1">
      <alignment horizontal="left" vertical="center"/>
      <protection locked="0"/>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 fillId="0" borderId="0" xfId="0" applyFont="1" applyAlignment="1">
      <alignment horizontal="center" vertical="center"/>
    </xf>
    <xf numFmtId="0" fontId="1" fillId="7" borderId="1" xfId="0" applyFont="1" applyFill="1" applyBorder="1" applyAlignment="1">
      <alignment vertical="center" wrapText="1"/>
    </xf>
    <xf numFmtId="6" fontId="1" fillId="0" borderId="1" xfId="6" applyNumberFormat="1" applyFont="1" applyFill="1" applyBorder="1" applyAlignment="1" applyProtection="1">
      <alignment horizontal="center" vertical="center"/>
    </xf>
    <xf numFmtId="8" fontId="1" fillId="0" borderId="0" xfId="0" applyNumberFormat="1" applyFont="1" applyAlignment="1">
      <alignment horizontal="center" vertical="center"/>
    </xf>
    <xf numFmtId="168" fontId="1" fillId="0" borderId="0" xfId="0" applyNumberFormat="1" applyFont="1" applyAlignment="1">
      <alignment horizontal="center" vertical="center" wrapText="1"/>
    </xf>
    <xf numFmtId="0" fontId="1" fillId="0" borderId="1" xfId="0" applyFont="1" applyBorder="1" applyAlignment="1" applyProtection="1">
      <alignment vertical="center"/>
      <protection locked="0"/>
    </xf>
    <xf numFmtId="14" fontId="1" fillId="4" borderId="0" xfId="0" applyNumberFormat="1" applyFont="1" applyFill="1"/>
    <xf numFmtId="14" fontId="1" fillId="0" borderId="0" xfId="0" applyNumberFormat="1" applyFont="1" applyAlignment="1">
      <alignment horizontal="center" vertical="center"/>
    </xf>
    <xf numFmtId="0" fontId="1" fillId="0" borderId="0" xfId="0" applyFont="1" applyAlignment="1">
      <alignment vertical="center"/>
    </xf>
    <xf numFmtId="14" fontId="1" fillId="0" borderId="1" xfId="0" applyNumberFormat="1" applyFont="1" applyBorder="1"/>
    <xf numFmtId="0" fontId="1" fillId="0" borderId="24" xfId="0" applyFont="1" applyBorder="1" applyAlignment="1">
      <alignment vertical="center"/>
    </xf>
    <xf numFmtId="0" fontId="1" fillId="0" borderId="5" xfId="0" applyFont="1" applyBorder="1" applyAlignment="1">
      <alignment vertical="center"/>
    </xf>
    <xf numFmtId="14" fontId="1" fillId="0" borderId="1" xfId="0" applyNumberFormat="1" applyFont="1" applyBorder="1" applyAlignment="1">
      <alignment vertical="center"/>
    </xf>
    <xf numFmtId="167" fontId="1" fillId="0" borderId="0" xfId="0" applyNumberFormat="1" applyFont="1" applyAlignment="1">
      <alignment horizontal="center" vertical="center" wrapText="1"/>
    </xf>
    <xf numFmtId="0" fontId="1" fillId="4" borderId="1" xfId="0" applyFont="1" applyFill="1" applyBorder="1" applyAlignment="1">
      <alignment vertical="center"/>
    </xf>
    <xf numFmtId="0" fontId="1" fillId="4" borderId="1" xfId="0" applyFont="1" applyFill="1" applyBorder="1" applyAlignment="1">
      <alignment horizontal="center" vertical="center" wrapText="1"/>
    </xf>
    <xf numFmtId="0" fontId="1" fillId="0" borderId="0" xfId="0" applyFont="1" applyAlignment="1">
      <alignment vertical="center" wrapText="1"/>
    </xf>
    <xf numFmtId="0" fontId="1" fillId="12" borderId="1" xfId="0" applyFont="1" applyFill="1" applyBorder="1" applyAlignment="1">
      <alignment horizontal="center" vertical="center"/>
    </xf>
    <xf numFmtId="0" fontId="1" fillId="0" borderId="22" xfId="0" applyFont="1" applyBorder="1" applyAlignment="1">
      <alignment vertical="center"/>
    </xf>
    <xf numFmtId="0" fontId="1" fillId="0" borderId="3" xfId="0" applyFont="1" applyBorder="1" applyAlignment="1">
      <alignment vertical="center"/>
    </xf>
    <xf numFmtId="14" fontId="1" fillId="0" borderId="8" xfId="0" applyNumberFormat="1" applyFont="1" applyBorder="1" applyAlignment="1">
      <alignment horizontal="center" vertical="center"/>
    </xf>
    <xf numFmtId="0" fontId="1" fillId="0" borderId="2" xfId="1" applyFont="1" applyBorder="1" applyAlignment="1">
      <alignment horizontal="center" vertical="center"/>
    </xf>
    <xf numFmtId="0" fontId="1" fillId="0" borderId="13" xfId="0" applyFont="1" applyBorder="1"/>
    <xf numFmtId="6" fontId="1" fillId="0" borderId="3" xfId="6" applyNumberFormat="1" applyFont="1" applyFill="1" applyBorder="1" applyAlignment="1" applyProtection="1">
      <alignment horizontal="center" vertical="center"/>
    </xf>
    <xf numFmtId="0" fontId="1" fillId="0" borderId="1" xfId="0" applyFont="1" applyBorder="1" applyAlignment="1" applyProtection="1">
      <alignment horizontal="center" vertical="center" wrapText="1"/>
      <protection locked="0"/>
    </xf>
    <xf numFmtId="0" fontId="1" fillId="0" borderId="2" xfId="0" applyFont="1" applyBorder="1" applyAlignment="1">
      <alignment horizontal="center"/>
    </xf>
    <xf numFmtId="0" fontId="1" fillId="0" borderId="3" xfId="0" applyFont="1" applyBorder="1" applyAlignment="1">
      <alignment horizontal="center"/>
    </xf>
    <xf numFmtId="0" fontId="1" fillId="0" borderId="3" xfId="0" applyFont="1" applyBorder="1"/>
    <xf numFmtId="0" fontId="1" fillId="0" borderId="1" xfId="0" applyFont="1" applyBorder="1" applyAlignment="1">
      <alignment horizontal="center"/>
    </xf>
    <xf numFmtId="6" fontId="1" fillId="0" borderId="1" xfId="0" applyNumberFormat="1" applyFont="1" applyBorder="1"/>
    <xf numFmtId="0" fontId="1" fillId="0" borderId="1" xfId="0" applyFont="1" applyBorder="1" applyAlignment="1">
      <alignment wrapText="1"/>
    </xf>
    <xf numFmtId="167" fontId="1" fillId="0" borderId="2" xfId="0" applyNumberFormat="1" applyFont="1" applyBorder="1"/>
    <xf numFmtId="0" fontId="1" fillId="0" borderId="3" xfId="0" applyFont="1" applyBorder="1" applyAlignment="1">
      <alignment horizontal="center" vertical="center" wrapText="1"/>
    </xf>
    <xf numFmtId="0" fontId="1" fillId="0" borderId="2" xfId="0" applyFont="1" applyBorder="1"/>
    <xf numFmtId="0" fontId="1" fillId="0" borderId="0" xfId="0" applyFont="1"/>
    <xf numFmtId="49" fontId="1" fillId="0" borderId="1" xfId="0" applyNumberFormat="1" applyFont="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wrapText="1"/>
      <protection locked="0"/>
    </xf>
    <xf numFmtId="0" fontId="1" fillId="0" borderId="13" xfId="0" applyFont="1" applyBorder="1" applyProtection="1">
      <protection locked="0"/>
    </xf>
    <xf numFmtId="0" fontId="1" fillId="0" borderId="13" xfId="0" applyFont="1" applyBorder="1" applyAlignment="1" applyProtection="1">
      <alignment horizontal="center" wrapText="1"/>
      <protection locked="0"/>
    </xf>
    <xf numFmtId="0" fontId="1" fillId="0" borderId="13" xfId="0" applyFont="1" applyBorder="1" applyAlignment="1" applyProtection="1">
      <alignment horizontal="center"/>
      <protection locked="0"/>
    </xf>
    <xf numFmtId="0" fontId="1" fillId="0" borderId="13" xfId="0" applyFont="1" applyBorder="1" applyAlignment="1" applyProtection="1">
      <alignment wrapText="1"/>
      <protection locked="0"/>
    </xf>
    <xf numFmtId="14" fontId="1" fillId="0" borderId="13" xfId="0" applyNumberFormat="1" applyFont="1" applyBorder="1" applyAlignment="1" applyProtection="1">
      <alignment horizontal="center"/>
      <protection locked="0"/>
    </xf>
    <xf numFmtId="0" fontId="1" fillId="0" borderId="13" xfId="0" applyFont="1" applyBorder="1" applyAlignment="1" applyProtection="1">
      <alignment horizontal="center" vertical="center"/>
      <protection locked="0"/>
    </xf>
    <xf numFmtId="0" fontId="1" fillId="0" borderId="13"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protection locked="0"/>
    </xf>
    <xf numFmtId="0" fontId="1" fillId="0" borderId="8" xfId="0" applyFont="1" applyBorder="1" applyAlignment="1" applyProtection="1">
      <alignment horizontal="center" vertical="center" wrapText="1"/>
      <protection locked="0"/>
    </xf>
    <xf numFmtId="0" fontId="1" fillId="0" borderId="13" xfId="0" applyFont="1" applyBorder="1" applyAlignment="1" applyProtection="1">
      <alignment horizontal="left"/>
      <protection locked="0"/>
    </xf>
    <xf numFmtId="167" fontId="1" fillId="0" borderId="13" xfId="0" applyNumberFormat="1" applyFont="1" applyBorder="1" applyProtection="1">
      <protection locked="0"/>
    </xf>
    <xf numFmtId="0" fontId="1" fillId="0" borderId="3" xfId="0" applyFont="1" applyBorder="1" applyProtection="1">
      <protection locked="0"/>
    </xf>
    <xf numFmtId="0" fontId="1" fillId="0" borderId="1" xfId="0" applyFont="1" applyBorder="1" applyAlignment="1" applyProtection="1">
      <alignment horizontal="center" wrapText="1"/>
      <protection locked="0"/>
    </xf>
    <xf numFmtId="0" fontId="1" fillId="0" borderId="1" xfId="0" applyFont="1" applyBorder="1" applyAlignment="1" applyProtection="1">
      <alignment horizontal="center"/>
      <protection locked="0"/>
    </xf>
    <xf numFmtId="0" fontId="1" fillId="0" borderId="1" xfId="0" applyFont="1" applyBorder="1" applyAlignment="1" applyProtection="1">
      <alignment wrapText="1"/>
      <protection locked="0"/>
    </xf>
    <xf numFmtId="14" fontId="1" fillId="0" borderId="1" xfId="0" applyNumberFormat="1" applyFont="1" applyBorder="1" applyAlignment="1" applyProtection="1">
      <alignment horizontal="center"/>
      <protection locked="0"/>
    </xf>
    <xf numFmtId="0" fontId="1" fillId="0" borderId="1" xfId="0" applyFont="1" applyBorder="1" applyAlignment="1" applyProtection="1">
      <alignment horizontal="center" vertical="center"/>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1" xfId="0" applyFont="1" applyBorder="1" applyProtection="1">
      <protection locked="0"/>
    </xf>
    <xf numFmtId="0" fontId="1" fillId="0" borderId="1" xfId="0" applyFont="1" applyBorder="1" applyAlignment="1" applyProtection="1">
      <alignment horizontal="left"/>
      <protection locked="0"/>
    </xf>
    <xf numFmtId="167" fontId="1" fillId="0" borderId="1" xfId="0" applyNumberFormat="1" applyFont="1" applyBorder="1" applyProtection="1">
      <protection locked="0"/>
    </xf>
    <xf numFmtId="0" fontId="1" fillId="0" borderId="0" xfId="0" applyFont="1" applyProtection="1">
      <protection locked="0"/>
    </xf>
    <xf numFmtId="0" fontId="1" fillId="0" borderId="1" xfId="0" applyFont="1" applyBorder="1" applyAlignment="1">
      <alignment horizontal="center" wrapText="1"/>
    </xf>
    <xf numFmtId="6" fontId="1" fillId="0" borderId="1" xfId="0" applyNumberFormat="1" applyFont="1" applyBorder="1" applyAlignment="1">
      <alignment horizontal="center" vertical="center"/>
    </xf>
    <xf numFmtId="0" fontId="1" fillId="0" borderId="5" xfId="0" applyFont="1" applyBorder="1"/>
    <xf numFmtId="0" fontId="1" fillId="0" borderId="7" xfId="0" applyFont="1" applyBorder="1" applyAlignment="1">
      <alignment horizontal="center" wrapText="1"/>
    </xf>
    <xf numFmtId="0" fontId="1" fillId="0" borderId="7" xfId="0" applyFont="1" applyBorder="1" applyAlignment="1">
      <alignment horizontal="center"/>
    </xf>
    <xf numFmtId="0" fontId="1" fillId="0" borderId="7" xfId="0" applyFont="1" applyBorder="1"/>
    <xf numFmtId="14" fontId="1" fillId="0" borderId="7" xfId="0" applyNumberFormat="1"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6" fontId="1" fillId="0" borderId="7" xfId="0" applyNumberFormat="1" applyFont="1" applyBorder="1" applyAlignment="1">
      <alignment horizontal="center" vertical="center"/>
    </xf>
    <xf numFmtId="0" fontId="1" fillId="0" borderId="5" xfId="0" applyFont="1" applyBorder="1" applyAlignment="1">
      <alignment horizontal="center" vertical="center"/>
    </xf>
    <xf numFmtId="0" fontId="1" fillId="0" borderId="7" xfId="0" applyFont="1" applyBorder="1" applyAlignment="1">
      <alignment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pplyProtection="1">
      <alignment horizontal="left" wrapText="1"/>
      <protection locked="0"/>
    </xf>
    <xf numFmtId="168" fontId="1" fillId="0" borderId="1" xfId="0" applyNumberFormat="1" applyFont="1" applyBorder="1" applyAlignment="1" applyProtection="1">
      <alignment horizontal="center" vertical="center"/>
      <protection locked="0"/>
    </xf>
    <xf numFmtId="0" fontId="1" fillId="4" borderId="0" xfId="0" applyFont="1" applyFill="1"/>
    <xf numFmtId="0" fontId="1" fillId="0" borderId="6" xfId="0" applyFont="1" applyBorder="1" applyAlignment="1">
      <alignment horizontal="center" vertical="center" wrapText="1"/>
    </xf>
    <xf numFmtId="167" fontId="1" fillId="0" borderId="1" xfId="0" applyNumberFormat="1" applyFont="1" applyBorder="1"/>
    <xf numFmtId="167"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 fillId="0" borderId="13" xfId="0" applyFont="1" applyBorder="1" applyAlignment="1" applyProtection="1">
      <alignment vertical="center"/>
      <protection locked="0"/>
    </xf>
    <xf numFmtId="0" fontId="1" fillId="9" borderId="13" xfId="0" applyFont="1" applyFill="1" applyBorder="1" applyAlignment="1" applyProtection="1">
      <alignment vertical="center" wrapText="1"/>
      <protection locked="0"/>
    </xf>
    <xf numFmtId="14" fontId="1" fillId="0" borderId="13" xfId="0" applyNumberFormat="1" applyFont="1" applyBorder="1" applyAlignment="1" applyProtection="1">
      <alignment horizontal="center" vertical="center"/>
      <protection locked="0"/>
    </xf>
    <xf numFmtId="0" fontId="1" fillId="0" borderId="13" xfId="0" applyFont="1" applyBorder="1" applyAlignment="1" applyProtection="1">
      <alignment vertical="center" wrapText="1"/>
      <protection locked="0"/>
    </xf>
    <xf numFmtId="0" fontId="1" fillId="0" borderId="8" xfId="0" applyFont="1" applyBorder="1" applyAlignment="1" applyProtection="1">
      <alignment vertical="center"/>
      <protection locked="0"/>
    </xf>
    <xf numFmtId="0" fontId="1" fillId="0" borderId="13" xfId="0" applyFont="1" applyBorder="1" applyAlignment="1" applyProtection="1">
      <alignment horizontal="left" vertical="center" wrapText="1"/>
      <protection locked="0"/>
    </xf>
    <xf numFmtId="14" fontId="1" fillId="0" borderId="1" xfId="0" applyNumberFormat="1" applyFont="1" applyBorder="1" applyAlignment="1" applyProtection="1">
      <alignment horizontal="center" vertical="center"/>
      <protection locked="0"/>
    </xf>
    <xf numFmtId="0" fontId="1" fillId="0" borderId="3" xfId="0" applyFont="1" applyBorder="1" applyAlignment="1" applyProtection="1">
      <alignment horizontal="left" vertical="center"/>
      <protection locked="0"/>
    </xf>
    <xf numFmtId="0" fontId="1" fillId="0" borderId="14" xfId="0" applyFont="1" applyBorder="1" applyAlignment="1" applyProtection="1">
      <alignment wrapText="1"/>
      <protection locked="0"/>
    </xf>
    <xf numFmtId="0" fontId="1" fillId="0" borderId="16" xfId="0" applyFont="1" applyBorder="1" applyAlignment="1" applyProtection="1">
      <alignment horizontal="center" vertical="center"/>
      <protection locked="0"/>
    </xf>
    <xf numFmtId="0" fontId="1" fillId="0" borderId="20" xfId="0" applyFont="1" applyBorder="1" applyAlignment="1" applyProtection="1">
      <alignment horizontal="center"/>
      <protection locked="0"/>
    </xf>
    <xf numFmtId="0" fontId="1" fillId="0" borderId="18" xfId="0" applyFont="1" applyBorder="1" applyAlignment="1" applyProtection="1">
      <alignment horizontal="center" wrapText="1"/>
      <protection locked="0"/>
    </xf>
    <xf numFmtId="168" fontId="1" fillId="0" borderId="13" xfId="0" applyNumberFormat="1" applyFont="1" applyBorder="1" applyAlignment="1" applyProtection="1">
      <alignment horizontal="center" vertical="center"/>
      <protection locked="0"/>
    </xf>
    <xf numFmtId="0" fontId="1" fillId="0" borderId="2" xfId="0" applyFont="1" applyBorder="1" applyAlignment="1" applyProtection="1">
      <alignment horizontal="center"/>
      <protection locked="0"/>
    </xf>
    <xf numFmtId="0" fontId="1" fillId="0" borderId="0" xfId="0" applyFont="1" applyAlignment="1" applyProtection="1">
      <alignment wrapText="1"/>
      <protection locked="0"/>
    </xf>
    <xf numFmtId="0" fontId="1" fillId="0" borderId="3" xfId="0" applyFont="1" applyBorder="1" applyAlignment="1" applyProtection="1">
      <alignment wrapText="1"/>
      <protection locked="0"/>
    </xf>
    <xf numFmtId="0" fontId="1" fillId="0" borderId="2" xfId="0" applyFont="1" applyBorder="1" applyAlignment="1" applyProtection="1">
      <alignment horizontal="center" vertical="center"/>
      <protection locked="0"/>
    </xf>
    <xf numFmtId="0" fontId="1" fillId="0" borderId="2" xfId="0" applyFont="1" applyBorder="1" applyProtection="1">
      <protection locked="0"/>
    </xf>
    <xf numFmtId="165" fontId="1" fillId="0" borderId="1" xfId="0" applyNumberFormat="1" applyFont="1" applyBorder="1" applyAlignment="1">
      <alignment horizontal="center" vertical="center" wrapText="1"/>
    </xf>
    <xf numFmtId="168" fontId="1" fillId="0" borderId="1" xfId="6" applyNumberFormat="1" applyFont="1" applyFill="1" applyBorder="1" applyAlignment="1" applyProtection="1">
      <alignment horizontal="center" vertical="center" wrapText="1"/>
    </xf>
    <xf numFmtId="168" fontId="1" fillId="0" borderId="1" xfId="0" applyNumberFormat="1" applyFont="1" applyBorder="1" applyAlignment="1">
      <alignment horizontal="center" vertical="center" wrapText="1"/>
    </xf>
    <xf numFmtId="168" fontId="1" fillId="0" borderId="2" xfId="0" applyNumberFormat="1" applyFont="1" applyBorder="1" applyAlignment="1">
      <alignment horizontal="center" vertical="center"/>
    </xf>
    <xf numFmtId="14" fontId="1" fillId="0" borderId="0" xfId="0" applyNumberFormat="1" applyFont="1" applyAlignment="1" applyProtection="1">
      <alignment horizontal="center" vertical="center" wrapText="1"/>
      <protection locked="0"/>
    </xf>
    <xf numFmtId="0" fontId="1" fillId="0" borderId="0" xfId="0" applyFont="1" applyAlignment="1" applyProtection="1">
      <alignment horizontal="left"/>
      <protection locked="0"/>
    </xf>
    <xf numFmtId="168" fontId="1" fillId="0" borderId="2"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1" xfId="0" applyFont="1" applyBorder="1" applyAlignment="1" applyProtection="1">
      <alignment vertical="center" wrapText="1"/>
      <protection locked="0"/>
    </xf>
    <xf numFmtId="0" fontId="1" fillId="0" borderId="1" xfId="0" applyFont="1" applyBorder="1" applyAlignment="1" applyProtection="1">
      <alignment horizontal="left" vertical="center" wrapText="1"/>
      <protection locked="0"/>
    </xf>
    <xf numFmtId="0" fontId="1" fillId="0" borderId="2" xfId="0" applyFont="1" applyBorder="1" applyAlignment="1" applyProtection="1">
      <alignment vertical="center"/>
      <protection locked="0"/>
    </xf>
    <xf numFmtId="0" fontId="1" fillId="0" borderId="1" xfId="0" applyFont="1" applyBorder="1" applyAlignment="1">
      <alignment horizontal="left" vertical="center"/>
    </xf>
    <xf numFmtId="168" fontId="1" fillId="0" borderId="2" xfId="0" applyNumberFormat="1" applyFont="1" applyBorder="1" applyAlignment="1">
      <alignment horizontal="center" vertical="center" wrapText="1"/>
    </xf>
    <xf numFmtId="14" fontId="1" fillId="2" borderId="1" xfId="0" applyNumberFormat="1" applyFont="1" applyFill="1" applyBorder="1" applyAlignment="1" applyProtection="1">
      <alignment horizontal="center" vertical="center" wrapText="1"/>
      <protection locked="0"/>
    </xf>
    <xf numFmtId="0" fontId="1" fillId="0" borderId="2" xfId="0" applyFont="1" applyBorder="1" applyAlignment="1" applyProtection="1">
      <alignment horizontal="center" wrapText="1"/>
      <protection locked="0"/>
    </xf>
    <xf numFmtId="0" fontId="1" fillId="0" borderId="3" xfId="0" applyFont="1" applyBorder="1" applyAlignment="1" applyProtection="1">
      <alignment horizontal="center"/>
      <protection locked="0"/>
    </xf>
    <xf numFmtId="0" fontId="1" fillId="0" borderId="2" xfId="0" applyFont="1" applyBorder="1" applyAlignment="1">
      <alignment vertical="center" wrapText="1"/>
    </xf>
    <xf numFmtId="0" fontId="1" fillId="0" borderId="2" xfId="0" applyFont="1" applyBorder="1" applyAlignment="1">
      <alignment horizontal="left" vertical="center" wrapText="1"/>
    </xf>
    <xf numFmtId="14" fontId="1" fillId="0" borderId="2" xfId="0" applyNumberFormat="1" applyFont="1" applyBorder="1" applyAlignment="1" applyProtection="1">
      <alignment horizontal="center" vertical="center" wrapText="1"/>
      <protection locked="0"/>
    </xf>
    <xf numFmtId="0" fontId="1" fillId="0" borderId="2" xfId="0" applyFont="1" applyBorder="1" applyAlignment="1">
      <alignment vertical="center"/>
    </xf>
    <xf numFmtId="167" fontId="1" fillId="0" borderId="2" xfId="0" applyNumberFormat="1" applyFont="1" applyBorder="1" applyAlignment="1">
      <alignment horizontal="center" vertical="center" wrapText="1"/>
    </xf>
    <xf numFmtId="0" fontId="1" fillId="0" borderId="3" xfId="0" applyFont="1" applyBorder="1" applyAlignment="1" applyProtection="1">
      <alignment horizontal="center" vertical="center" wrapText="1"/>
      <protection locked="0"/>
    </xf>
    <xf numFmtId="165" fontId="1" fillId="0" borderId="2" xfId="0" applyNumberFormat="1" applyFont="1" applyBorder="1" applyAlignment="1">
      <alignment horizontal="center" vertical="center" wrapText="1"/>
    </xf>
    <xf numFmtId="6" fontId="1" fillId="4" borderId="1" xfId="6" applyNumberFormat="1" applyFont="1" applyFill="1" applyBorder="1" applyAlignment="1" applyProtection="1">
      <alignment horizontal="center" vertical="center"/>
    </xf>
    <xf numFmtId="6" fontId="1" fillId="2" borderId="1" xfId="6" applyNumberFormat="1" applyFont="1" applyFill="1" applyBorder="1" applyAlignment="1" applyProtection="1">
      <alignment horizontal="center" vertical="center"/>
    </xf>
    <xf numFmtId="0" fontId="1" fillId="2" borderId="1" xfId="0" applyFont="1" applyFill="1" applyBorder="1" applyAlignment="1">
      <alignment horizontal="center" vertical="center" wrapText="1"/>
    </xf>
    <xf numFmtId="0" fontId="1" fillId="2" borderId="0" xfId="0" applyFont="1" applyFill="1"/>
    <xf numFmtId="165" fontId="1" fillId="6" borderId="2" xfId="0" applyNumberFormat="1" applyFont="1" applyFill="1" applyBorder="1" applyAlignment="1">
      <alignment horizontal="center" vertical="center" wrapText="1"/>
    </xf>
    <xf numFmtId="165" fontId="1" fillId="6" borderId="1" xfId="0" applyNumberFormat="1" applyFont="1" applyFill="1" applyBorder="1" applyAlignment="1">
      <alignment horizontal="center" vertical="center" wrapText="1"/>
    </xf>
    <xf numFmtId="14" fontId="1" fillId="0" borderId="0" xfId="0" applyNumberFormat="1" applyFont="1" applyProtection="1">
      <protection locked="0"/>
    </xf>
    <xf numFmtId="167" fontId="1" fillId="0" borderId="2" xfId="0" applyNumberFormat="1" applyFont="1" applyBorder="1" applyAlignment="1">
      <alignment horizontal="center" vertical="center"/>
    </xf>
    <xf numFmtId="0" fontId="1" fillId="0" borderId="0" xfId="0" applyFont="1" applyAlignment="1" applyProtection="1">
      <alignment horizontal="left" vertical="center" wrapText="1"/>
      <protection locked="0"/>
    </xf>
    <xf numFmtId="0" fontId="1" fillId="8" borderId="1" xfId="0" applyFont="1" applyFill="1" applyBorder="1" applyAlignment="1" applyProtection="1">
      <alignment vertical="center"/>
      <protection locked="0"/>
    </xf>
    <xf numFmtId="168" fontId="1" fillId="0" borderId="0" xfId="0" applyNumberFormat="1" applyFont="1" applyAlignment="1">
      <alignment horizontal="left" vertical="center" wrapText="1"/>
    </xf>
    <xf numFmtId="0" fontId="1" fillId="8" borderId="7" xfId="0" applyFont="1" applyFill="1" applyBorder="1" applyAlignment="1" applyProtection="1">
      <alignment vertical="center"/>
      <protection locked="0"/>
    </xf>
    <xf numFmtId="0" fontId="1" fillId="0" borderId="0" xfId="0" applyFont="1" applyAlignment="1" applyProtection="1">
      <alignment horizontal="center" vertical="center" wrapText="1"/>
      <protection locked="0"/>
    </xf>
    <xf numFmtId="0" fontId="1" fillId="0" borderId="0" xfId="0" applyFont="1" applyAlignment="1">
      <alignment horizontal="left" vertical="center"/>
    </xf>
    <xf numFmtId="167" fontId="1" fillId="0" borderId="0" xfId="0" applyNumberFormat="1" applyFont="1" applyAlignment="1">
      <alignment horizontal="center" vertical="center"/>
    </xf>
    <xf numFmtId="6" fontId="1" fillId="0" borderId="0" xfId="0" applyNumberFormat="1" applyFont="1" applyAlignment="1">
      <alignment horizontal="center" vertical="center"/>
    </xf>
    <xf numFmtId="168" fontId="1" fillId="0" borderId="0" xfId="0" applyNumberFormat="1" applyFont="1" applyAlignment="1">
      <alignment horizontal="center" vertical="center"/>
    </xf>
    <xf numFmtId="168" fontId="1" fillId="0" borderId="0" xfId="0" applyNumberFormat="1" applyFont="1" applyAlignment="1" applyProtection="1">
      <alignment horizontal="center" vertical="center" wrapText="1"/>
      <protection locked="0"/>
    </xf>
    <xf numFmtId="0" fontId="1" fillId="2" borderId="1" xfId="0" applyFont="1" applyFill="1" applyBorder="1"/>
    <xf numFmtId="0" fontId="1" fillId="0" borderId="7" xfId="0" applyFont="1" applyBorder="1" applyAlignment="1">
      <alignment horizontal="center" vertical="center" wrapText="1"/>
    </xf>
    <xf numFmtId="14" fontId="1" fillId="2" borderId="0" xfId="0" applyNumberFormat="1" applyFont="1" applyFill="1"/>
    <xf numFmtId="0" fontId="1" fillId="0" borderId="0" xfId="0" applyFont="1" applyAlignment="1">
      <alignment wrapText="1"/>
    </xf>
    <xf numFmtId="167" fontId="1" fillId="0" borderId="0" xfId="0" applyNumberFormat="1" applyFont="1"/>
    <xf numFmtId="167" fontId="1" fillId="0" borderId="13" xfId="0" applyNumberFormat="1" applyFont="1" applyBorder="1" applyAlignment="1">
      <alignment horizontal="center" vertical="center"/>
    </xf>
    <xf numFmtId="0" fontId="1" fillId="0" borderId="13" xfId="0" applyFont="1" applyBorder="1" applyAlignment="1">
      <alignment vertical="center"/>
    </xf>
    <xf numFmtId="0" fontId="1" fillId="0" borderId="16" xfId="0" applyFont="1" applyBorder="1" applyAlignment="1">
      <alignment vertical="center"/>
    </xf>
    <xf numFmtId="14" fontId="1" fillId="0" borderId="13" xfId="0" applyNumberFormat="1" applyFont="1" applyBorder="1" applyAlignment="1">
      <alignment horizontal="center" vertical="center"/>
    </xf>
    <xf numFmtId="0" fontId="1" fillId="0" borderId="13" xfId="0" applyFont="1" applyBorder="1" applyAlignment="1">
      <alignment horizontal="center" vertical="center"/>
    </xf>
    <xf numFmtId="6" fontId="1" fillId="0" borderId="13" xfId="0" applyNumberFormat="1" applyFont="1" applyBorder="1" applyAlignment="1">
      <alignment horizontal="center" vertical="center"/>
    </xf>
    <xf numFmtId="0" fontId="1" fillId="0" borderId="13" xfId="0" applyFont="1" applyBorder="1" applyAlignment="1">
      <alignment horizontal="center" vertical="center" wrapText="1"/>
    </xf>
    <xf numFmtId="0" fontId="1" fillId="0" borderId="24" xfId="0" applyFont="1" applyBorder="1" applyAlignment="1">
      <alignment horizontal="center" vertical="center"/>
    </xf>
    <xf numFmtId="0" fontId="1" fillId="0" borderId="22" xfId="0" applyFont="1" applyBorder="1"/>
    <xf numFmtId="14" fontId="1" fillId="0" borderId="7" xfId="0" applyNumberFormat="1" applyFont="1" applyBorder="1" applyAlignment="1">
      <alignment vertical="center"/>
    </xf>
    <xf numFmtId="14" fontId="1" fillId="0" borderId="7" xfId="0" applyNumberFormat="1" applyFont="1" applyBorder="1"/>
    <xf numFmtId="0" fontId="1" fillId="0" borderId="5" xfId="0" applyFont="1" applyBorder="1" applyAlignment="1">
      <alignment vertical="center" wrapText="1"/>
    </xf>
    <xf numFmtId="6" fontId="1" fillId="0" borderId="5" xfId="0" applyNumberFormat="1" applyFont="1" applyBorder="1" applyAlignment="1">
      <alignment vertical="center"/>
    </xf>
    <xf numFmtId="0" fontId="1" fillId="0" borderId="5" xfId="0" applyFont="1" applyBorder="1" applyAlignment="1">
      <alignment horizontal="center" wrapText="1"/>
    </xf>
    <xf numFmtId="0" fontId="1" fillId="0" borderId="5" xfId="0" applyFont="1" applyBorder="1" applyAlignment="1">
      <alignment horizontal="center"/>
    </xf>
    <xf numFmtId="0" fontId="1" fillId="0" borderId="5" xfId="0" applyFont="1" applyBorder="1" applyAlignment="1">
      <alignment wrapText="1"/>
    </xf>
    <xf numFmtId="0" fontId="1" fillId="0" borderId="5" xfId="0" applyFont="1" applyBorder="1" applyAlignment="1">
      <alignment horizontal="center" vertical="center" wrapText="1"/>
    </xf>
    <xf numFmtId="0" fontId="1" fillId="0" borderId="5" xfId="0" applyFont="1" applyBorder="1" applyAlignment="1">
      <alignment horizontal="left" wrapText="1"/>
    </xf>
    <xf numFmtId="168" fontId="1" fillId="0" borderId="5" xfId="0" applyNumberFormat="1" applyFont="1" applyBorder="1" applyAlignment="1">
      <alignment horizontal="center" vertical="center"/>
    </xf>
    <xf numFmtId="0" fontId="1" fillId="0" borderId="13" xfId="0" applyFont="1" applyBorder="1" applyAlignment="1">
      <alignment vertical="center" wrapText="1"/>
    </xf>
    <xf numFmtId="168" fontId="1" fillId="0" borderId="13" xfId="0" applyNumberFormat="1" applyFont="1" applyBorder="1" applyAlignment="1">
      <alignment vertical="center" wrapText="1"/>
    </xf>
    <xf numFmtId="168" fontId="1" fillId="0" borderId="1" xfId="0" applyNumberFormat="1" applyFont="1" applyBorder="1" applyAlignment="1">
      <alignment vertical="center" wrapText="1"/>
    </xf>
    <xf numFmtId="0" fontId="1" fillId="9" borderId="0" xfId="0" applyFont="1" applyFill="1" applyAlignment="1">
      <alignment vertical="center" wrapText="1"/>
    </xf>
    <xf numFmtId="6" fontId="1" fillId="0" borderId="3" xfId="0" applyNumberFormat="1" applyFont="1" applyBorder="1" applyAlignment="1">
      <alignment horizontal="center" vertical="center"/>
    </xf>
    <xf numFmtId="168" fontId="1" fillId="0" borderId="3" xfId="0" applyNumberFormat="1" applyFont="1" applyBorder="1" applyAlignment="1">
      <alignment horizontal="center" vertical="center"/>
    </xf>
    <xf numFmtId="0" fontId="1" fillId="0" borderId="7" xfId="0" applyFont="1" applyBorder="1" applyAlignment="1">
      <alignment vertical="center"/>
    </xf>
    <xf numFmtId="168" fontId="1" fillId="0" borderId="7" xfId="0" applyNumberFormat="1" applyFont="1" applyBorder="1" applyAlignment="1">
      <alignment horizontal="center" vertical="center"/>
    </xf>
    <xf numFmtId="167" fontId="1" fillId="0" borderId="7" xfId="0" applyNumberFormat="1" applyFont="1" applyBorder="1" applyAlignment="1">
      <alignment horizontal="center" vertical="center"/>
    </xf>
    <xf numFmtId="0" fontId="1" fillId="0" borderId="7" xfId="0" applyFont="1" applyBorder="1" applyAlignment="1">
      <alignment vertical="center" wrapText="1"/>
    </xf>
    <xf numFmtId="0" fontId="1" fillId="4" borderId="1" xfId="0" applyFont="1" applyFill="1" applyBorder="1" applyAlignment="1">
      <alignment horizontal="left" vertical="center" wrapText="1"/>
    </xf>
    <xf numFmtId="167" fontId="1" fillId="0" borderId="1" xfId="0" applyNumberFormat="1" applyFont="1" applyBorder="1" applyAlignment="1">
      <alignment vertical="center"/>
    </xf>
    <xf numFmtId="0" fontId="1" fillId="0" borderId="14" xfId="0" applyFont="1" applyBorder="1" applyAlignment="1">
      <alignment vertical="center"/>
    </xf>
    <xf numFmtId="14" fontId="1" fillId="0" borderId="1" xfId="0" applyNumberFormat="1" applyFont="1" applyBorder="1" applyAlignment="1">
      <alignment horizontal="right" vertical="center" wrapText="1"/>
    </xf>
    <xf numFmtId="172" fontId="1" fillId="0" borderId="1" xfId="0" applyNumberFormat="1" applyFont="1" applyBorder="1" applyAlignment="1">
      <alignment horizontal="right" vertical="center" wrapText="1"/>
    </xf>
    <xf numFmtId="2" fontId="1" fillId="0" borderId="1" xfId="0" applyNumberFormat="1" applyFont="1" applyBorder="1" applyAlignment="1">
      <alignment horizontal="center" vertical="center" wrapText="1"/>
    </xf>
    <xf numFmtId="168" fontId="1" fillId="0" borderId="1" xfId="0" applyNumberFormat="1" applyFont="1" applyBorder="1" applyAlignment="1">
      <alignment horizontal="right" vertical="center" wrapText="1"/>
    </xf>
    <xf numFmtId="14" fontId="1" fillId="0" borderId="1" xfId="0" applyNumberFormat="1" applyFont="1" applyBorder="1" applyAlignment="1">
      <alignment horizontal="left" vertical="center" wrapText="1"/>
    </xf>
    <xf numFmtId="0" fontId="1" fillId="7" borderId="1" xfId="0" applyFont="1" applyFill="1" applyBorder="1" applyAlignment="1">
      <alignment horizontal="left" vertical="center" wrapText="1"/>
    </xf>
    <xf numFmtId="167" fontId="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14" fontId="1" fillId="0" borderId="13" xfId="0" applyNumberFormat="1" applyFont="1" applyBorder="1" applyAlignment="1">
      <alignment vertical="center"/>
    </xf>
    <xf numFmtId="0" fontId="1" fillId="0" borderId="16" xfId="0" applyFont="1" applyBorder="1" applyAlignment="1">
      <alignment horizontal="center" vertical="center"/>
    </xf>
    <xf numFmtId="0" fontId="68" fillId="0" borderId="12" xfId="0" applyFont="1" applyBorder="1" applyAlignment="1">
      <alignment horizontal="center" vertical="center" wrapText="1"/>
    </xf>
    <xf numFmtId="0" fontId="68" fillId="0" borderId="3" xfId="0" applyFont="1" applyBorder="1" applyAlignment="1">
      <alignment horizontal="left" vertical="center"/>
    </xf>
    <xf numFmtId="14" fontId="69" fillId="0" borderId="8" xfId="0" applyNumberFormat="1" applyFont="1" applyBorder="1" applyAlignment="1" applyProtection="1">
      <alignment horizontal="center" vertical="center"/>
      <protection locked="0"/>
    </xf>
    <xf numFmtId="165" fontId="68" fillId="0" borderId="10" xfId="0" applyNumberFormat="1" applyFont="1" applyBorder="1" applyAlignment="1">
      <alignment horizontal="center" vertical="center"/>
    </xf>
    <xf numFmtId="1" fontId="69" fillId="0" borderId="15" xfId="0" applyNumberFormat="1" applyFont="1" applyBorder="1" applyAlignment="1" applyProtection="1">
      <alignment horizontal="center" vertical="center" wrapText="1"/>
      <protection locked="0"/>
    </xf>
    <xf numFmtId="1" fontId="69" fillId="0" borderId="26" xfId="0" applyNumberFormat="1" applyFont="1" applyBorder="1" applyAlignment="1" applyProtection="1">
      <alignment horizontal="center" vertical="center" wrapText="1"/>
      <protection locked="0"/>
    </xf>
    <xf numFmtId="168" fontId="69" fillId="2" borderId="8" xfId="0" applyNumberFormat="1" applyFont="1" applyFill="1" applyBorder="1" applyAlignment="1" applyProtection="1">
      <alignment horizontal="center" vertical="center"/>
      <protection locked="0"/>
    </xf>
    <xf numFmtId="14" fontId="69" fillId="0" borderId="5" xfId="2" applyNumberFormat="1" applyFont="1" applyBorder="1" applyAlignment="1">
      <alignment horizontal="left" vertical="top" wrapText="1"/>
    </xf>
    <xf numFmtId="0" fontId="71" fillId="0" borderId="8" xfId="0" applyFont="1" applyBorder="1" applyAlignment="1" applyProtection="1">
      <alignment horizontal="left" vertical="top" wrapText="1"/>
      <protection locked="0"/>
    </xf>
    <xf numFmtId="49" fontId="69" fillId="0" borderId="1" xfId="0" applyNumberFormat="1" applyFont="1" applyBorder="1" applyAlignment="1" applyProtection="1">
      <alignment horizontal="left" vertical="top" wrapText="1"/>
      <protection locked="0"/>
    </xf>
    <xf numFmtId="0" fontId="111" fillId="0" borderId="0" xfId="0" applyFont="1"/>
    <xf numFmtId="0" fontId="15" fillId="7" borderId="49" xfId="0" applyFont="1" applyFill="1" applyBorder="1"/>
    <xf numFmtId="0" fontId="0" fillId="7" borderId="50" xfId="0" applyFill="1" applyBorder="1"/>
    <xf numFmtId="0" fontId="0" fillId="7" borderId="51" xfId="0" applyFill="1" applyBorder="1"/>
    <xf numFmtId="0" fontId="0" fillId="7" borderId="52" xfId="0" applyFill="1" applyBorder="1"/>
    <xf numFmtId="0" fontId="0" fillId="7" borderId="53" xfId="0" applyFill="1" applyBorder="1"/>
    <xf numFmtId="0" fontId="0" fillId="7" borderId="54" xfId="0" applyFill="1" applyBorder="1"/>
    <xf numFmtId="0" fontId="0" fillId="7" borderId="55" xfId="0" applyFill="1" applyBorder="1"/>
    <xf numFmtId="0" fontId="0" fillId="7" borderId="56" xfId="0" applyFill="1" applyBorder="1"/>
    <xf numFmtId="0" fontId="0" fillId="7" borderId="57" xfId="0" applyFill="1" applyBorder="1"/>
    <xf numFmtId="0" fontId="0" fillId="7" borderId="58" xfId="0" applyFill="1" applyBorder="1"/>
    <xf numFmtId="0" fontId="0" fillId="7" borderId="59" xfId="0" applyFill="1" applyBorder="1"/>
    <xf numFmtId="0" fontId="15" fillId="7" borderId="52" xfId="0" applyFont="1" applyFill="1" applyBorder="1"/>
    <xf numFmtId="0" fontId="15" fillId="7" borderId="54" xfId="0" applyFont="1" applyFill="1" applyBorder="1"/>
    <xf numFmtId="0" fontId="0" fillId="7" borderId="0" xfId="0" applyFill="1" applyAlignment="1">
      <alignment wrapText="1"/>
    </xf>
    <xf numFmtId="168" fontId="69" fillId="0" borderId="1" xfId="0" applyNumberFormat="1" applyFont="1" applyBorder="1" applyAlignment="1">
      <alignment horizontal="center" vertical="center"/>
    </xf>
    <xf numFmtId="167" fontId="69" fillId="0" borderId="1" xfId="6" applyNumberFormat="1" applyFont="1" applyFill="1" applyBorder="1" applyAlignment="1" applyProtection="1">
      <alignment horizontal="center" vertical="center" wrapText="1"/>
      <protection locked="0"/>
    </xf>
    <xf numFmtId="0" fontId="69" fillId="0" borderId="1" xfId="6" applyNumberFormat="1" applyFont="1" applyFill="1" applyBorder="1" applyAlignment="1">
      <alignment horizontal="center" vertical="center" wrapText="1"/>
    </xf>
    <xf numFmtId="0" fontId="69" fillId="0" borderId="1" xfId="0" quotePrefix="1" applyFont="1" applyBorder="1" applyAlignment="1" applyProtection="1">
      <alignment horizontal="center" vertical="center" wrapText="1"/>
      <protection locked="0"/>
    </xf>
    <xf numFmtId="0" fontId="67" fillId="34" borderId="0" xfId="2" applyFont="1" applyFill="1" applyAlignment="1" applyProtection="1">
      <alignment vertical="top" wrapText="1"/>
      <protection locked="0"/>
    </xf>
    <xf numFmtId="0" fontId="67" fillId="34" borderId="0" xfId="0" applyFont="1" applyFill="1" applyAlignment="1" applyProtection="1">
      <alignment vertical="top" wrapText="1"/>
      <protection locked="0"/>
    </xf>
    <xf numFmtId="14" fontId="67" fillId="34" borderId="0" xfId="0" applyNumberFormat="1" applyFont="1" applyFill="1" applyAlignment="1" applyProtection="1">
      <alignment vertical="top" wrapText="1"/>
      <protection locked="0"/>
    </xf>
    <xf numFmtId="0" fontId="69" fillId="2" borderId="6" xfId="0" applyFont="1" applyFill="1" applyBorder="1" applyAlignment="1" applyProtection="1">
      <alignment horizontal="left" vertical="top" wrapText="1"/>
      <protection locked="0"/>
    </xf>
    <xf numFmtId="165" fontId="69" fillId="0" borderId="6" xfId="0" applyNumberFormat="1" applyFont="1" applyBorder="1" applyAlignment="1" applyProtection="1">
      <alignment horizontal="center" vertical="center" wrapText="1"/>
      <protection locked="0"/>
    </xf>
    <xf numFmtId="0" fontId="67" fillId="34" borderId="0" xfId="0" applyFont="1" applyFill="1" applyAlignment="1" applyProtection="1">
      <alignment horizontal="center" vertical="top" wrapText="1"/>
      <protection locked="0"/>
    </xf>
    <xf numFmtId="168" fontId="67" fillId="34" borderId="0" xfId="0" applyNumberFormat="1" applyFont="1" applyFill="1" applyAlignment="1" applyProtection="1">
      <alignment horizontal="center" vertical="top" wrapText="1"/>
      <protection locked="0"/>
    </xf>
    <xf numFmtId="0" fontId="69" fillId="0" borderId="1" xfId="0" applyFont="1" applyBorder="1" applyAlignment="1" applyProtection="1">
      <alignment horizontal="center" vertical="top" wrapText="1"/>
      <protection locked="0"/>
    </xf>
    <xf numFmtId="0" fontId="113" fillId="0" borderId="0" xfId="0" applyFont="1"/>
    <xf numFmtId="164" fontId="69" fillId="0" borderId="1" xfId="6" applyNumberFormat="1" applyFont="1" applyFill="1" applyBorder="1" applyAlignment="1" applyProtection="1">
      <alignment horizontal="center" vertical="center" wrapText="1"/>
      <protection locked="0"/>
    </xf>
    <xf numFmtId="0" fontId="17" fillId="14" borderId="0" xfId="0" applyFont="1" applyFill="1" applyAlignment="1">
      <alignment horizontal="center" vertical="center" wrapText="1"/>
    </xf>
    <xf numFmtId="0" fontId="69" fillId="0" borderId="1" xfId="6" applyNumberFormat="1" applyFont="1" applyFill="1" applyBorder="1" applyAlignment="1" applyProtection="1">
      <alignment horizontal="center" vertical="center" wrapText="1"/>
      <protection locked="0"/>
    </xf>
    <xf numFmtId="0" fontId="68" fillId="35" borderId="0" xfId="0" applyFont="1" applyFill="1"/>
    <xf numFmtId="0" fontId="68" fillId="0" borderId="0" xfId="0" applyFont="1" applyFill="1"/>
    <xf numFmtId="165" fontId="59" fillId="0" borderId="1" xfId="0" applyNumberFormat="1" applyFont="1" applyBorder="1" applyAlignment="1">
      <alignment horizontal="center" vertical="center" wrapText="1"/>
    </xf>
    <xf numFmtId="0" fontId="59" fillId="0" borderId="1" xfId="0" applyFont="1" applyBorder="1" applyAlignment="1">
      <alignment horizontal="left" vertical="center" wrapText="1"/>
    </xf>
    <xf numFmtId="14" fontId="59" fillId="0" borderId="1" xfId="0" applyNumberFormat="1" applyFont="1" applyBorder="1" applyAlignment="1">
      <alignment horizontal="center" vertical="center" wrapText="1"/>
    </xf>
    <xf numFmtId="14" fontId="59" fillId="0" borderId="1" xfId="0" applyNumberFormat="1" applyFont="1" applyBorder="1" applyAlignment="1">
      <alignment horizontal="center" vertical="center"/>
    </xf>
    <xf numFmtId="0" fontId="59" fillId="0" borderId="1" xfId="0" applyFont="1" applyBorder="1" applyAlignment="1">
      <alignment horizontal="center" vertical="center"/>
    </xf>
    <xf numFmtId="6" fontId="69" fillId="0" borderId="1" xfId="0" applyNumberFormat="1" applyFont="1" applyBorder="1" applyAlignment="1">
      <alignment horizontal="center" wrapText="1"/>
    </xf>
    <xf numFmtId="0" fontId="114" fillId="0" borderId="1" xfId="0" applyFont="1" applyBorder="1" applyAlignment="1">
      <alignment horizontal="center" vertical="center"/>
    </xf>
    <xf numFmtId="0" fontId="114" fillId="0" borderId="1" xfId="0" applyFont="1" applyBorder="1" applyAlignment="1" applyProtection="1">
      <alignment horizontal="center" vertical="center"/>
      <protection locked="0"/>
    </xf>
    <xf numFmtId="0" fontId="114" fillId="0" borderId="1" xfId="0" applyFont="1" applyBorder="1" applyAlignment="1">
      <alignment horizontal="center" vertical="center" wrapText="1"/>
    </xf>
    <xf numFmtId="0" fontId="114" fillId="0" borderId="1" xfId="0" applyFont="1" applyBorder="1" applyAlignment="1" applyProtection="1">
      <alignment horizontal="center" vertical="center" wrapText="1"/>
      <protection locked="0"/>
    </xf>
    <xf numFmtId="0" fontId="114" fillId="0" borderId="1" xfId="0" applyFont="1" applyBorder="1" applyAlignment="1" applyProtection="1">
      <alignment horizontal="left" vertical="center" wrapText="1"/>
      <protection locked="0"/>
    </xf>
    <xf numFmtId="165" fontId="114" fillId="0" borderId="1" xfId="0" applyNumberFormat="1" applyFont="1" applyBorder="1" applyAlignment="1" applyProtection="1">
      <alignment horizontal="center" vertical="center" wrapText="1"/>
      <protection locked="0"/>
    </xf>
    <xf numFmtId="168" fontId="114" fillId="0" borderId="1" xfId="6" applyNumberFormat="1" applyFont="1" applyFill="1" applyBorder="1" applyAlignment="1" applyProtection="1">
      <alignment horizontal="center" vertical="center" wrapText="1"/>
      <protection locked="0"/>
    </xf>
    <xf numFmtId="168" fontId="114" fillId="0" borderId="1" xfId="0" applyNumberFormat="1" applyFont="1" applyBorder="1" applyAlignment="1" applyProtection="1">
      <alignment horizontal="center" vertical="center" wrapText="1"/>
      <protection locked="0"/>
    </xf>
    <xf numFmtId="6" fontId="69" fillId="0" borderId="1" xfId="0" applyNumberFormat="1" applyFont="1" applyBorder="1" applyAlignment="1">
      <alignment horizontal="center" vertical="center" wrapText="1"/>
    </xf>
    <xf numFmtId="6" fontId="69" fillId="0" borderId="1" xfId="0" applyNumberFormat="1" applyFont="1" applyBorder="1" applyAlignment="1">
      <alignment horizontal="center" vertical="center"/>
    </xf>
    <xf numFmtId="0" fontId="69" fillId="0" borderId="1" xfId="1" quotePrefix="1" applyFont="1" applyBorder="1" applyAlignment="1">
      <alignment horizontal="center" vertical="center" wrapText="1"/>
    </xf>
    <xf numFmtId="165" fontId="115" fillId="0" borderId="1" xfId="0" applyNumberFormat="1" applyFont="1" applyBorder="1" applyAlignment="1">
      <alignment horizontal="center" vertical="center" wrapText="1"/>
    </xf>
    <xf numFmtId="0" fontId="115" fillId="0" borderId="1" xfId="0" applyFont="1" applyBorder="1" applyAlignment="1">
      <alignment horizontal="center" vertical="center" wrapText="1"/>
    </xf>
    <xf numFmtId="0" fontId="116" fillId="0" borderId="1" xfId="0" applyFont="1" applyBorder="1" applyAlignment="1" applyProtection="1">
      <alignment horizontal="center" vertical="center" wrapText="1"/>
      <protection locked="0"/>
    </xf>
    <xf numFmtId="0" fontId="115" fillId="0" borderId="1" xfId="0" applyFont="1" applyBorder="1" applyAlignment="1">
      <alignment horizontal="left" vertical="center" wrapText="1"/>
    </xf>
    <xf numFmtId="14" fontId="115" fillId="0" borderId="1" xfId="0" applyNumberFormat="1" applyFont="1" applyBorder="1" applyAlignment="1">
      <alignment horizontal="center" vertical="center" wrapText="1"/>
    </xf>
    <xf numFmtId="168" fontId="115" fillId="0" borderId="1" xfId="0" applyNumberFormat="1" applyFont="1" applyBorder="1" applyAlignment="1">
      <alignment horizontal="center" vertical="center" wrapText="1"/>
    </xf>
    <xf numFmtId="168" fontId="116" fillId="0" borderId="1" xfId="6" applyNumberFormat="1" applyFont="1" applyFill="1" applyBorder="1" applyAlignment="1" applyProtection="1">
      <alignment horizontal="center" vertical="center" wrapText="1"/>
      <protection locked="0"/>
    </xf>
    <xf numFmtId="0" fontId="74" fillId="0" borderId="1" xfId="0" applyFont="1" applyBorder="1" applyAlignment="1" applyProtection="1">
      <alignment horizontal="center" vertical="center" wrapText="1"/>
      <protection locked="0"/>
    </xf>
    <xf numFmtId="169" fontId="69" fillId="0" borderId="1" xfId="0" applyNumberFormat="1" applyFont="1" applyBorder="1" applyAlignment="1" applyProtection="1">
      <alignment horizontal="center" vertical="center" wrapText="1"/>
      <protection locked="0"/>
    </xf>
    <xf numFmtId="165" fontId="69" fillId="0" borderId="1" xfId="0" quotePrefix="1" applyNumberFormat="1" applyFont="1" applyBorder="1" applyAlignment="1" applyProtection="1">
      <alignment horizontal="center" vertical="center"/>
      <protection locked="0"/>
    </xf>
    <xf numFmtId="14" fontId="69" fillId="0" borderId="1" xfId="0" applyNumberFormat="1" applyFont="1" applyBorder="1" applyAlignment="1">
      <alignment horizontal="center" wrapText="1"/>
    </xf>
    <xf numFmtId="0" fontId="71" fillId="0" borderId="1" xfId="1" applyFont="1" applyBorder="1" applyAlignment="1">
      <alignment horizontal="center" vertical="center" wrapText="1"/>
    </xf>
    <xf numFmtId="0" fontId="69" fillId="0" borderId="1" xfId="0" quotePrefix="1" applyFont="1" applyBorder="1" applyAlignment="1">
      <alignment horizontal="center" vertical="center" wrapText="1"/>
    </xf>
    <xf numFmtId="166" fontId="69" fillId="0" borderId="1" xfId="0" applyNumberFormat="1" applyFont="1" applyBorder="1" applyAlignment="1">
      <alignment horizontal="center" vertical="center" wrapText="1"/>
    </xf>
    <xf numFmtId="0" fontId="112" fillId="0" borderId="1" xfId="0" applyFont="1" applyBorder="1" applyAlignment="1">
      <alignment horizontal="center"/>
    </xf>
    <xf numFmtId="49" fontId="59" fillId="0" borderId="1" xfId="0" applyNumberFormat="1" applyFont="1" applyBorder="1" applyAlignment="1" applyProtection="1">
      <alignment horizontal="center" vertical="center" wrapText="1"/>
      <protection locked="0"/>
    </xf>
    <xf numFmtId="168" fontId="69" fillId="0" borderId="1" xfId="1" applyNumberFormat="1" applyFont="1" applyBorder="1" applyAlignment="1">
      <alignment horizontal="center" vertical="center" wrapText="1"/>
    </xf>
    <xf numFmtId="2" fontId="59" fillId="0" borderId="1" xfId="0" applyNumberFormat="1" applyFont="1" applyBorder="1" applyAlignment="1">
      <alignment horizontal="center" vertical="center" wrapText="1"/>
    </xf>
    <xf numFmtId="1" fontId="69" fillId="0" borderId="1" xfId="1" applyNumberFormat="1" applyFont="1" applyBorder="1" applyAlignment="1">
      <alignment horizontal="center" vertical="center" wrapText="1"/>
    </xf>
    <xf numFmtId="14" fontId="69" fillId="0" borderId="1" xfId="0" quotePrefix="1" applyNumberFormat="1" applyFont="1" applyBorder="1" applyAlignment="1">
      <alignment horizontal="center" vertical="center" wrapText="1"/>
    </xf>
    <xf numFmtId="0" fontId="69" fillId="0" borderId="1" xfId="0" quotePrefix="1" applyFont="1" applyBorder="1" applyAlignment="1">
      <alignment horizontal="center" wrapText="1"/>
    </xf>
    <xf numFmtId="8" fontId="69" fillId="0" borderId="1" xfId="0" applyNumberFormat="1" applyFont="1" applyBorder="1" applyAlignment="1">
      <alignment horizontal="center" vertical="center"/>
    </xf>
    <xf numFmtId="42" fontId="59" fillId="0" borderId="1" xfId="0" applyNumberFormat="1" applyFont="1" applyBorder="1" applyAlignment="1">
      <alignment horizontal="center" vertical="center" wrapText="1"/>
    </xf>
    <xf numFmtId="167" fontId="59" fillId="0" borderId="1" xfId="0" applyNumberFormat="1" applyFont="1" applyBorder="1" applyAlignment="1">
      <alignment horizontal="center" vertical="center" wrapText="1"/>
    </xf>
    <xf numFmtId="0" fontId="35" fillId="0" borderId="1" xfId="0" applyFont="1" applyBorder="1" applyAlignment="1">
      <alignment vertical="center"/>
    </xf>
    <xf numFmtId="0" fontId="69" fillId="0" borderId="14" xfId="0" applyFont="1" applyBorder="1" applyAlignment="1">
      <alignment horizontal="center" wrapText="1"/>
    </xf>
    <xf numFmtId="0" fontId="69" fillId="0" borderId="14" xfId="0" applyFont="1" applyBorder="1" applyAlignment="1">
      <alignment horizontal="left" vertical="center" wrapText="1"/>
    </xf>
    <xf numFmtId="0" fontId="69" fillId="0" borderId="15" xfId="0" applyFont="1" applyBorder="1" applyAlignment="1">
      <alignment horizontal="center" wrapText="1"/>
    </xf>
    <xf numFmtId="0" fontId="69" fillId="0" borderId="8" xfId="0" applyFont="1" applyBorder="1" applyAlignment="1">
      <alignment horizontal="center" wrapText="1"/>
    </xf>
    <xf numFmtId="0" fontId="69" fillId="0" borderId="8" xfId="0" applyFont="1" applyBorder="1" applyAlignment="1">
      <alignment horizontal="left" vertical="center" wrapText="1"/>
    </xf>
    <xf numFmtId="6" fontId="69" fillId="0" borderId="8" xfId="0" applyNumberFormat="1" applyFont="1" applyBorder="1" applyAlignment="1">
      <alignment horizontal="center" wrapText="1"/>
    </xf>
    <xf numFmtId="0" fontId="69" fillId="0" borderId="13" xfId="0" applyFont="1" applyBorder="1" applyAlignment="1">
      <alignment horizontal="center" wrapText="1"/>
    </xf>
    <xf numFmtId="0" fontId="69" fillId="0" borderId="22" xfId="0" applyFont="1" applyBorder="1" applyAlignment="1">
      <alignment horizontal="center" wrapText="1"/>
    </xf>
    <xf numFmtId="6" fontId="69" fillId="0" borderId="13" xfId="0" applyNumberFormat="1" applyFont="1" applyBorder="1" applyAlignment="1">
      <alignment horizontal="center" wrapText="1"/>
    </xf>
    <xf numFmtId="0" fontId="69" fillId="0" borderId="24" xfId="0" applyFont="1" applyBorder="1" applyAlignment="1">
      <alignment horizontal="center" vertical="center" wrapText="1"/>
    </xf>
    <xf numFmtId="0" fontId="69" fillId="0" borderId="24" xfId="0" applyFont="1" applyBorder="1" applyAlignment="1" applyProtection="1">
      <alignment horizontal="center" vertical="center" wrapText="1"/>
      <protection locked="0"/>
    </xf>
    <xf numFmtId="1" fontId="69" fillId="0" borderId="22" xfId="2" applyNumberFormat="1" applyFont="1" applyBorder="1" applyAlignment="1">
      <alignment horizontal="center" vertical="center" wrapText="1"/>
    </xf>
    <xf numFmtId="167" fontId="68" fillId="0" borderId="7" xfId="0" applyNumberFormat="1" applyFont="1" applyBorder="1" applyAlignment="1">
      <alignment horizontal="center" vertical="center"/>
    </xf>
    <xf numFmtId="167" fontId="68" fillId="0" borderId="1" xfId="0" applyNumberFormat="1" applyFont="1" applyBorder="1" applyAlignment="1">
      <alignment horizontal="center" vertical="center"/>
    </xf>
    <xf numFmtId="167" fontId="68" fillId="0" borderId="8" xfId="0" applyNumberFormat="1" applyFont="1" applyBorder="1" applyAlignment="1">
      <alignment horizontal="center" vertical="center"/>
    </xf>
    <xf numFmtId="0" fontId="15" fillId="22" borderId="1" xfId="0" applyFont="1" applyFill="1" applyBorder="1" applyAlignment="1">
      <alignment horizontal="center" vertical="center"/>
    </xf>
  </cellXfs>
  <cellStyles count="20">
    <cellStyle name="Comma" xfId="7" builtinId="3"/>
    <cellStyle name="Comma 2" xfId="10" xr:uid="{00000000-0005-0000-0000-000001000000}"/>
    <cellStyle name="Comma 2 2" xfId="11" xr:uid="{00000000-0005-0000-0000-000002000000}"/>
    <cellStyle name="Currency" xfId="6" builtinId="4"/>
    <cellStyle name="Currency 2" xfId="14" xr:uid="{00000000-0005-0000-0000-000004000000}"/>
    <cellStyle name="Currency 2 2" xfId="12" xr:uid="{00000000-0005-0000-0000-000005000000}"/>
    <cellStyle name="Hyperlink" xfId="19" builtinId="8"/>
    <cellStyle name="Normal" xfId="0" builtinId="0"/>
    <cellStyle name="Normal 2" xfId="9" xr:uid="{00000000-0005-0000-0000-000007000000}"/>
    <cellStyle name="Normal 2 2" xfId="1" xr:uid="{00000000-0005-0000-0000-000008000000}"/>
    <cellStyle name="Normal 3" xfId="3" xr:uid="{00000000-0005-0000-0000-000009000000}"/>
    <cellStyle name="Normal 3 2" xfId="5" xr:uid="{00000000-0005-0000-0000-00000A000000}"/>
    <cellStyle name="Normal 3 2 2" xfId="16" xr:uid="{00000000-0005-0000-0000-00000B000000}"/>
    <cellStyle name="Normal 3 3" xfId="15" xr:uid="{00000000-0005-0000-0000-00000C000000}"/>
    <cellStyle name="Normal 4" xfId="13" xr:uid="{00000000-0005-0000-0000-00000D000000}"/>
    <cellStyle name="Normal 4 2" xfId="18" xr:uid="{00000000-0005-0000-0000-00000E000000}"/>
    <cellStyle name="Normal 5" xfId="4" xr:uid="{00000000-0005-0000-0000-00000F000000}"/>
    <cellStyle name="Normal 5 2" xfId="17" xr:uid="{00000000-0005-0000-0000-000010000000}"/>
    <cellStyle name="Normal 6" xfId="8" xr:uid="{00000000-0005-0000-0000-000011000000}"/>
    <cellStyle name="Normal 9" xfId="2" xr:uid="{00000000-0005-0000-0000-000012000000}"/>
  </cellStyles>
  <dxfs count="114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fill>
        <patternFill>
          <bgColor rgb="FFFF0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color rgb="FF006100"/>
      </font>
      <fill>
        <patternFill>
          <bgColor rgb="FFC6EFCE"/>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9" tint="-0.24994659260841701"/>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theme="0" tint="-0.14996795556505021"/>
        </patternFill>
      </fill>
    </dxf>
    <dxf>
      <fill>
        <patternFill>
          <bgColor theme="9" tint="-0.24994659260841701"/>
        </patternFill>
      </fill>
    </dxf>
    <dxf>
      <fill>
        <patternFill>
          <bgColor theme="9"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b/>
        <i val="0"/>
        <color auto="1"/>
      </font>
      <fill>
        <patternFill>
          <bgColor rgb="FF00B050"/>
        </patternFill>
      </fill>
    </dxf>
    <dxf>
      <font>
        <b/>
        <i val="0"/>
        <color theme="0"/>
      </font>
      <fill>
        <patternFill>
          <bgColor rgb="FFFF0000"/>
        </patternFill>
      </fill>
    </dxf>
    <dxf>
      <font>
        <b/>
        <i val="0"/>
        <color theme="0"/>
      </font>
      <fill>
        <patternFill>
          <bgColor rgb="FF00B050"/>
        </patternFill>
      </fill>
    </dxf>
    <dxf>
      <font>
        <color rgb="FF006100"/>
      </font>
      <fill>
        <patternFill>
          <bgColor rgb="FFC6EFCE"/>
        </patternFill>
      </fill>
    </dxf>
    <dxf>
      <fill>
        <patternFill>
          <bgColor theme="9" tint="-0.24994659260841701"/>
        </patternFill>
      </fill>
    </dxf>
    <dxf>
      <fill>
        <patternFill>
          <bgColor theme="9" tint="-0.24994659260841701"/>
        </patternFill>
      </fill>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
      <fill>
        <patternFill patternType="solid">
          <fgColor indexed="64"/>
          <bgColor rgb="FFFFFF00"/>
        </patternFill>
      </fill>
      <alignment wrapText="0"/>
      <border diagonalUp="0" diagonalDown="0">
        <left style="medium">
          <color indexed="64"/>
        </left>
        <right style="medium">
          <color indexed="64"/>
        </right>
        <top/>
        <bottom/>
        <vertical/>
        <horizontal/>
      </border>
    </dxf>
    <dxf>
      <fill>
        <patternFill patternType="solid">
          <fgColor indexed="64"/>
          <bgColor rgb="FFFFFF00"/>
        </patternFill>
      </fill>
      <alignment wrapText="0"/>
    </dxf>
    <dxf>
      <font>
        <b/>
        <i val="0"/>
        <strike val="0"/>
        <condense val="0"/>
        <extend val="0"/>
        <outline val="0"/>
        <shadow val="0"/>
        <u val="none"/>
        <vertAlign val="baseline"/>
        <sz val="12"/>
        <color theme="1"/>
        <name val="Arial"/>
        <family val="2"/>
        <scheme val="none"/>
      </font>
    </dxf>
  </dxfs>
  <tableStyles count="0" defaultTableStyle="TableStyleMedium2" defaultPivotStyle="PivotStyleLight16"/>
  <colors>
    <mruColors>
      <color rgb="FFFDC8DA"/>
      <color rgb="FFFAFA33"/>
      <color rgb="FF4F86F7"/>
      <color rgb="FFF3F6FB"/>
      <color rgb="FFC7A94A"/>
      <color rgb="FFBC3823"/>
      <color rgb="FF737373"/>
      <color rgb="FFFFB900"/>
      <color rgb="FFF25022"/>
      <color rgb="FFB9E6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ocumenttasks/documenttask1.xml><?xml version="1.0" encoding="utf-8"?>
<Tasks xmlns="http://schemas.microsoft.com/office/tasks/2019/documenttasks">
  <Task id="{77A4AD8B-F68A-4891-8950-2B9618F7E2FB}">
    <Anchor>
      <Comment id="{C861D2F1-25B6-4B0F-A753-0819AB2D75ED}"/>
    </Anchor>
    <History>
      <Event time="2022-04-25T15:51:26.46" id="{5BC49A5F-9E95-4CA0-A22C-2853C5736F08}">
        <Attribution userId="S::stacey.speakman@northyorks.gov.uk::ee7cebe5-622e-47cf-bd99-719297bf9826" userName="Stacey Speakman" userProvider="AD"/>
        <Anchor>
          <Comment id="{C861D2F1-25B6-4B0F-A753-0819AB2D75ED}"/>
        </Anchor>
        <Create/>
      </Event>
      <Event time="2022-04-25T15:51:26.46" id="{7031D0DF-E066-4A72-B857-45F0E61DB2C2}">
        <Attribution userId="S::stacey.speakman@northyorks.gov.uk::ee7cebe5-622e-47cf-bd99-719297bf9826" userName="Stacey Speakman" userProvider="AD"/>
        <Anchor>
          <Comment id="{C861D2F1-25B6-4B0F-A753-0819AB2D75ED}"/>
        </Anchor>
        <Assign userId="S::Sophie.Midcalf@northyorks.gov.uk::37618230-4ce7-4478-8c9e-684e845121c2" userName="Sophie Midcalf" userProvider="AD"/>
      </Event>
      <Event time="2022-04-25T15:51:26.46" id="{6432539A-4526-44B7-9053-AAE7CB3BFF1F}">
        <Attribution userId="S::stacey.speakman@northyorks.gov.uk::ee7cebe5-622e-47cf-bd99-719297bf9826" userName="Stacey Speakman" userProvider="AD"/>
        <Anchor>
          <Comment id="{C861D2F1-25B6-4B0F-A753-0819AB2D75ED}"/>
        </Anchor>
        <SetTitle title="@Sophie Midcalf can you update this information please."/>
      </Event>
      <Event time="2022-04-27T08:45:43.87" id="{D57AA70F-DBCF-46A3-A0C9-4A06BA292206}">
        <Attribution userId="S::Sophie.Midcalf@northyorks.gov.uk::37618230-4ce7-4478-8c9e-684e845121c2" userName="Sophie Midcalf" userProvider="AD"/>
        <Progress percentComplete="100"/>
      </Event>
    </History>
  </Task>
</Tasks>
</file>

<file path=xl/documenttasks/documenttask2.xml><?xml version="1.0" encoding="utf-8"?>
<Tasks xmlns="http://schemas.microsoft.com/office/tasks/2019/documenttasks">
  <Task id="{56DC591D-3B7F-4B09-A0D1-1FFD04D13BF2}">
    <Anchor>
      <Comment id="{BA4AEB92-0A6F-40A1-8EC8-832EF079360F}"/>
    </Anchor>
    <History>
      <Event time="2022-02-24T17:24:26.26" id="{BCDD4974-4F2A-4D1F-9667-8C34769C0C54}">
        <Attribution userId="S::stacey.speakman@northyorks.gov.uk::ee7cebe5-622e-47cf-bd99-719297bf9826" userName="Stacey Speakman" userProvider="AD"/>
        <Anchor>
          <Comment id="{BA4AEB92-0A6F-40A1-8EC8-832EF079360F}"/>
        </Anchor>
        <Create/>
      </Event>
      <Event time="2022-02-24T17:24:26.26" id="{B0D05679-BBB2-49E3-A67B-66C2C4C1A818}">
        <Attribution userId="S::stacey.speakman@northyorks.gov.uk::ee7cebe5-622e-47cf-bd99-719297bf9826" userName="Stacey Speakman" userProvider="AD"/>
        <Anchor>
          <Comment id="{BA4AEB92-0A6F-40A1-8EC8-832EF079360F}"/>
        </Anchor>
        <Assign userId="S::Victoria.Moss@northyorks.gov.uk::e7ed1d9f-fe75-4308-9325-fdb5f8d4b244" userName="Victoria Moss" userProvider="AD"/>
      </Event>
      <Event time="2022-02-24T17:24:26.26" id="{3DC1D97C-C0A7-4A2C-B6C1-9CC0342A9A2C}">
        <Attribution userId="S::stacey.speakman@northyorks.gov.uk::ee7cebe5-622e-47cf-bd99-719297bf9826" userName="Stacey Speakman" userProvider="AD"/>
        <Anchor>
          <Comment id="{BA4AEB92-0A6F-40A1-8EC8-832EF079360F}"/>
        </Anchor>
        <SetTitle title="@Victoria Moss Just for clarity you have updated the dates but to check is this closed as you have completed the docs for the 1st extension?"/>
      </Event>
      <Event time="2022-02-25T08:46:47.23" id="{871FB020-724F-4C73-9630-6024686851BA}">
        <Attribution userId="S::Victoria.Moss@northyorks.gov.uk::e7ed1d9f-fe75-4308-9325-fdb5f8d4b244" userName="Victoria Moss" userProvider="AD"/>
        <Progress percentComplete="100"/>
      </Event>
      <Event time="2022-02-25T08:46:51.09" id="{297E2F38-AC6B-420D-B0CB-22C32C36237D}">
        <Attribution userId="S::Victoria.Moss@northyorks.gov.uk::e7ed1d9f-fe75-4308-9325-fdb5f8d4b244" userName="Victoria Moss" userProvider="AD"/>
        <Progress percentComplete="0"/>
      </Event>
    </History>
  </Task>
</Tasks>
</file>

<file path=xl/drawings/drawing1.xml><?xml version="1.0" encoding="utf-8"?>
<xdr:wsDr xmlns:xdr="http://schemas.openxmlformats.org/drawingml/2006/spreadsheetDrawing" xmlns:a="http://schemas.openxmlformats.org/drawingml/2006/main">
  <xdr:twoCellAnchor>
    <xdr:from>
      <xdr:col>33</xdr:col>
      <xdr:colOff>0</xdr:colOff>
      <xdr:row>0</xdr:row>
      <xdr:rowOff>161925</xdr:rowOff>
    </xdr:from>
    <xdr:to>
      <xdr:col>33</xdr:col>
      <xdr:colOff>0</xdr:colOff>
      <xdr:row>0</xdr:row>
      <xdr:rowOff>1123950</xdr:rowOff>
    </xdr:to>
    <xdr:sp macro="" textlink="">
      <xdr:nvSpPr>
        <xdr:cNvPr id="2" name="TextBox 1">
          <a:extLst>
            <a:ext uri="{FF2B5EF4-FFF2-40B4-BE49-F238E27FC236}">
              <a16:creationId xmlns:a16="http://schemas.microsoft.com/office/drawing/2014/main" id="{88558D6A-6B2B-4032-A4E1-9643FF5BA33A}"/>
            </a:ext>
            <a:ext uri="{147F2762-F138-4A5C-976F-8EAC2B608ADB}">
              <a16:predDERef xmlns:a16="http://schemas.microsoft.com/office/drawing/2014/main" pred="{00000000-0008-0000-0300-000002000000}"/>
            </a:ext>
          </a:extLst>
        </xdr:cNvPr>
        <xdr:cNvSpPr txBox="1"/>
      </xdr:nvSpPr>
      <xdr:spPr>
        <a:xfrm>
          <a:off x="41810940" y="161925"/>
          <a:ext cx="0" cy="9620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800" b="1" baseline="0">
              <a:solidFill>
                <a:schemeClr val="bg1"/>
              </a:solidFill>
            </a:rPr>
            <a:t>See MSi for any information about this section</a:t>
          </a:r>
          <a:endParaRPr lang="en-GB" sz="1800" b="1">
            <a:solidFill>
              <a:schemeClr val="bg1"/>
            </a:solidFill>
          </a:endParaRPr>
        </a:p>
      </xdr:txBody>
    </xdr:sp>
    <xdr:clientData/>
  </xdr:twoCellAnchor>
</xdr:wsDr>
</file>

<file path=xl/namedSheetViews/namedSheetView1.xml><?xml version="1.0" encoding="utf-8"?>
<namedSheetViews xmlns="http://schemas.microsoft.com/office/spreadsheetml/2019/namedsheetviews" xmlns:x="http://schemas.openxmlformats.org/spreadsheetml/2006/main">
  <namedSheetView name="View1" id="{46F8E58C-AEC4-4EF9-9C19-F5EBAF6BE049}"/>
  <namedSheetView name="View2" id="{06450F23-B6B2-4DAD-8153-2700F961772E}"/>
  <namedSheetView name="View3" id="{9710F36E-BA88-4723-AA07-A2D50B0D2EBB}"/>
  <namedSheetView name="View4" id="{74E26CEA-9497-4990-A5D1-F12AB8FAC469}"/>
  <namedSheetView name="View5" id="{DC1BA634-8247-41D0-8BED-3C91B0E0F304}">
    <nsvFilter filterId="{00000000-0001-0000-0100-000000000000}" ref="A1:M629" tableId="0"/>
  </namedSheetView>
  <namedSheetView name="View6" id="{0EFC31A4-3520-4851-95C6-6D309ED0AFEB}"/>
  <namedSheetView name="View7" id="{2FBC91D5-476C-4F13-8783-AF285DBBD029}"/>
  <namedSheetView name="View8" id="{C3DB0AA5-FE59-4F2E-96C1-D944B1E54B45}"/>
  <namedSheetView name="View9" id="{1E37887C-DE42-45D3-A500-6D5064F3EBCD}"/>
  <namedSheetView name="View10" id="{D3E16DFF-A6BC-4103-B399-D49A8BF0BE95}"/>
  <namedSheetView name="View11" id="{C7E93F4E-3883-46F4-B92A-FB97DF252362}"/>
  <namedSheetView name="View12" id="{D844B495-062D-4FD6-AC78-5E357842094A}"/>
  <namedSheetView name="View13" id="{06038E7E-4718-4172-A295-CD268574C1F9}"/>
</namedSheetViews>
</file>

<file path=xl/persons/person.xml><?xml version="1.0" encoding="utf-8"?>
<personList xmlns="http://schemas.microsoft.com/office/spreadsheetml/2018/threadedcomments" xmlns:x="http://schemas.openxmlformats.org/spreadsheetml/2006/main">
  <person displayName="Helen Newall" id="{79235402-C095-4B2C-B8CA-C9CA2D03A63F}" userId="Helen.Newall@northyorks.gov.uk" providerId="PeoplePicker"/>
  <person displayName="Victoria Moss" id="{DCF756B2-EC26-4F29-967C-40C3ADF85DE7}" userId="Victoria.Moss@northyorks.gov.uk" providerId="PeoplePicker"/>
  <person displayName="Martin Simpson" id="{6487E63D-E144-4799-8E60-E304CE20ECDD}" userId="Martin.Simpson@northyorks.gov.uk" providerId="PeoplePicker"/>
  <person displayName="Sophie Midcalf" id="{1C567B55-075F-4938-91B4-B95C1AECFD86}" userId="Sophie.Midcalf@northyorks.gov.uk" providerId="PeoplePicker"/>
  <person displayName="Benjamin Hudson" id="{5076456B-EEC1-42E3-8E55-974E827E7624}" userId="Benjamin.Hudson@northyorks.gov.uk" providerId="PeoplePicker"/>
  <person displayName="Helen Newall" id="{FC253557-91A3-41D3-BA27-043F9544472B}" userId="S::helen.newall@northyorks.gov.uk::a2d63c3f-9d38-4eb8-923f-8d5894ed1a25" providerId="AD"/>
  <person displayName="Victoria Moss" id="{3BB3F2FF-FEC0-4170-856D-2F21A08CBFB0}" userId="S::victoria.moss@northyorks.gov.uk::e7ed1d9f-fe75-4308-9325-fdb5f8d4b244" providerId="AD"/>
  <person displayName="Martin Simpson" id="{A9D156D2-6526-477D-B198-877A5C4D6F5F}" userId="S::Martin.Simpson@northyorks.gov.uk::2e663ead-c22c-4135-90b8-e3497caa54d3" providerId="AD"/>
  <person displayName="Benjamin Hudson" id="{8020AD8A-80C6-4156-8E23-05960E4C52B5}" userId="S::benjamin.hudson@northyorks.gov.uk::8d187a6b-ffc4-4889-b018-79167f04037a" providerId="AD"/>
  <person displayName="Stacey Speakman" id="{0044E136-B996-4915-AB0A-8BB398B5FE44}" userId="S::stacey.speakman@northyorks.gov.uk::ee7cebe5-622e-47cf-bd99-719297bf982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1F1AE9-071A-4498-823D-0E1C5B63AB1F}" name="HAS" displayName="HAS" ref="Z1:Z10" totalsRowShown="0" headerRowDxfId="1142" dataDxfId="1141">
  <autoFilter ref="Z1:Z10" xr:uid="{171F1AE9-071A-4498-823D-0E1C5B63AB1F}"/>
  <tableColumns count="1">
    <tableColumn id="1" xr3:uid="{E9AFDEB9-594B-4155-BD94-2AFD4F89DD37}" name=" HAS" dataDxfId="114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0A754C-DE6D-4D31-A29A-3D6F4BA42B51}" name="Resources" displayName="Resources" ref="AA1:AA10" totalsRowShown="0" headerRowDxfId="1139" dataDxfId="1138">
  <autoFilter ref="AA1:AA10" xr:uid="{160A754C-DE6D-4D31-A29A-3D6F4BA42B51}"/>
  <tableColumns count="1">
    <tableColumn id="1" xr3:uid="{1D679970-46BB-432D-97E5-9FDFA6B06766}" name="CS Resources" dataDxfId="113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9B39EE-A4D3-4EA7-836B-1FC848156646}" name="CD" displayName="CD" ref="AB1:AB10" totalsRowShown="0" headerRowDxfId="1136" dataDxfId="1135">
  <autoFilter ref="AB1:AB10" xr:uid="{C09B39EE-A4D3-4EA7-836B-1FC848156646}"/>
  <tableColumns count="1">
    <tableColumn id="1" xr3:uid="{E024467F-FD33-4785-BCAD-FA7A9112AE51}" name="Community Development" dataDxfId="113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7E3735-1416-4566-8737-3AD21C1CDDE9}" name="Environment" displayName="Environment" ref="AC1:AC10" totalsRowShown="0" headerRowDxfId="1133" dataDxfId="1132">
  <autoFilter ref="AC1:AC10" xr:uid="{0C7E3735-1416-4566-8737-3AD21C1CDDE9}"/>
  <tableColumns count="1">
    <tableColumn id="1" xr3:uid="{2CABAA59-2F73-4FED-843A-8F9E09C009D7}" name="Environment" dataDxfId="113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AE01248-9A5B-429F-B7FD-49D3EF394383}" name="HR_BS" displayName="HR_BS" ref="AD1:AD10" totalsRowShown="0" headerRowDxfId="1130" dataDxfId="1129">
  <autoFilter ref="AD1:AD10" xr:uid="{6AE01248-9A5B-429F-B7FD-49D3EF394383}"/>
  <tableColumns count="1">
    <tableColumn id="1" xr3:uid="{C9867B89-7EF0-4175-AFF5-10B8EDE013B1}" name="CS HR and Business Support" dataDxfId="112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EC4FEA6-6700-4EEB-BA3E-C354AE7F8910}" name="LE" displayName="LE" ref="AE1:AG10" totalsRowShown="0" headerRowDxfId="1127" dataDxfId="1126">
  <autoFilter ref="AE1:AG10" xr:uid="{2EC4FEA6-6700-4EEB-BA3E-C354AE7F8910}"/>
  <tableColumns count="3">
    <tableColumn id="1" xr3:uid="{E1170ADF-0023-4D2D-8E96-2759F94B6E97}" name="CS Local Engagement" dataDxfId="1125"/>
    <tableColumn id="2" xr3:uid="{BF98564B-C7B1-4897-A7DC-6C1B17416121}" name="CS Legal and Democratic Services" dataDxfId="1124"/>
    <tableColumn id="3" xr3:uid="{264AB40E-7489-4633-A5A8-98E7330CE702}" name="NYH" dataDxfId="11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4834825-ED69-4D9B-8BE4-C7512CA13D08}" name="LDS" displayName="LDS" ref="AH1:AH10" totalsRowShown="0" headerRowDxfId="1122" dataDxfId="1121">
  <autoFilter ref="AH1:AH10" xr:uid="{04834825-ED69-4D9B-8BE4-C7512CA13D08}"/>
  <tableColumns count="1">
    <tableColumn id="1" xr3:uid="{8138697C-EAD7-4542-9D69-FC7076423569}" name="Brimhams" dataDxfId="11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8AE22CF-37A6-4C71-B48E-E80A8BA006BF}" name="CYPS" displayName="CYPS" ref="Y1:Y10" totalsRowShown="0" headerRowDxfId="1119" dataDxfId="1118">
  <autoFilter ref="Y1:Y10" xr:uid="{68AE22CF-37A6-4C71-B48E-E80A8BA006BF}"/>
  <tableColumns count="1">
    <tableColumn id="1" xr3:uid="{2A7C7B60-0D32-472A-B9E7-3804B96D27E2}" name="CYPS" dataDxfId="111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139" dT="2022-04-25T15:51:26.56" personId="{0044E136-B996-4915-AB0A-8BB398B5FE44}" id="{C861D2F1-25B6-4B0F-A753-0819AB2D75ED}" done="1">
    <text>@Sophie Midcalf can you update this information please.</text>
    <mentions>
      <mention mentionpersonId="{1C567B55-075F-4938-91B4-B95C1AECFD86}" mentionId="{18B1174B-2E0D-4537-B5EC-30AC168D568F}" startIndex="0" length="15"/>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AF47" dT="2022-02-24T17:24:26.34" personId="{0044E136-B996-4915-AB0A-8BB398B5FE44}" id="{BA4AEB92-0A6F-40A1-8EC8-832EF079360F}">
    <text>@Victoria Moss  Just for clarity you have updated the dates but to check is this closed as you have completed the docs for the 1st extension?</text>
    <mentions>
      <mention mentionpersonId="{DCF756B2-EC26-4F29-967C-40C3ADF85DE7}" mentionId="{EF3F6F2E-CC5F-4A5A-9054-5C87660DBA56}" startIndex="0" length="14"/>
    </mentions>
  </threadedComment>
  <threadedComment ref="AF47" dT="2022-02-25T09:37:37.92" personId="{3BB3F2FF-FEC0-4170-856D-2F21A08CBFB0}" id="{4CE22774-49DC-4A41-A8DA-3EA42CCD8C48}" parentId="{BA4AEB92-0A6F-40A1-8EC8-832EF079360F}">
    <text>No This is closed because it must have been a old extension. The new contract for this was put in place last year (1st Feb 2021-31st Jan 2023) Its then got 2 x 12 month extension after that to 2025.</text>
  </threadedComment>
</ThreadedComments>
</file>

<file path=xl/threadedComments/threadedComment3.xml><?xml version="1.0" encoding="utf-8"?>
<ThreadedComments xmlns="http://schemas.microsoft.com/office/spreadsheetml/2018/threadedcomments" xmlns:x="http://schemas.openxmlformats.org/spreadsheetml/2006/main">
  <threadedComment ref="AF58" dT="2023-05-18T10:56:27.60" personId="{A9D156D2-6526-477D-B198-877A5C4D6F5F}" id="{6421E254-CBBF-49CF-BB24-EDE1CA8D3561}">
    <text>@Benjamin Hudson  can this one be closed and archived off?</text>
    <mentions>
      <mention mentionpersonId="{5076456B-EEC1-42E3-8E55-974E827E7624}" mentionId="{20FA659D-E335-4BFF-8B40-3A28E1EC553F}" startIndex="0" length="16"/>
    </mentions>
  </threadedComment>
  <threadedComment ref="AF58" dT="2023-05-18T12:54:38.50" personId="{8020AD8A-80C6-4156-8E23-05960E4C52B5}" id="{6CC10CCD-6366-4F6E-B091-1F5A9445745D}" parentId="{6421E254-CBBF-49CF-BB24-EDE1CA8D3561}">
    <text>@Martin Simpson This can be closed.  Thanks.</text>
    <mentions>
      <mention mentionpersonId="{6487E63D-E144-4799-8E60-E304CE20ECDD}" mentionId="{AC331A70-B78B-47F9-B596-445199086836}" startIndex="0" length="15"/>
    </mentions>
  </threadedComment>
  <threadedComment ref="AF59" dT="2023-05-18T11:16:20.31" personId="{A9D156D2-6526-477D-B198-877A5C4D6F5F}" id="{3F671F77-BD16-4818-AE2A-828254A6A3EA}">
    <text>@Benjamin Hudson can this one be closed off / archived?</text>
    <mentions>
      <mention mentionpersonId="{5076456B-EEC1-42E3-8E55-974E827E7624}" mentionId="{3C222E7B-9C6A-415C-A855-6DD88C5FD579}" startIndex="0" length="16"/>
    </mentions>
  </threadedComment>
  <threadedComment ref="AF59" dT="2023-05-18T12:53:28.62" personId="{8020AD8A-80C6-4156-8E23-05960E4C52B5}" id="{95ABD432-42C3-4ADA-BFF4-22638A042943}" parentId="{3F671F77-BD16-4818-AE2A-828254A6A3EA}">
    <text>@Martin Simpson Yes this can now be closed.  Thanks.</text>
    <mentions>
      <mention mentionpersonId="{6487E63D-E144-4799-8E60-E304CE20ECDD}" mentionId="{5A42AE5E-7771-4C82-A4FC-92758262FC60}" startIndex="0" length="15"/>
    </mentions>
  </threadedComment>
  <threadedComment ref="AF112" dT="2023-06-14T15:22:20.78" personId="{A9D156D2-6526-477D-B198-877A5C4D6F5F}" id="{22DAC421-0C56-48FD-9700-1FF4611CB38A}">
    <text>@Helen Newall Please reach out to Donna to establish the requirement and necxt steps</text>
    <mentions>
      <mention mentionpersonId="{79235402-C095-4B2C-B8CA-C9CA2D03A63F}" mentionId="{CBE9BDA3-351C-4748-9DE4-94786EEF5A8C}" startIndex="0" length="13"/>
    </mentions>
  </threadedComment>
  <threadedComment ref="AF112" dT="2023-06-15T09:27:09.39" personId="{FC253557-91A3-41D3-BA27-043F9544472B}" id="{BD7A4373-4CAC-4455-957E-0F4B83F6E034}" parentId="{22DAC421-0C56-48FD-9700-1FF4611CB38A}">
    <text>Done</text>
  </threadedComment>
  <threadedComment ref="AF112" dT="2023-07-04T14:00:55.02" personId="{FC253557-91A3-41D3-BA27-043F9544472B}" id="{0B5E62EA-064F-44FC-8BA5-1DB76DA205CB}" parentId="{22DAC421-0C56-48FD-9700-1FF4611CB38A}">
    <text>@Martin Simpson - can this line be deleted now that its to be included in the New Contractor DPS?</text>
    <mentions>
      <mention mentionpersonId="{6487E63D-E144-4799-8E60-E304CE20ECDD}" mentionId="{4070E284-D253-4F45-9BB5-F69E8572B9B8}" startIndex="0" length="15"/>
    </mentions>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microsoft.com/office/2019/04/relationships/namedSheetView" Target="../namedSheetViews/namedSheetView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microsoft.com/office/2019/04/relationships/documenttask" Target="../documenttasks/documenttask1.x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microsoft.com/office/2017/10/relationships/threadedComment" Target="../threadedComments/threadedComment1.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comments" Target="../comments1.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6.bin"/><Relationship Id="rId18" Type="http://schemas.openxmlformats.org/officeDocument/2006/relationships/comments" Target="../comments3.xml"/><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17" Type="http://schemas.openxmlformats.org/officeDocument/2006/relationships/vmlDrawing" Target="../drawings/vmlDrawing3.vml"/><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microsoft.com/office/2019/04/relationships/documenttask" Target="../documenttasks/documenttask2.xml"/><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10" Type="http://schemas.openxmlformats.org/officeDocument/2006/relationships/printerSettings" Target="../printerSettings/printerSettings53.bin"/><Relationship Id="rId19" Type="http://schemas.microsoft.com/office/2017/10/relationships/threadedComment" Target="../threadedComments/threadedComment2.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1.bin"/><Relationship Id="rId1" Type="http://schemas.openxmlformats.org/officeDocument/2006/relationships/hyperlink" Target="mailto:alastair.taylor@nynet.co.uk" TargetMode="External"/><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5.vml"/><Relationship Id="rId1" Type="http://schemas.openxmlformats.org/officeDocument/2006/relationships/printerSettings" Target="../printerSettings/printerSettings62.bin"/><Relationship Id="rId6" Type="http://schemas.openxmlformats.org/officeDocument/2006/relationships/table" Target="../tables/table4.xml"/><Relationship Id="rId11" Type="http://schemas.openxmlformats.org/officeDocument/2006/relationships/comments" Target="../comments5.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S633"/>
  <sheetViews>
    <sheetView tabSelected="1" zoomScale="80" zoomScaleNormal="80" workbookViewId="0">
      <pane ySplit="1" topLeftCell="A59" activePane="bottomLeft" state="frozen"/>
      <selection pane="bottomLeft" activeCell="A353" sqref="A353:XFD353"/>
    </sheetView>
  </sheetViews>
  <sheetFormatPr defaultColWidth="8.84375" defaultRowHeight="23.15" customHeight="1"/>
  <cols>
    <col min="1" max="1" width="11.53515625" style="889" customWidth="1"/>
    <col min="2" max="2" width="9.84375" style="889" customWidth="1"/>
    <col min="3" max="3" width="22.69140625" style="889" customWidth="1"/>
    <col min="4" max="4" width="27.07421875" style="912" customWidth="1"/>
    <col min="5" max="5" width="25" style="912" customWidth="1"/>
    <col min="6" max="6" width="49.69140625" style="1122" customWidth="1"/>
    <col min="7" max="7" width="15.07421875" style="911" customWidth="1"/>
    <col min="8" max="8" width="12.23046875" style="889" customWidth="1"/>
    <col min="9" max="9" width="12.84375" style="889" customWidth="1"/>
    <col min="10" max="10" width="16.84375" style="889" customWidth="1"/>
    <col min="11" max="11" width="15.69140625" style="889" customWidth="1"/>
    <col min="12" max="12" width="14.69140625" style="889" customWidth="1"/>
    <col min="13" max="13" width="17.23046875" style="889" customWidth="1"/>
    <col min="14" max="14" width="8.84375" style="906" bestFit="1"/>
    <col min="15" max="16384" width="8.84375" style="906"/>
  </cols>
  <sheetData>
    <row r="1" spans="1:13" ht="58">
      <c r="A1" s="2981" t="s">
        <v>5046</v>
      </c>
      <c r="B1" s="2981" t="s">
        <v>5047</v>
      </c>
      <c r="C1" s="2981" t="s">
        <v>3</v>
      </c>
      <c r="D1" s="2981" t="s">
        <v>5048</v>
      </c>
      <c r="E1" s="2981" t="s">
        <v>5049</v>
      </c>
      <c r="F1" s="2982" t="s">
        <v>5050</v>
      </c>
      <c r="G1" s="2983" t="s">
        <v>5051</v>
      </c>
      <c r="H1" s="2986" t="s">
        <v>5052</v>
      </c>
      <c r="I1" s="2986" t="s">
        <v>5053</v>
      </c>
      <c r="J1" s="2987" t="s">
        <v>5054</v>
      </c>
      <c r="K1" s="2987" t="s">
        <v>5055</v>
      </c>
      <c r="L1" s="2986" t="s">
        <v>5056</v>
      </c>
      <c r="M1" s="2986" t="s">
        <v>5057</v>
      </c>
    </row>
    <row r="2" spans="1:13" s="901" customFormat="1" ht="23.15" customHeight="1">
      <c r="A2" s="707" t="s">
        <v>100</v>
      </c>
      <c r="B2" s="707" t="s">
        <v>109</v>
      </c>
      <c r="C2" s="710" t="s">
        <v>110</v>
      </c>
      <c r="D2" s="710" t="s">
        <v>1146</v>
      </c>
      <c r="E2" s="710" t="s">
        <v>5058</v>
      </c>
      <c r="F2" s="709" t="s">
        <v>111</v>
      </c>
      <c r="G2" s="947">
        <v>44652</v>
      </c>
      <c r="H2" s="777">
        <v>84</v>
      </c>
      <c r="I2" s="777" t="s">
        <v>112</v>
      </c>
      <c r="J2" s="772">
        <v>2235000</v>
      </c>
      <c r="K2" s="772">
        <f t="shared" ref="K2:K28" si="0">IF(ISNUMBER(J2),SUM(J2*20%)+J2,"")</f>
        <v>2682000</v>
      </c>
      <c r="L2" s="744" t="s">
        <v>70</v>
      </c>
      <c r="M2" s="711" t="s">
        <v>45</v>
      </c>
    </row>
    <row r="3" spans="1:13" s="901" customFormat="1" ht="23.15" customHeight="1">
      <c r="A3" s="707" t="s">
        <v>100</v>
      </c>
      <c r="B3" s="707" t="s">
        <v>45</v>
      </c>
      <c r="C3" s="710" t="s">
        <v>110</v>
      </c>
      <c r="D3" s="710" t="s">
        <v>450</v>
      </c>
      <c r="E3" s="710" t="s">
        <v>5058</v>
      </c>
      <c r="F3" s="709" t="s">
        <v>5059</v>
      </c>
      <c r="G3" s="713">
        <v>44743</v>
      </c>
      <c r="H3" s="777">
        <v>120</v>
      </c>
      <c r="I3" s="777" t="s">
        <v>195</v>
      </c>
      <c r="J3" s="772">
        <v>36762000</v>
      </c>
      <c r="K3" s="772">
        <f t="shared" si="0"/>
        <v>44114400</v>
      </c>
      <c r="L3" s="710" t="s">
        <v>45</v>
      </c>
      <c r="M3" s="710" t="s">
        <v>45</v>
      </c>
    </row>
    <row r="4" spans="1:13" s="901" customFormat="1" ht="23.15" customHeight="1">
      <c r="A4" s="707" t="s">
        <v>100</v>
      </c>
      <c r="B4" s="707" t="s">
        <v>45</v>
      </c>
      <c r="C4" s="710" t="s">
        <v>110</v>
      </c>
      <c r="D4" s="710" t="s">
        <v>450</v>
      </c>
      <c r="E4" s="710" t="s">
        <v>5060</v>
      </c>
      <c r="F4" s="709" t="s">
        <v>5061</v>
      </c>
      <c r="G4" s="713">
        <v>44743</v>
      </c>
      <c r="H4" s="777">
        <v>84</v>
      </c>
      <c r="I4" s="777" t="s">
        <v>1455</v>
      </c>
      <c r="J4" s="772">
        <v>698000</v>
      </c>
      <c r="K4" s="772">
        <f t="shared" si="0"/>
        <v>837600</v>
      </c>
      <c r="L4" s="710" t="s">
        <v>45</v>
      </c>
      <c r="M4" s="710" t="s">
        <v>45</v>
      </c>
    </row>
    <row r="5" spans="1:13" s="901" customFormat="1" ht="23.15" customHeight="1">
      <c r="A5" s="2995" t="s">
        <v>44</v>
      </c>
      <c r="B5" s="578" t="s">
        <v>45</v>
      </c>
      <c r="C5" s="710" t="s">
        <v>5044</v>
      </c>
      <c r="D5" s="710" t="s">
        <v>362</v>
      </c>
      <c r="E5" s="578" t="s">
        <v>4622</v>
      </c>
      <c r="F5" s="2996" t="s">
        <v>6953</v>
      </c>
      <c r="G5" s="2997">
        <v>44805</v>
      </c>
      <c r="H5" s="578" t="s">
        <v>1170</v>
      </c>
      <c r="I5" s="578" t="s">
        <v>1170</v>
      </c>
      <c r="J5" s="772">
        <v>250000</v>
      </c>
      <c r="K5" s="772">
        <f t="shared" si="0"/>
        <v>300000</v>
      </c>
      <c r="L5" s="578"/>
      <c r="M5" s="578"/>
    </row>
    <row r="6" spans="1:13" s="901" customFormat="1" ht="23.15" customHeight="1">
      <c r="A6" s="577" t="s">
        <v>44</v>
      </c>
      <c r="B6" s="707">
        <v>38992</v>
      </c>
      <c r="C6" s="710" t="s">
        <v>5044</v>
      </c>
      <c r="D6" s="710" t="s">
        <v>569</v>
      </c>
      <c r="E6" s="730" t="s">
        <v>33</v>
      </c>
      <c r="F6" s="709" t="s">
        <v>1083</v>
      </c>
      <c r="G6" s="2998">
        <v>45383</v>
      </c>
      <c r="H6" s="2999">
        <v>12</v>
      </c>
      <c r="I6" s="2999">
        <v>12</v>
      </c>
      <c r="J6" s="772"/>
      <c r="K6" s="772" t="str">
        <f t="shared" si="0"/>
        <v/>
      </c>
      <c r="L6" s="2999" t="s">
        <v>62</v>
      </c>
      <c r="M6" s="2999" t="s">
        <v>71</v>
      </c>
    </row>
    <row r="7" spans="1:13" s="901" customFormat="1" ht="23.15" customHeight="1">
      <c r="A7" s="707" t="s">
        <v>44</v>
      </c>
      <c r="B7" s="738">
        <v>54249</v>
      </c>
      <c r="C7" s="710" t="s">
        <v>5044</v>
      </c>
      <c r="D7" s="710" t="s">
        <v>569</v>
      </c>
      <c r="E7" s="710" t="s">
        <v>33</v>
      </c>
      <c r="F7" s="709" t="s">
        <v>5537</v>
      </c>
      <c r="G7" s="769">
        <v>44927</v>
      </c>
      <c r="H7" s="738">
        <v>67</v>
      </c>
      <c r="I7" s="710" t="s">
        <v>5538</v>
      </c>
      <c r="J7" s="772">
        <v>315457</v>
      </c>
      <c r="K7" s="772">
        <f t="shared" si="0"/>
        <v>378548.4</v>
      </c>
      <c r="L7" s="796" t="s">
        <v>45</v>
      </c>
      <c r="M7" s="578" t="s">
        <v>45</v>
      </c>
    </row>
    <row r="8" spans="1:13" s="901" customFormat="1" ht="23.15" customHeight="1">
      <c r="A8" s="707" t="s">
        <v>44</v>
      </c>
      <c r="B8" s="738" t="s">
        <v>45</v>
      </c>
      <c r="C8" s="710" t="s">
        <v>5044</v>
      </c>
      <c r="D8" s="710" t="s">
        <v>569</v>
      </c>
      <c r="E8" s="710" t="s">
        <v>33</v>
      </c>
      <c r="F8" s="780" t="s">
        <v>4543</v>
      </c>
      <c r="G8" s="947">
        <v>44941</v>
      </c>
      <c r="H8" s="738" t="s">
        <v>45</v>
      </c>
      <c r="I8" s="738" t="s">
        <v>45</v>
      </c>
      <c r="J8" s="772" t="s">
        <v>45</v>
      </c>
      <c r="K8" s="772" t="str">
        <f t="shared" si="0"/>
        <v/>
      </c>
      <c r="L8" s="710" t="s">
        <v>38</v>
      </c>
      <c r="M8" s="738" t="s">
        <v>67</v>
      </c>
    </row>
    <row r="9" spans="1:13" ht="23.15" customHeight="1">
      <c r="A9" s="707" t="s">
        <v>44</v>
      </c>
      <c r="B9" s="707" t="s">
        <v>60</v>
      </c>
      <c r="C9" s="710" t="s">
        <v>630</v>
      </c>
      <c r="D9" s="710" t="s">
        <v>1315</v>
      </c>
      <c r="E9" s="710" t="s">
        <v>4949</v>
      </c>
      <c r="F9" s="709" t="s">
        <v>6954</v>
      </c>
      <c r="G9" s="713">
        <v>44986</v>
      </c>
      <c r="H9" s="707">
        <v>15</v>
      </c>
      <c r="I9" s="707">
        <v>15</v>
      </c>
      <c r="J9" s="772">
        <v>60000</v>
      </c>
      <c r="K9" s="772">
        <f t="shared" si="0"/>
        <v>72000</v>
      </c>
      <c r="L9" s="710" t="s">
        <v>62</v>
      </c>
      <c r="M9" s="711" t="s">
        <v>60</v>
      </c>
    </row>
    <row r="10" spans="1:13" ht="23.15" customHeight="1">
      <c r="A10" s="707" t="s">
        <v>100</v>
      </c>
      <c r="B10" s="707" t="s">
        <v>45</v>
      </c>
      <c r="C10" s="710" t="s">
        <v>122</v>
      </c>
      <c r="D10" s="710" t="s">
        <v>5069</v>
      </c>
      <c r="E10" s="710" t="s">
        <v>3410</v>
      </c>
      <c r="F10" s="709" t="s">
        <v>5070</v>
      </c>
      <c r="G10" s="713">
        <v>45017</v>
      </c>
      <c r="H10" s="896">
        <v>168</v>
      </c>
      <c r="I10" s="707" t="s">
        <v>6955</v>
      </c>
      <c r="J10" s="772">
        <v>382500</v>
      </c>
      <c r="K10" s="772">
        <f t="shared" si="0"/>
        <v>459000</v>
      </c>
      <c r="L10" s="710" t="s">
        <v>38</v>
      </c>
      <c r="M10" s="710" t="s">
        <v>71</v>
      </c>
    </row>
    <row r="11" spans="1:13" ht="23.15" customHeight="1">
      <c r="A11" s="707" t="s">
        <v>100</v>
      </c>
      <c r="B11" s="707">
        <v>52812</v>
      </c>
      <c r="C11" s="710" t="s">
        <v>122</v>
      </c>
      <c r="D11" s="710" t="s">
        <v>1163</v>
      </c>
      <c r="E11" s="710" t="s">
        <v>5060</v>
      </c>
      <c r="F11" s="709" t="s">
        <v>5409</v>
      </c>
      <c r="G11" s="713">
        <v>45017</v>
      </c>
      <c r="H11" s="777">
        <v>21</v>
      </c>
      <c r="I11" s="777">
        <v>21</v>
      </c>
      <c r="J11" s="772">
        <v>453372</v>
      </c>
      <c r="K11" s="772">
        <f t="shared" si="0"/>
        <v>544046.4</v>
      </c>
      <c r="L11" s="710" t="s">
        <v>62</v>
      </c>
      <c r="M11" s="710" t="s">
        <v>71</v>
      </c>
    </row>
    <row r="12" spans="1:13" ht="23.15" customHeight="1">
      <c r="A12" s="726" t="s">
        <v>100</v>
      </c>
      <c r="B12" s="738" t="s">
        <v>3143</v>
      </c>
      <c r="C12" s="710" t="s">
        <v>5113</v>
      </c>
      <c r="D12" s="710" t="s">
        <v>5001</v>
      </c>
      <c r="E12" s="730" t="s">
        <v>5058</v>
      </c>
      <c r="F12" s="709" t="s">
        <v>3144</v>
      </c>
      <c r="G12" s="712">
        <v>45017</v>
      </c>
      <c r="H12" s="858">
        <v>60</v>
      </c>
      <c r="I12" s="858" t="s">
        <v>187</v>
      </c>
      <c r="J12" s="772">
        <v>2381430</v>
      </c>
      <c r="K12" s="772">
        <f t="shared" si="0"/>
        <v>2857716</v>
      </c>
      <c r="L12" s="730" t="s">
        <v>45</v>
      </c>
      <c r="M12" s="710" t="s">
        <v>45</v>
      </c>
    </row>
    <row r="13" spans="1:13" ht="23.15" customHeight="1">
      <c r="A13" s="577" t="s">
        <v>56</v>
      </c>
      <c r="B13" s="707" t="s">
        <v>45</v>
      </c>
      <c r="C13" s="710" t="s">
        <v>647</v>
      </c>
      <c r="D13" s="710" t="s">
        <v>647</v>
      </c>
      <c r="E13" s="730" t="s">
        <v>4950</v>
      </c>
      <c r="F13" s="709" t="s">
        <v>5072</v>
      </c>
      <c r="G13" s="759">
        <v>45078</v>
      </c>
      <c r="H13" s="71">
        <v>36</v>
      </c>
      <c r="I13" s="772" t="s">
        <v>160</v>
      </c>
      <c r="J13" s="768">
        <v>1200000</v>
      </c>
      <c r="K13" s="772">
        <f t="shared" si="0"/>
        <v>1440000</v>
      </c>
      <c r="L13" s="71" t="s">
        <v>71</v>
      </c>
      <c r="M13" s="71" t="s">
        <v>71</v>
      </c>
    </row>
    <row r="14" spans="1:13" ht="23.15" customHeight="1">
      <c r="A14" s="726" t="s">
        <v>56</v>
      </c>
      <c r="B14" s="726" t="s">
        <v>60</v>
      </c>
      <c r="C14" s="730" t="s">
        <v>630</v>
      </c>
      <c r="D14" s="710" t="s">
        <v>1360</v>
      </c>
      <c r="E14" s="730" t="s">
        <v>4946</v>
      </c>
      <c r="F14" s="729" t="s">
        <v>5073</v>
      </c>
      <c r="G14" s="759">
        <v>45352</v>
      </c>
      <c r="H14" s="891">
        <v>48</v>
      </c>
      <c r="I14" s="891" t="s">
        <v>258</v>
      </c>
      <c r="J14" s="772">
        <v>1500000</v>
      </c>
      <c r="K14" s="772">
        <f t="shared" si="0"/>
        <v>1800000</v>
      </c>
      <c r="L14" s="711" t="s">
        <v>70</v>
      </c>
      <c r="M14" s="711" t="s">
        <v>60</v>
      </c>
    </row>
    <row r="15" spans="1:13" ht="23.15" customHeight="1">
      <c r="A15" s="726" t="s">
        <v>647</v>
      </c>
      <c r="B15" s="726" t="s">
        <v>60</v>
      </c>
      <c r="C15" s="710" t="s">
        <v>647</v>
      </c>
      <c r="D15" s="710" t="s">
        <v>647</v>
      </c>
      <c r="E15" s="730" t="s">
        <v>279</v>
      </c>
      <c r="F15" s="729" t="s">
        <v>5074</v>
      </c>
      <c r="G15" s="759">
        <v>45078</v>
      </c>
      <c r="H15" s="891" t="s">
        <v>60</v>
      </c>
      <c r="I15" s="891" t="s">
        <v>60</v>
      </c>
      <c r="J15" s="772">
        <f>895000*4</f>
        <v>3580000</v>
      </c>
      <c r="K15" s="772">
        <f t="shared" si="0"/>
        <v>4296000</v>
      </c>
      <c r="L15" s="711" t="s">
        <v>589</v>
      </c>
      <c r="M15" s="711" t="s">
        <v>589</v>
      </c>
    </row>
    <row r="16" spans="1:13" ht="23.15" customHeight="1">
      <c r="A16" s="2995" t="s">
        <v>56</v>
      </c>
      <c r="B16" s="578" t="s">
        <v>5088</v>
      </c>
      <c r="C16" s="710" t="s">
        <v>5044</v>
      </c>
      <c r="D16" s="710" t="s">
        <v>362</v>
      </c>
      <c r="E16" s="578" t="s">
        <v>4622</v>
      </c>
      <c r="F16" s="2996" t="s">
        <v>5089</v>
      </c>
      <c r="G16" s="2997" t="s">
        <v>45</v>
      </c>
      <c r="H16" s="578" t="s">
        <v>5087</v>
      </c>
      <c r="I16" s="578"/>
      <c r="J16" s="2501"/>
      <c r="K16" s="772" t="str">
        <f t="shared" si="0"/>
        <v/>
      </c>
      <c r="L16" s="578"/>
      <c r="M16" s="578"/>
    </row>
    <row r="17" spans="1:13" ht="23.15" customHeight="1">
      <c r="A17" s="2995" t="s">
        <v>56</v>
      </c>
      <c r="B17" s="578" t="s">
        <v>5085</v>
      </c>
      <c r="C17" s="710" t="s">
        <v>5044</v>
      </c>
      <c r="D17" s="710" t="s">
        <v>362</v>
      </c>
      <c r="E17" s="578" t="s">
        <v>4622</v>
      </c>
      <c r="F17" s="2996" t="s">
        <v>5086</v>
      </c>
      <c r="G17" s="2997" t="s">
        <v>45</v>
      </c>
      <c r="H17" s="578" t="s">
        <v>5087</v>
      </c>
      <c r="I17" s="578"/>
      <c r="J17" s="2501"/>
      <c r="K17" s="772" t="str">
        <f t="shared" si="0"/>
        <v/>
      </c>
      <c r="L17" s="578"/>
      <c r="M17" s="578"/>
    </row>
    <row r="18" spans="1:13" ht="23.15" customHeight="1">
      <c r="A18" s="707" t="s">
        <v>44</v>
      </c>
      <c r="B18" s="738">
        <v>75337</v>
      </c>
      <c r="C18" s="710" t="s">
        <v>5044</v>
      </c>
      <c r="D18" s="710" t="s">
        <v>569</v>
      </c>
      <c r="E18" s="710" t="s">
        <v>33</v>
      </c>
      <c r="F18" s="709" t="s">
        <v>333</v>
      </c>
      <c r="G18" s="947">
        <v>45139</v>
      </c>
      <c r="H18" s="738">
        <v>24</v>
      </c>
      <c r="I18" s="903" t="s">
        <v>1345</v>
      </c>
      <c r="J18" s="772">
        <v>32902</v>
      </c>
      <c r="K18" s="772">
        <f t="shared" si="0"/>
        <v>39482.400000000001</v>
      </c>
      <c r="L18" s="710" t="s">
        <v>38</v>
      </c>
      <c r="M18" s="738" t="s">
        <v>38</v>
      </c>
    </row>
    <row r="19" spans="1:13" ht="23.15" customHeight="1">
      <c r="A19" s="2385" t="s">
        <v>56</v>
      </c>
      <c r="B19" s="2385" t="s">
        <v>5098</v>
      </c>
      <c r="C19" s="710" t="s">
        <v>415</v>
      </c>
      <c r="D19" s="710" t="s">
        <v>4994</v>
      </c>
      <c r="E19" s="2385" t="s">
        <v>4622</v>
      </c>
      <c r="F19" s="728" t="s">
        <v>5099</v>
      </c>
      <c r="G19" s="712" t="s">
        <v>60</v>
      </c>
      <c r="H19" s="2385">
        <v>48</v>
      </c>
      <c r="I19" s="2385" t="s">
        <v>215</v>
      </c>
      <c r="J19" s="3000">
        <v>60000</v>
      </c>
      <c r="K19" s="772">
        <f t="shared" si="0"/>
        <v>72000</v>
      </c>
      <c r="L19" s="2385" t="s">
        <v>1170</v>
      </c>
      <c r="M19" s="2385" t="s">
        <v>1170</v>
      </c>
    </row>
    <row r="20" spans="1:13" ht="23.15" customHeight="1">
      <c r="A20" s="2995" t="s">
        <v>56</v>
      </c>
      <c r="B20" s="578"/>
      <c r="C20" s="710" t="s">
        <v>415</v>
      </c>
      <c r="D20" s="710" t="s">
        <v>4994</v>
      </c>
      <c r="E20" s="578" t="s">
        <v>4622</v>
      </c>
      <c r="F20" s="2996" t="s">
        <v>5120</v>
      </c>
      <c r="G20" s="2995" t="s">
        <v>60</v>
      </c>
      <c r="H20" s="578"/>
      <c r="I20" s="578"/>
      <c r="J20" s="2501"/>
      <c r="K20" s="772" t="str">
        <f t="shared" si="0"/>
        <v/>
      </c>
      <c r="L20" s="578"/>
      <c r="M20" s="578"/>
    </row>
    <row r="21" spans="1:13" ht="23.15" customHeight="1">
      <c r="A21" s="2995" t="s">
        <v>56</v>
      </c>
      <c r="B21" s="578" t="s">
        <v>5116</v>
      </c>
      <c r="C21" s="710" t="s">
        <v>5044</v>
      </c>
      <c r="D21" s="710" t="s">
        <v>362</v>
      </c>
      <c r="E21" s="578" t="s">
        <v>4946</v>
      </c>
      <c r="F21" s="2996" t="s">
        <v>5117</v>
      </c>
      <c r="G21" s="2997" t="s">
        <v>45</v>
      </c>
      <c r="H21" s="578" t="s">
        <v>5087</v>
      </c>
      <c r="I21" s="578"/>
      <c r="J21" s="2501"/>
      <c r="K21" s="772" t="str">
        <f t="shared" si="0"/>
        <v/>
      </c>
      <c r="L21" s="578"/>
      <c r="M21" s="578"/>
    </row>
    <row r="22" spans="1:13" ht="23.15" customHeight="1">
      <c r="A22" s="2995" t="s">
        <v>56</v>
      </c>
      <c r="B22" s="578" t="s">
        <v>5114</v>
      </c>
      <c r="C22" s="710" t="s">
        <v>415</v>
      </c>
      <c r="D22" s="710" t="s">
        <v>4994</v>
      </c>
      <c r="E22" s="578" t="s">
        <v>4622</v>
      </c>
      <c r="F22" s="2996" t="s">
        <v>5115</v>
      </c>
      <c r="G22" s="2997" t="s">
        <v>60</v>
      </c>
      <c r="H22" s="578"/>
      <c r="I22" s="578"/>
      <c r="J22" s="2501" t="s">
        <v>1170</v>
      </c>
      <c r="K22" s="772" t="str">
        <f t="shared" si="0"/>
        <v/>
      </c>
      <c r="L22" s="578"/>
      <c r="M22" s="578"/>
    </row>
    <row r="23" spans="1:13" ht="23.15" customHeight="1">
      <c r="A23" s="2995" t="s">
        <v>56</v>
      </c>
      <c r="B23" s="578" t="s">
        <v>5118</v>
      </c>
      <c r="C23" s="710" t="s">
        <v>415</v>
      </c>
      <c r="D23" s="578" t="s">
        <v>4994</v>
      </c>
      <c r="E23" s="578" t="s">
        <v>4622</v>
      </c>
      <c r="F23" s="2996" t="s">
        <v>5119</v>
      </c>
      <c r="G23" s="2997" t="s">
        <v>45</v>
      </c>
      <c r="H23" s="578"/>
      <c r="I23" s="578"/>
      <c r="J23" s="2501"/>
      <c r="K23" s="772" t="str">
        <f t="shared" si="0"/>
        <v/>
      </c>
      <c r="L23" s="578"/>
      <c r="M23" s="578"/>
    </row>
    <row r="24" spans="1:13" ht="23.15" customHeight="1">
      <c r="A24" s="2995" t="s">
        <v>44</v>
      </c>
      <c r="B24" s="707" t="s">
        <v>703</v>
      </c>
      <c r="C24" s="710" t="s">
        <v>415</v>
      </c>
      <c r="D24" s="710" t="s">
        <v>1271</v>
      </c>
      <c r="E24" s="578" t="s">
        <v>514</v>
      </c>
      <c r="F24" s="2996" t="s">
        <v>5129</v>
      </c>
      <c r="G24" s="711">
        <v>45170</v>
      </c>
      <c r="H24" s="710">
        <v>60</v>
      </c>
      <c r="I24" s="884" t="s">
        <v>6956</v>
      </c>
      <c r="J24" s="772">
        <v>338000</v>
      </c>
      <c r="K24" s="772">
        <f>IF(ISNUMBER(J24),SUM(J24*20%)+J24,"")</f>
        <v>405600</v>
      </c>
      <c r="L24" s="578" t="s">
        <v>70</v>
      </c>
      <c r="M24" s="710" t="s">
        <v>45</v>
      </c>
    </row>
    <row r="25" spans="1:13" ht="23.15" customHeight="1">
      <c r="A25" s="707" t="s">
        <v>44</v>
      </c>
      <c r="B25" s="707" t="s">
        <v>703</v>
      </c>
      <c r="C25" s="710" t="s">
        <v>415</v>
      </c>
      <c r="D25" s="710" t="s">
        <v>1271</v>
      </c>
      <c r="E25" s="710" t="s">
        <v>514</v>
      </c>
      <c r="F25" s="709" t="s">
        <v>5129</v>
      </c>
      <c r="G25" s="711">
        <v>45170</v>
      </c>
      <c r="H25" s="710">
        <v>60</v>
      </c>
      <c r="I25" s="884" t="s">
        <v>5130</v>
      </c>
      <c r="J25" s="772">
        <v>338000</v>
      </c>
      <c r="K25" s="772">
        <f t="shared" si="0"/>
        <v>405600</v>
      </c>
      <c r="L25" s="710" t="s">
        <v>70</v>
      </c>
      <c r="M25" s="710" t="s">
        <v>706</v>
      </c>
    </row>
    <row r="26" spans="1:13" s="908" customFormat="1" ht="23.15" customHeight="1">
      <c r="A26" s="707" t="s">
        <v>647</v>
      </c>
      <c r="B26" s="707">
        <v>77179</v>
      </c>
      <c r="C26" s="730" t="s">
        <v>647</v>
      </c>
      <c r="D26" s="710" t="s">
        <v>647</v>
      </c>
      <c r="E26" s="710" t="s">
        <v>4946</v>
      </c>
      <c r="F26" s="709" t="s">
        <v>5139</v>
      </c>
      <c r="G26" s="713">
        <v>45170</v>
      </c>
      <c r="H26" s="777">
        <v>2</v>
      </c>
      <c r="I26" s="777" t="s">
        <v>60</v>
      </c>
      <c r="J26" s="772">
        <v>801000</v>
      </c>
      <c r="K26" s="772">
        <f t="shared" si="0"/>
        <v>961200</v>
      </c>
      <c r="L26" s="710" t="s">
        <v>45</v>
      </c>
      <c r="M26" s="710" t="s">
        <v>45</v>
      </c>
    </row>
    <row r="27" spans="1:13" ht="23.15" customHeight="1">
      <c r="A27" s="707" t="s">
        <v>100</v>
      </c>
      <c r="B27" s="707">
        <v>54565</v>
      </c>
      <c r="C27" s="710" t="s">
        <v>110</v>
      </c>
      <c r="D27" s="710" t="s">
        <v>1146</v>
      </c>
      <c r="E27" s="710" t="s">
        <v>5058</v>
      </c>
      <c r="F27" s="709" t="s">
        <v>5144</v>
      </c>
      <c r="G27" s="947">
        <v>45176</v>
      </c>
      <c r="H27" s="738">
        <v>10</v>
      </c>
      <c r="I27" s="884" t="s">
        <v>1286</v>
      </c>
      <c r="J27" s="772" t="s">
        <v>45</v>
      </c>
      <c r="K27" s="772" t="str">
        <f t="shared" si="0"/>
        <v/>
      </c>
      <c r="L27" s="710" t="s">
        <v>38</v>
      </c>
      <c r="M27" s="710" t="s">
        <v>67</v>
      </c>
    </row>
    <row r="28" spans="1:13" s="2466" customFormat="1" ht="23.15" customHeight="1">
      <c r="A28" s="2995" t="s">
        <v>56</v>
      </c>
      <c r="B28" s="578" t="s">
        <v>5151</v>
      </c>
      <c r="C28" s="710" t="s">
        <v>415</v>
      </c>
      <c r="D28" s="710" t="s">
        <v>4994</v>
      </c>
      <c r="E28" s="578" t="s">
        <v>1471</v>
      </c>
      <c r="F28" s="2996" t="s">
        <v>5152</v>
      </c>
      <c r="G28" s="2997" t="s">
        <v>60</v>
      </c>
      <c r="H28" s="578" t="s">
        <v>5153</v>
      </c>
      <c r="I28" s="578"/>
      <c r="J28" s="2501"/>
      <c r="K28" s="772" t="str">
        <f t="shared" si="0"/>
        <v/>
      </c>
      <c r="L28" s="578"/>
      <c r="M28" s="578"/>
    </row>
    <row r="29" spans="1:13" s="2466" customFormat="1" ht="23.15" customHeight="1">
      <c r="A29" s="707" t="s">
        <v>100</v>
      </c>
      <c r="B29" s="707" t="s">
        <v>45</v>
      </c>
      <c r="C29" s="710" t="s">
        <v>110</v>
      </c>
      <c r="D29" s="710" t="s">
        <v>1146</v>
      </c>
      <c r="E29" s="710" t="s">
        <v>5058</v>
      </c>
      <c r="F29" s="709" t="s">
        <v>5157</v>
      </c>
      <c r="G29" s="713">
        <v>45200</v>
      </c>
      <c r="H29" s="707">
        <v>48</v>
      </c>
      <c r="I29" s="707" t="s">
        <v>982</v>
      </c>
      <c r="J29" s="772">
        <v>2231335</v>
      </c>
      <c r="K29" s="772">
        <f t="shared" ref="K29:K45" si="1">IF(ISNUMBER(J29),SUM(J29*20%)+J29,"")</f>
        <v>2677602</v>
      </c>
      <c r="L29" s="710" t="s">
        <v>70</v>
      </c>
      <c r="M29" s="711">
        <v>43721</v>
      </c>
    </row>
    <row r="30" spans="1:13" ht="23.15" customHeight="1">
      <c r="A30" s="707" t="s">
        <v>56</v>
      </c>
      <c r="B30" s="738" t="s">
        <v>60</v>
      </c>
      <c r="C30" s="710" t="s">
        <v>5044</v>
      </c>
      <c r="D30" s="710" t="s">
        <v>362</v>
      </c>
      <c r="E30" s="730" t="s">
        <v>4946</v>
      </c>
      <c r="F30" s="709" t="s">
        <v>5169</v>
      </c>
      <c r="G30" s="769">
        <v>45299</v>
      </c>
      <c r="H30" s="710">
        <v>2</v>
      </c>
      <c r="I30" s="710">
        <v>2</v>
      </c>
      <c r="J30" s="772">
        <v>150000</v>
      </c>
      <c r="K30" s="772">
        <f t="shared" si="1"/>
        <v>180000</v>
      </c>
      <c r="L30" s="710" t="s">
        <v>62</v>
      </c>
      <c r="M30" s="2997" t="s">
        <v>45</v>
      </c>
    </row>
    <row r="31" spans="1:13" ht="23.15" customHeight="1">
      <c r="A31" s="707" t="s">
        <v>56</v>
      </c>
      <c r="B31" s="707" t="s">
        <v>45</v>
      </c>
      <c r="C31" s="710" t="s">
        <v>630</v>
      </c>
      <c r="D31" s="710" t="s">
        <v>1360</v>
      </c>
      <c r="E31" s="710" t="s">
        <v>4946</v>
      </c>
      <c r="F31" s="709" t="s">
        <v>5666</v>
      </c>
      <c r="G31" s="713">
        <v>45353</v>
      </c>
      <c r="H31" s="695" t="s">
        <v>45</v>
      </c>
      <c r="I31" s="695" t="s">
        <v>45</v>
      </c>
      <c r="J31" s="772">
        <v>300000</v>
      </c>
      <c r="K31" s="772">
        <f t="shared" si="1"/>
        <v>360000</v>
      </c>
      <c r="L31" s="710" t="s">
        <v>45</v>
      </c>
      <c r="M31" s="710" t="s">
        <v>45</v>
      </c>
    </row>
    <row r="32" spans="1:13" ht="23.15" customHeight="1">
      <c r="A32" s="707" t="s">
        <v>100</v>
      </c>
      <c r="B32" s="707" t="s">
        <v>45</v>
      </c>
      <c r="C32" s="710" t="s">
        <v>122</v>
      </c>
      <c r="D32" s="710" t="s">
        <v>1163</v>
      </c>
      <c r="E32" s="710" t="s">
        <v>5060</v>
      </c>
      <c r="F32" s="709" t="s">
        <v>5160</v>
      </c>
      <c r="G32" s="713">
        <v>45688</v>
      </c>
      <c r="H32" s="777">
        <v>48</v>
      </c>
      <c r="I32" s="777" t="s">
        <v>6957</v>
      </c>
      <c r="J32" s="772">
        <v>1360000</v>
      </c>
      <c r="K32" s="772">
        <f t="shared" si="1"/>
        <v>1632000</v>
      </c>
      <c r="L32" s="710" t="s">
        <v>70</v>
      </c>
      <c r="M32" s="711">
        <v>45209</v>
      </c>
    </row>
    <row r="33" spans="1:13" ht="23.15" customHeight="1">
      <c r="A33" s="707" t="s">
        <v>100</v>
      </c>
      <c r="B33" s="707" t="s">
        <v>45</v>
      </c>
      <c r="C33" s="710" t="s">
        <v>122</v>
      </c>
      <c r="D33" s="710" t="s">
        <v>1163</v>
      </c>
      <c r="E33" s="710" t="s">
        <v>5060</v>
      </c>
      <c r="F33" s="709" t="s">
        <v>5160</v>
      </c>
      <c r="G33" s="769">
        <v>45200</v>
      </c>
      <c r="H33" s="777">
        <v>48</v>
      </c>
      <c r="I33" s="777" t="s">
        <v>5163</v>
      </c>
      <c r="J33" s="772">
        <v>600000</v>
      </c>
      <c r="K33" s="772">
        <f t="shared" si="1"/>
        <v>720000</v>
      </c>
      <c r="L33" s="710" t="s">
        <v>70</v>
      </c>
      <c r="M33" s="711">
        <v>45209</v>
      </c>
    </row>
    <row r="34" spans="1:13" ht="23.15" customHeight="1">
      <c r="A34" s="726" t="s">
        <v>44</v>
      </c>
      <c r="B34" s="710" t="s">
        <v>800</v>
      </c>
      <c r="C34" s="710" t="s">
        <v>5044</v>
      </c>
      <c r="D34" s="710" t="s">
        <v>569</v>
      </c>
      <c r="E34" s="730" t="s">
        <v>33</v>
      </c>
      <c r="F34" s="709" t="s">
        <v>5170</v>
      </c>
      <c r="G34" s="712">
        <v>45203</v>
      </c>
      <c r="H34" s="710">
        <v>37</v>
      </c>
      <c r="I34" s="707" t="s">
        <v>5010</v>
      </c>
      <c r="J34" s="772">
        <v>255875</v>
      </c>
      <c r="K34" s="772">
        <f t="shared" si="1"/>
        <v>307050</v>
      </c>
      <c r="L34" s="744" t="s">
        <v>62</v>
      </c>
      <c r="M34" s="738" t="s">
        <v>71</v>
      </c>
    </row>
    <row r="35" spans="1:13" ht="23.15" customHeight="1">
      <c r="A35" s="577" t="s">
        <v>56</v>
      </c>
      <c r="B35" s="707" t="s">
        <v>45</v>
      </c>
      <c r="C35" s="710" t="s">
        <v>630</v>
      </c>
      <c r="D35" s="710" t="s">
        <v>1360</v>
      </c>
      <c r="E35" s="730" t="s">
        <v>4950</v>
      </c>
      <c r="F35" s="709" t="s">
        <v>5171</v>
      </c>
      <c r="G35" s="2998">
        <v>45224</v>
      </c>
      <c r="H35" s="2999">
        <v>96</v>
      </c>
      <c r="I35" s="772" t="s">
        <v>5172</v>
      </c>
      <c r="J35" s="768"/>
      <c r="K35" s="772" t="str">
        <f t="shared" si="1"/>
        <v/>
      </c>
      <c r="L35" s="2999" t="s">
        <v>38</v>
      </c>
      <c r="M35" s="5" t="s">
        <v>71</v>
      </c>
    </row>
    <row r="36" spans="1:13" ht="23.15" customHeight="1">
      <c r="A36" s="707" t="s">
        <v>44</v>
      </c>
      <c r="B36" s="738" t="s">
        <v>45</v>
      </c>
      <c r="C36" s="730" t="s">
        <v>5044</v>
      </c>
      <c r="D36" s="710" t="s">
        <v>569</v>
      </c>
      <c r="E36" s="710" t="s">
        <v>33</v>
      </c>
      <c r="F36" s="709" t="s">
        <v>4392</v>
      </c>
      <c r="G36" s="769">
        <v>45226</v>
      </c>
      <c r="H36" s="738">
        <v>12</v>
      </c>
      <c r="I36" s="738">
        <v>12</v>
      </c>
      <c r="J36" s="772">
        <v>17000</v>
      </c>
      <c r="K36" s="772">
        <f t="shared" si="1"/>
        <v>20400</v>
      </c>
      <c r="L36" s="744" t="s">
        <v>62</v>
      </c>
      <c r="M36" s="738" t="s">
        <v>71</v>
      </c>
    </row>
    <row r="37" spans="1:13" ht="23.15" customHeight="1">
      <c r="A37" s="3001" t="s">
        <v>44</v>
      </c>
      <c r="B37" s="3002" t="s">
        <v>45</v>
      </c>
      <c r="C37" s="3003" t="s">
        <v>5044</v>
      </c>
      <c r="D37" s="3004" t="s">
        <v>569</v>
      </c>
      <c r="E37" s="3004" t="s">
        <v>33</v>
      </c>
      <c r="F37" s="3005" t="s">
        <v>4392</v>
      </c>
      <c r="G37" s="3006">
        <v>45592</v>
      </c>
      <c r="H37" s="3002">
        <v>48</v>
      </c>
      <c r="I37" s="3002">
        <v>48</v>
      </c>
      <c r="J37" s="3007">
        <v>72000</v>
      </c>
      <c r="K37" s="3007">
        <f>IF(ISNUMBER(J37),SUM(J37*20%)+J37,"")</f>
        <v>86400</v>
      </c>
      <c r="L37" s="3008" t="s">
        <v>62</v>
      </c>
      <c r="M37" s="3002" t="s">
        <v>71</v>
      </c>
    </row>
    <row r="38" spans="1:13" ht="23.15" customHeight="1">
      <c r="A38" s="2995" t="s">
        <v>44</v>
      </c>
      <c r="B38" s="578" t="s">
        <v>45</v>
      </c>
      <c r="C38" s="710" t="s">
        <v>415</v>
      </c>
      <c r="D38" s="710" t="s">
        <v>4468</v>
      </c>
      <c r="E38" s="578" t="s">
        <v>514</v>
      </c>
      <c r="F38" s="2996" t="s">
        <v>5532</v>
      </c>
      <c r="G38" s="2997">
        <v>45323</v>
      </c>
      <c r="H38" s="578">
        <v>6</v>
      </c>
      <c r="I38" s="578">
        <v>6</v>
      </c>
      <c r="J38" s="772">
        <v>66895</v>
      </c>
      <c r="K38" s="772">
        <f t="shared" si="1"/>
        <v>80274</v>
      </c>
      <c r="L38" s="578" t="s">
        <v>45</v>
      </c>
      <c r="M38" s="578" t="s">
        <v>71</v>
      </c>
    </row>
    <row r="39" spans="1:13" ht="23.15" customHeight="1">
      <c r="A39" s="707" t="s">
        <v>44</v>
      </c>
      <c r="B39" s="707" t="s">
        <v>45</v>
      </c>
      <c r="C39" s="710" t="s">
        <v>415</v>
      </c>
      <c r="D39" s="710" t="s">
        <v>1271</v>
      </c>
      <c r="E39" s="710" t="s">
        <v>4949</v>
      </c>
      <c r="F39" s="709" t="s">
        <v>6958</v>
      </c>
      <c r="G39" s="769">
        <v>45261</v>
      </c>
      <c r="H39" s="738">
        <v>16</v>
      </c>
      <c r="I39" s="884" t="s">
        <v>2334</v>
      </c>
      <c r="J39" s="772">
        <v>60000</v>
      </c>
      <c r="K39" s="772">
        <f t="shared" si="1"/>
        <v>72000</v>
      </c>
      <c r="L39" s="710" t="s">
        <v>62</v>
      </c>
      <c r="M39" s="738" t="s">
        <v>71</v>
      </c>
    </row>
    <row r="40" spans="1:13" ht="23.15" customHeight="1">
      <c r="A40" s="695" t="s">
        <v>56</v>
      </c>
      <c r="B40" s="695" t="s">
        <v>45</v>
      </c>
      <c r="C40" s="695" t="s">
        <v>415</v>
      </c>
      <c r="D40" s="801" t="s">
        <v>1366</v>
      </c>
      <c r="E40" s="801" t="s">
        <v>4956</v>
      </c>
      <c r="F40" s="748" t="s">
        <v>6959</v>
      </c>
      <c r="G40" s="759">
        <v>45231</v>
      </c>
      <c r="H40" s="695">
        <v>48</v>
      </c>
      <c r="I40" s="695" t="s">
        <v>82</v>
      </c>
      <c r="J40" s="772">
        <v>178000</v>
      </c>
      <c r="K40" s="772">
        <f t="shared" si="1"/>
        <v>213600</v>
      </c>
      <c r="L40" s="695" t="s">
        <v>45</v>
      </c>
      <c r="M40" s="695" t="s">
        <v>45</v>
      </c>
    </row>
    <row r="41" spans="1:13" ht="43.5" customHeight="1">
      <c r="A41" s="707" t="s">
        <v>44</v>
      </c>
      <c r="B41" s="707" t="s">
        <v>45</v>
      </c>
      <c r="C41" s="710" t="s">
        <v>5044</v>
      </c>
      <c r="D41" s="730" t="s">
        <v>5177</v>
      </c>
      <c r="E41" s="730" t="s">
        <v>33</v>
      </c>
      <c r="F41" s="728" t="s">
        <v>5178</v>
      </c>
      <c r="G41" s="887">
        <v>45231</v>
      </c>
      <c r="H41" s="707">
        <v>60</v>
      </c>
      <c r="I41" s="707">
        <v>60</v>
      </c>
      <c r="J41" s="2977">
        <v>2400000</v>
      </c>
      <c r="K41" s="772">
        <f t="shared" si="1"/>
        <v>2880000</v>
      </c>
      <c r="L41" s="707" t="s">
        <v>70</v>
      </c>
      <c r="M41" s="707"/>
    </row>
    <row r="42" spans="1:13" ht="23.15" customHeight="1">
      <c r="A42" s="726" t="s">
        <v>56</v>
      </c>
      <c r="B42" s="726" t="s">
        <v>45</v>
      </c>
      <c r="C42" s="730" t="s">
        <v>630</v>
      </c>
      <c r="D42" s="710" t="s">
        <v>1360</v>
      </c>
      <c r="E42" s="730" t="s">
        <v>5077</v>
      </c>
      <c r="F42" s="709" t="s">
        <v>5161</v>
      </c>
      <c r="G42" s="759">
        <v>45231</v>
      </c>
      <c r="H42" s="726">
        <v>48</v>
      </c>
      <c r="I42" s="891" t="s">
        <v>82</v>
      </c>
      <c r="J42" s="772">
        <f>70000*4</f>
        <v>280000</v>
      </c>
      <c r="K42" s="772">
        <f t="shared" si="1"/>
        <v>336000</v>
      </c>
      <c r="L42" s="738" t="s">
        <v>38</v>
      </c>
      <c r="M42" s="711" t="s">
        <v>71</v>
      </c>
    </row>
    <row r="43" spans="1:13" ht="23.15" customHeight="1">
      <c r="A43" s="707" t="s">
        <v>56</v>
      </c>
      <c r="B43" s="707" t="s">
        <v>60</v>
      </c>
      <c r="C43" s="710" t="s">
        <v>630</v>
      </c>
      <c r="D43" s="710" t="s">
        <v>1315</v>
      </c>
      <c r="E43" s="730" t="s">
        <v>1471</v>
      </c>
      <c r="F43" s="728" t="s">
        <v>5179</v>
      </c>
      <c r="G43" s="947">
        <v>45234</v>
      </c>
      <c r="H43" s="738">
        <v>48</v>
      </c>
      <c r="I43" s="707" t="s">
        <v>5150</v>
      </c>
      <c r="J43" s="772">
        <v>720000</v>
      </c>
      <c r="K43" s="772">
        <f t="shared" si="1"/>
        <v>864000</v>
      </c>
      <c r="L43" s="744"/>
      <c r="M43" s="711"/>
    </row>
    <row r="44" spans="1:13" ht="23.15" customHeight="1">
      <c r="A44" s="726" t="s">
        <v>56</v>
      </c>
      <c r="B44" s="726" t="s">
        <v>60</v>
      </c>
      <c r="C44" s="710" t="s">
        <v>5044</v>
      </c>
      <c r="D44" s="710" t="s">
        <v>362</v>
      </c>
      <c r="E44" s="730" t="s">
        <v>279</v>
      </c>
      <c r="F44" s="709" t="s">
        <v>5181</v>
      </c>
      <c r="G44" s="711">
        <v>45323</v>
      </c>
      <c r="H44" s="893">
        <v>48</v>
      </c>
      <c r="I44" s="893">
        <v>48</v>
      </c>
      <c r="J44" s="772">
        <v>10684000</v>
      </c>
      <c r="K44" s="772">
        <f t="shared" si="1"/>
        <v>12820800</v>
      </c>
      <c r="L44" s="711" t="s">
        <v>310</v>
      </c>
      <c r="M44" s="711">
        <v>45160</v>
      </c>
    </row>
    <row r="45" spans="1:13" ht="23.15" customHeight="1">
      <c r="A45" s="707" t="s">
        <v>100</v>
      </c>
      <c r="B45" s="707" t="s">
        <v>45</v>
      </c>
      <c r="C45" s="710" t="s">
        <v>110</v>
      </c>
      <c r="D45" s="710" t="s">
        <v>1146</v>
      </c>
      <c r="E45" s="710" t="s">
        <v>5058</v>
      </c>
      <c r="F45" s="709" t="s">
        <v>5182</v>
      </c>
      <c r="G45" s="711">
        <v>45252</v>
      </c>
      <c r="H45" s="710">
        <v>12</v>
      </c>
      <c r="I45" s="710">
        <v>12</v>
      </c>
      <c r="J45" s="772">
        <v>47000</v>
      </c>
      <c r="K45" s="772">
        <f t="shared" si="1"/>
        <v>56400</v>
      </c>
      <c r="L45" s="710" t="s">
        <v>38</v>
      </c>
      <c r="M45" s="738" t="s">
        <v>71</v>
      </c>
    </row>
    <row r="46" spans="1:13" ht="23.15" customHeight="1">
      <c r="A46" s="695" t="s">
        <v>44</v>
      </c>
      <c r="B46" s="695">
        <v>56453</v>
      </c>
      <c r="C46" s="695" t="s">
        <v>5044</v>
      </c>
      <c r="D46" s="801" t="s">
        <v>569</v>
      </c>
      <c r="E46" s="801" t="s">
        <v>33</v>
      </c>
      <c r="F46" s="748" t="s">
        <v>6960</v>
      </c>
      <c r="G46" s="749">
        <v>45258</v>
      </c>
      <c r="H46" s="695">
        <v>24</v>
      </c>
      <c r="I46" s="695">
        <v>24</v>
      </c>
      <c r="J46" s="758">
        <v>41500</v>
      </c>
      <c r="K46" s="772">
        <v>49800</v>
      </c>
      <c r="L46" s="695" t="s">
        <v>38</v>
      </c>
      <c r="M46" s="695" t="s">
        <v>71</v>
      </c>
    </row>
    <row r="47" spans="1:13" ht="23.15" customHeight="1">
      <c r="A47" s="2995" t="s">
        <v>44</v>
      </c>
      <c r="B47" s="578" t="s">
        <v>45</v>
      </c>
      <c r="C47" s="710" t="s">
        <v>415</v>
      </c>
      <c r="D47" s="710" t="s">
        <v>1271</v>
      </c>
      <c r="E47" s="578" t="s">
        <v>4949</v>
      </c>
      <c r="F47" s="2996" t="s">
        <v>5530</v>
      </c>
      <c r="G47" s="2997">
        <v>45261</v>
      </c>
      <c r="H47" s="578">
        <v>15</v>
      </c>
      <c r="I47" s="578">
        <v>15</v>
      </c>
      <c r="J47" s="772">
        <v>100000</v>
      </c>
      <c r="K47" s="772">
        <f t="shared" ref="K47:K52" si="2">IF(ISNUMBER(J47),SUM(J47*20%)+J47,"")</f>
        <v>120000</v>
      </c>
      <c r="L47" s="578" t="s">
        <v>45</v>
      </c>
      <c r="M47" s="578" t="s">
        <v>71</v>
      </c>
    </row>
    <row r="48" spans="1:13" s="2525" customFormat="1" ht="23.15" customHeight="1">
      <c r="A48" s="707" t="s">
        <v>100</v>
      </c>
      <c r="B48" s="707" t="s">
        <v>45</v>
      </c>
      <c r="C48" s="710" t="s">
        <v>110</v>
      </c>
      <c r="D48" s="710" t="s">
        <v>1146</v>
      </c>
      <c r="E48" s="710" t="s">
        <v>4995</v>
      </c>
      <c r="F48" s="709" t="s">
        <v>5421</v>
      </c>
      <c r="G48" s="713">
        <v>45261</v>
      </c>
      <c r="H48" s="777">
        <v>28</v>
      </c>
      <c r="I48" s="777" t="s">
        <v>5424</v>
      </c>
      <c r="J48" s="772">
        <v>5100000</v>
      </c>
      <c r="K48" s="772">
        <f t="shared" si="2"/>
        <v>6120000</v>
      </c>
      <c r="L48" s="710" t="s">
        <v>200</v>
      </c>
      <c r="M48" s="711">
        <v>45212</v>
      </c>
    </row>
    <row r="49" spans="1:13" ht="23.15" customHeight="1">
      <c r="A49" s="726" t="s">
        <v>44</v>
      </c>
      <c r="B49" s="726" t="s">
        <v>45</v>
      </c>
      <c r="C49" s="710" t="s">
        <v>415</v>
      </c>
      <c r="D49" s="710" t="s">
        <v>1271</v>
      </c>
      <c r="E49" s="730" t="s">
        <v>4949</v>
      </c>
      <c r="F49" s="729" t="s">
        <v>5091</v>
      </c>
      <c r="G49" s="759">
        <v>45261</v>
      </c>
      <c r="H49" s="891">
        <v>18</v>
      </c>
      <c r="I49" s="891">
        <v>18</v>
      </c>
      <c r="J49" s="772">
        <v>103288</v>
      </c>
      <c r="K49" s="772">
        <f t="shared" si="2"/>
        <v>123945.60000000001</v>
      </c>
      <c r="L49" s="711" t="s">
        <v>200</v>
      </c>
      <c r="M49" s="711" t="s">
        <v>45</v>
      </c>
    </row>
    <row r="50" spans="1:13" ht="23.15" customHeight="1">
      <c r="A50" s="707" t="s">
        <v>44</v>
      </c>
      <c r="B50" s="707" t="s">
        <v>4454</v>
      </c>
      <c r="C50" s="710" t="s">
        <v>5123</v>
      </c>
      <c r="D50" s="710" t="s">
        <v>502</v>
      </c>
      <c r="E50" s="710" t="s">
        <v>514</v>
      </c>
      <c r="F50" s="709" t="s">
        <v>4455</v>
      </c>
      <c r="G50" s="947">
        <v>45261</v>
      </c>
      <c r="H50" s="738">
        <v>48</v>
      </c>
      <c r="I50" s="884" t="s">
        <v>5187</v>
      </c>
      <c r="J50" s="772">
        <v>50000000</v>
      </c>
      <c r="K50" s="772">
        <f t="shared" si="2"/>
        <v>60000000</v>
      </c>
      <c r="L50" s="710" t="s">
        <v>70</v>
      </c>
      <c r="M50" s="738" t="s">
        <v>45</v>
      </c>
    </row>
    <row r="51" spans="1:13" ht="23.15" customHeight="1">
      <c r="A51" s="730" t="s">
        <v>44</v>
      </c>
      <c r="B51" s="730" t="s">
        <v>5185</v>
      </c>
      <c r="C51" s="730" t="s">
        <v>630</v>
      </c>
      <c r="D51" s="710" t="s">
        <v>1315</v>
      </c>
      <c r="E51" s="730" t="s">
        <v>4622</v>
      </c>
      <c r="F51" s="728" t="s">
        <v>5186</v>
      </c>
      <c r="G51" s="712">
        <v>45261</v>
      </c>
      <c r="H51" s="730">
        <v>12</v>
      </c>
      <c r="I51" s="730">
        <v>12</v>
      </c>
      <c r="J51" s="3009">
        <v>70000</v>
      </c>
      <c r="K51" s="772">
        <f t="shared" si="2"/>
        <v>84000</v>
      </c>
      <c r="L51" s="730" t="s">
        <v>1170</v>
      </c>
      <c r="M51" s="730" t="s">
        <v>1170</v>
      </c>
    </row>
    <row r="52" spans="1:13" ht="23.15" customHeight="1">
      <c r="A52" s="2995" t="s">
        <v>44</v>
      </c>
      <c r="B52" s="578" t="s">
        <v>45</v>
      </c>
      <c r="C52" s="710" t="s">
        <v>415</v>
      </c>
      <c r="D52" s="710" t="s">
        <v>1271</v>
      </c>
      <c r="E52" s="578" t="s">
        <v>4949</v>
      </c>
      <c r="F52" s="2996" t="s">
        <v>5531</v>
      </c>
      <c r="G52" s="2997">
        <v>45261</v>
      </c>
      <c r="H52" s="578">
        <v>15</v>
      </c>
      <c r="I52" s="578">
        <v>15</v>
      </c>
      <c r="J52" s="772">
        <v>100000</v>
      </c>
      <c r="K52" s="772">
        <f t="shared" si="2"/>
        <v>120000</v>
      </c>
      <c r="L52" s="578" t="s">
        <v>45</v>
      </c>
      <c r="M52" s="578" t="s">
        <v>71</v>
      </c>
    </row>
    <row r="53" spans="1:13" ht="23.15" customHeight="1">
      <c r="A53" s="707" t="s">
        <v>44</v>
      </c>
      <c r="B53" s="707" t="s">
        <v>45</v>
      </c>
      <c r="C53" s="710" t="s">
        <v>415</v>
      </c>
      <c r="D53" s="710" t="s">
        <v>5078</v>
      </c>
      <c r="E53" s="710" t="s">
        <v>4949</v>
      </c>
      <c r="F53" s="709" t="s">
        <v>5133</v>
      </c>
      <c r="G53" s="711">
        <v>45261</v>
      </c>
      <c r="H53" s="710" t="s">
        <v>45</v>
      </c>
      <c r="I53" s="710" t="s">
        <v>45</v>
      </c>
      <c r="J53" s="710" t="s">
        <v>45</v>
      </c>
      <c r="K53" s="772"/>
      <c r="L53" s="710" t="s">
        <v>45</v>
      </c>
      <c r="M53" s="710" t="s">
        <v>45</v>
      </c>
    </row>
    <row r="54" spans="1:13" ht="23.15" customHeight="1">
      <c r="A54" s="707" t="s">
        <v>44</v>
      </c>
      <c r="B54" s="738" t="s">
        <v>45</v>
      </c>
      <c r="C54" s="730" t="s">
        <v>630</v>
      </c>
      <c r="D54" s="710" t="s">
        <v>1315</v>
      </c>
      <c r="E54" s="710" t="s">
        <v>46</v>
      </c>
      <c r="F54" s="709" t="s">
        <v>5183</v>
      </c>
      <c r="G54" s="947">
        <v>45341</v>
      </c>
      <c r="H54" s="707">
        <v>12</v>
      </c>
      <c r="I54" s="707" t="s">
        <v>418</v>
      </c>
      <c r="J54" s="772">
        <v>187500</v>
      </c>
      <c r="K54" s="772">
        <f>IF(ISNUMBER(J54),SUM(J54*20%)+J54,"")</f>
        <v>225000</v>
      </c>
      <c r="L54" s="744" t="s">
        <v>62</v>
      </c>
      <c r="M54" s="770" t="s">
        <v>71</v>
      </c>
    </row>
    <row r="55" spans="1:13" ht="23.15" customHeight="1">
      <c r="A55" s="707" t="s">
        <v>44</v>
      </c>
      <c r="B55" s="707" t="s">
        <v>45</v>
      </c>
      <c r="C55" s="710" t="s">
        <v>415</v>
      </c>
      <c r="D55" s="710" t="s">
        <v>4468</v>
      </c>
      <c r="E55" s="710" t="s">
        <v>4949</v>
      </c>
      <c r="F55" s="709" t="s">
        <v>5126</v>
      </c>
      <c r="G55" s="713">
        <v>45261</v>
      </c>
      <c r="H55" s="777">
        <v>18</v>
      </c>
      <c r="I55" s="777" t="s">
        <v>45</v>
      </c>
      <c r="J55" s="772">
        <v>450000</v>
      </c>
      <c r="K55" s="772">
        <f>IF(ISNUMBER(J55),SUM(J55*20%)+J55,"")</f>
        <v>540000</v>
      </c>
      <c r="L55" s="707" t="s">
        <v>70</v>
      </c>
      <c r="M55" s="711" t="s">
        <v>45</v>
      </c>
    </row>
    <row r="56" spans="1:13" ht="23.15" customHeight="1">
      <c r="A56" s="707" t="s">
        <v>44</v>
      </c>
      <c r="B56" s="738" t="s">
        <v>45</v>
      </c>
      <c r="C56" s="710" t="s">
        <v>5044</v>
      </c>
      <c r="D56" s="710" t="s">
        <v>569</v>
      </c>
      <c r="E56" s="710" t="s">
        <v>33</v>
      </c>
      <c r="F56" s="709" t="s">
        <v>5092</v>
      </c>
      <c r="G56" s="769">
        <v>45261</v>
      </c>
      <c r="H56" s="738">
        <v>12</v>
      </c>
      <c r="I56" s="707">
        <v>12</v>
      </c>
      <c r="J56" s="772">
        <v>328000</v>
      </c>
      <c r="K56" s="772">
        <f>IF(ISNUMBER(J56),SUM(J56*20%)+J56,"")</f>
        <v>393600</v>
      </c>
      <c r="L56" s="710" t="s">
        <v>62</v>
      </c>
      <c r="M56" s="578" t="s">
        <v>71</v>
      </c>
    </row>
    <row r="57" spans="1:13" ht="23.15" customHeight="1">
      <c r="A57" s="577" t="s">
        <v>56</v>
      </c>
      <c r="B57" s="707" t="s">
        <v>45</v>
      </c>
      <c r="C57" s="710" t="s">
        <v>630</v>
      </c>
      <c r="D57" s="710" t="s">
        <v>1360</v>
      </c>
      <c r="E57" s="710" t="s">
        <v>4950</v>
      </c>
      <c r="F57" s="709" t="s">
        <v>5128</v>
      </c>
      <c r="G57" s="2998">
        <v>45352</v>
      </c>
      <c r="H57" s="2999">
        <v>48</v>
      </c>
      <c r="I57" s="2999" t="s">
        <v>82</v>
      </c>
      <c r="J57" s="768">
        <f>1400000*4</f>
        <v>5600000</v>
      </c>
      <c r="K57" s="772">
        <f>IF(ISNUMBER(J57),SUM(J57*20%)+J57,"")</f>
        <v>6720000</v>
      </c>
      <c r="L57" s="71" t="s">
        <v>60</v>
      </c>
      <c r="M57" s="710" t="s">
        <v>45</v>
      </c>
    </row>
    <row r="58" spans="1:13" ht="23.15" customHeight="1">
      <c r="A58" s="726" t="s">
        <v>44</v>
      </c>
      <c r="B58" s="707" t="s">
        <v>45</v>
      </c>
      <c r="C58" s="710" t="s">
        <v>415</v>
      </c>
      <c r="D58" s="710" t="s">
        <v>4994</v>
      </c>
      <c r="E58" s="730" t="s">
        <v>4946</v>
      </c>
      <c r="F58" s="729" t="s">
        <v>6961</v>
      </c>
      <c r="G58" s="759">
        <v>45261</v>
      </c>
      <c r="H58" s="891">
        <v>24</v>
      </c>
      <c r="I58" s="891">
        <v>24</v>
      </c>
      <c r="J58" s="772">
        <v>247000</v>
      </c>
      <c r="K58" s="772">
        <f>IF(ISNUMBER(J58),SUM(J58*20%)+J58,"")</f>
        <v>296400</v>
      </c>
      <c r="L58" s="711" t="s">
        <v>62</v>
      </c>
      <c r="M58" s="710" t="s">
        <v>45</v>
      </c>
    </row>
    <row r="59" spans="1:13" ht="23.15" customHeight="1">
      <c r="A59" s="707" t="s">
        <v>44</v>
      </c>
      <c r="B59" s="707" t="s">
        <v>45</v>
      </c>
      <c r="C59" s="710" t="s">
        <v>415</v>
      </c>
      <c r="D59" s="710" t="s">
        <v>5078</v>
      </c>
      <c r="E59" s="710" t="s">
        <v>4949</v>
      </c>
      <c r="F59" s="709" t="s">
        <v>5040</v>
      </c>
      <c r="G59" s="711">
        <v>45261</v>
      </c>
      <c r="H59" s="710" t="s">
        <v>45</v>
      </c>
      <c r="I59" s="710" t="s">
        <v>45</v>
      </c>
      <c r="J59" s="710" t="s">
        <v>45</v>
      </c>
      <c r="K59" s="772"/>
      <c r="L59" s="710" t="s">
        <v>45</v>
      </c>
      <c r="M59" s="710" t="s">
        <v>45</v>
      </c>
    </row>
    <row r="60" spans="1:13" ht="23.15" customHeight="1">
      <c r="A60" s="730" t="s">
        <v>44</v>
      </c>
      <c r="B60" s="707" t="s">
        <v>45</v>
      </c>
      <c r="C60" s="710" t="s">
        <v>5044</v>
      </c>
      <c r="D60" s="710" t="s">
        <v>569</v>
      </c>
      <c r="E60" s="730" t="s">
        <v>1471</v>
      </c>
      <c r="F60" s="728" t="s">
        <v>6962</v>
      </c>
      <c r="G60" s="887">
        <v>45281</v>
      </c>
      <c r="H60" s="710">
        <v>12</v>
      </c>
      <c r="I60" s="707" t="s">
        <v>1345</v>
      </c>
      <c r="J60" s="3010">
        <f>29550+32393+28000+22225</f>
        <v>112168</v>
      </c>
      <c r="K60" s="772">
        <f t="shared" ref="K60:K70" si="3">IF(ISNUMBER(J60),SUM(J60*20%)+J60,"")</f>
        <v>134601.60000000001</v>
      </c>
      <c r="L60" s="744" t="s">
        <v>45</v>
      </c>
      <c r="M60" s="707" t="s">
        <v>45</v>
      </c>
    </row>
    <row r="61" spans="1:13" ht="23.15" customHeight="1">
      <c r="A61" s="707" t="s">
        <v>44</v>
      </c>
      <c r="B61" s="738" t="s">
        <v>45</v>
      </c>
      <c r="C61" s="710" t="s">
        <v>5044</v>
      </c>
      <c r="D61" s="710" t="s">
        <v>569</v>
      </c>
      <c r="E61" s="710" t="s">
        <v>33</v>
      </c>
      <c r="F61" s="709" t="s">
        <v>2362</v>
      </c>
      <c r="G61" s="769">
        <v>45289</v>
      </c>
      <c r="H61" s="710" t="s">
        <v>45</v>
      </c>
      <c r="I61" s="884" t="s">
        <v>45</v>
      </c>
      <c r="J61" s="772" t="s">
        <v>45</v>
      </c>
      <c r="K61" s="772" t="str">
        <f t="shared" si="3"/>
        <v/>
      </c>
      <c r="L61" s="710" t="s">
        <v>38</v>
      </c>
      <c r="M61" s="578" t="s">
        <v>71</v>
      </c>
    </row>
    <row r="62" spans="1:13" ht="23.15" customHeight="1">
      <c r="A62" s="707" t="s">
        <v>44</v>
      </c>
      <c r="B62" s="738" t="s">
        <v>45</v>
      </c>
      <c r="C62" s="710" t="s">
        <v>5044</v>
      </c>
      <c r="D62" s="710" t="s">
        <v>569</v>
      </c>
      <c r="E62" s="710" t="s">
        <v>33</v>
      </c>
      <c r="F62" s="780" t="s">
        <v>5188</v>
      </c>
      <c r="G62" s="947">
        <v>45290</v>
      </c>
      <c r="H62" s="738" t="s">
        <v>45</v>
      </c>
      <c r="I62" s="738" t="s">
        <v>45</v>
      </c>
      <c r="J62" s="772" t="s">
        <v>45</v>
      </c>
      <c r="K62" s="772" t="str">
        <f t="shared" si="3"/>
        <v/>
      </c>
      <c r="L62" s="710" t="s">
        <v>38</v>
      </c>
      <c r="M62" s="578" t="s">
        <v>71</v>
      </c>
    </row>
    <row r="63" spans="1:13" ht="23.15" customHeight="1">
      <c r="A63" s="707" t="s">
        <v>44</v>
      </c>
      <c r="B63" s="738" t="s">
        <v>45</v>
      </c>
      <c r="C63" s="710" t="s">
        <v>5044</v>
      </c>
      <c r="D63" s="710" t="s">
        <v>362</v>
      </c>
      <c r="E63" s="710" t="s">
        <v>80</v>
      </c>
      <c r="F63" s="709" t="s">
        <v>6950</v>
      </c>
      <c r="G63" s="947">
        <v>45292</v>
      </c>
      <c r="H63" s="738">
        <v>48</v>
      </c>
      <c r="I63" s="884" t="s">
        <v>82</v>
      </c>
      <c r="J63" s="772">
        <v>149008</v>
      </c>
      <c r="K63" s="772">
        <f t="shared" si="3"/>
        <v>178809.60000000001</v>
      </c>
      <c r="L63" s="769" t="s">
        <v>62</v>
      </c>
      <c r="M63" s="769" t="s">
        <v>67</v>
      </c>
    </row>
    <row r="64" spans="1:13" ht="23.15" customHeight="1">
      <c r="A64" s="707" t="s">
        <v>44</v>
      </c>
      <c r="B64" s="738" t="s">
        <v>45</v>
      </c>
      <c r="C64" s="710" t="s">
        <v>5044</v>
      </c>
      <c r="D64" s="710" t="s">
        <v>569</v>
      </c>
      <c r="E64" s="710" t="s">
        <v>33</v>
      </c>
      <c r="F64" s="728" t="s">
        <v>527</v>
      </c>
      <c r="G64" s="769">
        <v>45292</v>
      </c>
      <c r="H64" s="710">
        <v>48</v>
      </c>
      <c r="I64" s="884" t="s">
        <v>215</v>
      </c>
      <c r="J64" s="772">
        <v>135000</v>
      </c>
      <c r="K64" s="772">
        <f t="shared" si="3"/>
        <v>162000</v>
      </c>
      <c r="L64" s="710" t="s">
        <v>62</v>
      </c>
      <c r="M64" s="578" t="s">
        <v>71</v>
      </c>
    </row>
    <row r="65" spans="1:13" s="2323" customFormat="1" ht="23.15" customHeight="1">
      <c r="A65" s="2995" t="s">
        <v>56</v>
      </c>
      <c r="B65" s="578" t="s">
        <v>60</v>
      </c>
      <c r="C65" s="578" t="s">
        <v>630</v>
      </c>
      <c r="D65" s="710" t="s">
        <v>1360</v>
      </c>
      <c r="E65" s="578" t="s">
        <v>4946</v>
      </c>
      <c r="F65" s="2996" t="s">
        <v>5196</v>
      </c>
      <c r="G65" s="2997">
        <v>45383</v>
      </c>
      <c r="H65" s="578">
        <v>18</v>
      </c>
      <c r="I65" s="578"/>
      <c r="J65" s="2501">
        <v>10000000</v>
      </c>
      <c r="K65" s="772">
        <f t="shared" si="3"/>
        <v>12000000</v>
      </c>
      <c r="L65" s="578" t="s">
        <v>70</v>
      </c>
      <c r="M65" s="578" t="s">
        <v>60</v>
      </c>
    </row>
    <row r="66" spans="1:13" s="2323" customFormat="1" ht="23.15" customHeight="1">
      <c r="A66" s="707" t="s">
        <v>100</v>
      </c>
      <c r="B66" s="707" t="s">
        <v>45</v>
      </c>
      <c r="C66" s="710" t="s">
        <v>110</v>
      </c>
      <c r="D66" s="710" t="s">
        <v>450</v>
      </c>
      <c r="E66" s="710" t="s">
        <v>4980</v>
      </c>
      <c r="F66" s="709" t="s">
        <v>5127</v>
      </c>
      <c r="G66" s="713">
        <v>45292</v>
      </c>
      <c r="H66" s="896" t="s">
        <v>45</v>
      </c>
      <c r="I66" s="896" t="s">
        <v>45</v>
      </c>
      <c r="J66" s="772">
        <v>214000</v>
      </c>
      <c r="K66" s="772">
        <f t="shared" si="3"/>
        <v>256800</v>
      </c>
      <c r="L66" s="710" t="s">
        <v>200</v>
      </c>
      <c r="M66" s="710" t="s">
        <v>45</v>
      </c>
    </row>
    <row r="67" spans="1:13" ht="23.15" customHeight="1">
      <c r="A67" s="726" t="s">
        <v>56</v>
      </c>
      <c r="B67" s="726" t="s">
        <v>60</v>
      </c>
      <c r="C67" s="710" t="s">
        <v>630</v>
      </c>
      <c r="D67" s="710" t="s">
        <v>1360</v>
      </c>
      <c r="E67" s="730" t="s">
        <v>4946</v>
      </c>
      <c r="F67" s="729" t="s">
        <v>5080</v>
      </c>
      <c r="G67" s="759">
        <v>45323</v>
      </c>
      <c r="H67" s="891" t="s">
        <v>60</v>
      </c>
      <c r="I67" s="891" t="s">
        <v>60</v>
      </c>
      <c r="J67" s="772">
        <v>50000</v>
      </c>
      <c r="K67" s="772">
        <f t="shared" si="3"/>
        <v>60000</v>
      </c>
      <c r="L67" s="711" t="s">
        <v>62</v>
      </c>
      <c r="M67" s="711"/>
    </row>
    <row r="68" spans="1:13" s="2323" customFormat="1" ht="23.15" customHeight="1">
      <c r="A68" s="707" t="s">
        <v>56</v>
      </c>
      <c r="B68" s="738" t="s">
        <v>60</v>
      </c>
      <c r="C68" s="710" t="s">
        <v>5044</v>
      </c>
      <c r="D68" s="710" t="s">
        <v>362</v>
      </c>
      <c r="E68" s="730" t="s">
        <v>4946</v>
      </c>
      <c r="F68" s="709" t="s">
        <v>5197</v>
      </c>
      <c r="G68" s="769">
        <v>45689</v>
      </c>
      <c r="H68" s="710">
        <v>3</v>
      </c>
      <c r="I68" s="710">
        <v>3</v>
      </c>
      <c r="J68" s="772">
        <v>240000</v>
      </c>
      <c r="K68" s="772">
        <f t="shared" si="3"/>
        <v>288000</v>
      </c>
      <c r="L68" s="710" t="s">
        <v>62</v>
      </c>
      <c r="M68" s="738" t="s">
        <v>60</v>
      </c>
    </row>
    <row r="69" spans="1:13" s="2323" customFormat="1" ht="23.15" customHeight="1">
      <c r="A69" s="707" t="s">
        <v>647</v>
      </c>
      <c r="B69" s="707">
        <v>78952</v>
      </c>
      <c r="C69" s="710" t="s">
        <v>647</v>
      </c>
      <c r="D69" s="710" t="s">
        <v>647</v>
      </c>
      <c r="E69" s="710" t="s">
        <v>4946</v>
      </c>
      <c r="F69" s="709" t="s">
        <v>5184</v>
      </c>
      <c r="G69" s="713">
        <v>45292</v>
      </c>
      <c r="H69" s="777">
        <f>24+12+12</f>
        <v>48</v>
      </c>
      <c r="I69" s="3011" t="s">
        <v>82</v>
      </c>
      <c r="J69" s="772">
        <f>426487*4</f>
        <v>1705948</v>
      </c>
      <c r="K69" s="772">
        <f t="shared" si="3"/>
        <v>2047137.6</v>
      </c>
      <c r="L69" s="710" t="s">
        <v>45</v>
      </c>
      <c r="M69" s="710" t="s">
        <v>45</v>
      </c>
    </row>
    <row r="70" spans="1:13" ht="23.15" customHeight="1">
      <c r="A70" s="707" t="s">
        <v>44</v>
      </c>
      <c r="B70" s="738" t="s">
        <v>60</v>
      </c>
      <c r="C70" s="710" t="s">
        <v>630</v>
      </c>
      <c r="D70" s="710" t="s">
        <v>1360</v>
      </c>
      <c r="E70" s="710" t="s">
        <v>4949</v>
      </c>
      <c r="F70" s="709" t="s">
        <v>5586</v>
      </c>
      <c r="G70" s="769">
        <v>45292</v>
      </c>
      <c r="H70" s="710">
        <f>12*8</f>
        <v>96</v>
      </c>
      <c r="I70" s="884" t="s">
        <v>60</v>
      </c>
      <c r="J70" s="772">
        <v>1500000</v>
      </c>
      <c r="K70" s="772">
        <f t="shared" si="3"/>
        <v>1800000</v>
      </c>
      <c r="L70" s="731" t="s">
        <v>70</v>
      </c>
      <c r="M70" s="731" t="s">
        <v>60</v>
      </c>
    </row>
    <row r="71" spans="1:13" s="2413" customFormat="1" ht="23.15" customHeight="1">
      <c r="A71" s="707" t="s">
        <v>44</v>
      </c>
      <c r="B71" s="707"/>
      <c r="C71" s="710" t="s">
        <v>5044</v>
      </c>
      <c r="D71" s="710" t="s">
        <v>569</v>
      </c>
      <c r="E71" s="710" t="s">
        <v>33</v>
      </c>
      <c r="F71" s="728" t="s">
        <v>5075</v>
      </c>
      <c r="G71" s="947">
        <v>45474</v>
      </c>
      <c r="H71" s="738">
        <v>12</v>
      </c>
      <c r="I71" s="707">
        <v>12</v>
      </c>
      <c r="J71" s="772">
        <v>80000</v>
      </c>
      <c r="K71" s="772">
        <f>IF(ISNUMBER(J71),SUM(J71*20%)+J71,"")</f>
        <v>96000</v>
      </c>
      <c r="L71" s="744" t="s">
        <v>62</v>
      </c>
      <c r="M71" s="711" t="s">
        <v>71</v>
      </c>
    </row>
    <row r="72" spans="1:13" s="2413" customFormat="1" ht="23.15" customHeight="1">
      <c r="A72" s="726" t="s">
        <v>56</v>
      </c>
      <c r="B72" s="726" t="s">
        <v>5104</v>
      </c>
      <c r="C72" s="710" t="s">
        <v>415</v>
      </c>
      <c r="D72" s="710" t="s">
        <v>4994</v>
      </c>
      <c r="E72" s="730" t="s">
        <v>4946</v>
      </c>
      <c r="F72" s="729" t="s">
        <v>6963</v>
      </c>
      <c r="G72" s="759">
        <v>45413</v>
      </c>
      <c r="H72" s="891">
        <v>6</v>
      </c>
      <c r="I72" s="891">
        <v>6</v>
      </c>
      <c r="J72" s="772">
        <v>50000</v>
      </c>
      <c r="K72" s="772">
        <f>IF(ISNUMBER(J72),SUM(J72*20%)+J72,"")</f>
        <v>60000</v>
      </c>
      <c r="L72" s="711" t="s">
        <v>62</v>
      </c>
      <c r="M72" s="711"/>
    </row>
    <row r="73" spans="1:13" ht="23.15" customHeight="1">
      <c r="A73" s="695" t="s">
        <v>56</v>
      </c>
      <c r="B73" s="2385" t="s">
        <v>5209</v>
      </c>
      <c r="C73" s="695" t="s">
        <v>415</v>
      </c>
      <c r="D73" s="578" t="s">
        <v>4994</v>
      </c>
      <c r="E73" s="578" t="s">
        <v>4946</v>
      </c>
      <c r="F73" s="748" t="s">
        <v>5210</v>
      </c>
      <c r="G73" s="749">
        <v>45294</v>
      </c>
      <c r="H73" s="801" t="s">
        <v>5211</v>
      </c>
      <c r="I73" s="801" t="s">
        <v>5212</v>
      </c>
      <c r="J73" s="801" t="s">
        <v>5213</v>
      </c>
      <c r="K73" s="801" t="s">
        <v>5214</v>
      </c>
      <c r="L73" s="695" t="s">
        <v>70</v>
      </c>
      <c r="M73" s="695" t="s">
        <v>6964</v>
      </c>
    </row>
    <row r="74" spans="1:13" ht="23.15" customHeight="1">
      <c r="A74" s="2995" t="s">
        <v>44</v>
      </c>
      <c r="B74" s="578" t="s">
        <v>5192</v>
      </c>
      <c r="C74" s="710" t="s">
        <v>415</v>
      </c>
      <c r="D74" s="710" t="s">
        <v>4994</v>
      </c>
      <c r="E74" s="578" t="s">
        <v>4622</v>
      </c>
      <c r="F74" s="2996" t="s">
        <v>5193</v>
      </c>
      <c r="G74" s="2997">
        <v>45663</v>
      </c>
      <c r="H74" s="578"/>
      <c r="I74" s="730"/>
      <c r="J74" s="2501"/>
      <c r="K74" s="772" t="str">
        <f t="shared" ref="K74:K109" si="4">IF(ISNUMBER(J74),SUM(J74*20%)+J74,"")</f>
        <v/>
      </c>
      <c r="L74" s="744" t="s">
        <v>45</v>
      </c>
      <c r="M74" s="707" t="s">
        <v>45</v>
      </c>
    </row>
    <row r="75" spans="1:13" ht="23.15" customHeight="1">
      <c r="A75" s="2995" t="s">
        <v>44</v>
      </c>
      <c r="B75" s="578" t="s">
        <v>5192</v>
      </c>
      <c r="C75" s="710" t="s">
        <v>415</v>
      </c>
      <c r="D75" s="710" t="s">
        <v>4994</v>
      </c>
      <c r="E75" s="578" t="s">
        <v>4622</v>
      </c>
      <c r="F75" s="2996" t="s">
        <v>5667</v>
      </c>
      <c r="G75" s="2997">
        <v>45297</v>
      </c>
      <c r="H75" s="578"/>
      <c r="I75" s="730"/>
      <c r="J75" s="2501"/>
      <c r="K75" s="772" t="str">
        <f t="shared" si="4"/>
        <v/>
      </c>
      <c r="L75" s="744" t="s">
        <v>45</v>
      </c>
      <c r="M75" s="707" t="s">
        <v>45</v>
      </c>
    </row>
    <row r="76" spans="1:13" ht="23.15" customHeight="1">
      <c r="A76" s="707" t="s">
        <v>56</v>
      </c>
      <c r="B76" s="738">
        <v>79275</v>
      </c>
      <c r="C76" s="710" t="s">
        <v>415</v>
      </c>
      <c r="D76" s="710" t="s">
        <v>1271</v>
      </c>
      <c r="E76" s="710" t="s">
        <v>4946</v>
      </c>
      <c r="F76" s="709" t="s">
        <v>5200</v>
      </c>
      <c r="G76" s="769">
        <v>45299</v>
      </c>
      <c r="H76" s="710">
        <v>3</v>
      </c>
      <c r="I76" s="710">
        <v>3</v>
      </c>
      <c r="J76" s="772">
        <v>140000</v>
      </c>
      <c r="K76" s="772">
        <f t="shared" si="4"/>
        <v>168000</v>
      </c>
      <c r="L76" s="710" t="s">
        <v>62</v>
      </c>
      <c r="M76" s="738" t="s">
        <v>60</v>
      </c>
    </row>
    <row r="77" spans="1:13" ht="23.15" customHeight="1">
      <c r="A77" s="2995" t="s">
        <v>56</v>
      </c>
      <c r="B77" s="578">
        <v>78040</v>
      </c>
      <c r="C77" s="710" t="s">
        <v>415</v>
      </c>
      <c r="D77" s="710" t="s">
        <v>1271</v>
      </c>
      <c r="E77" s="578" t="s">
        <v>4946</v>
      </c>
      <c r="F77" s="2996" t="s">
        <v>5201</v>
      </c>
      <c r="G77" s="2997">
        <v>45665</v>
      </c>
      <c r="H77" s="578">
        <v>3</v>
      </c>
      <c r="I77" s="578">
        <v>3</v>
      </c>
      <c r="J77" s="2501">
        <v>450000</v>
      </c>
      <c r="K77" s="772">
        <f t="shared" si="4"/>
        <v>540000</v>
      </c>
      <c r="L77" s="578"/>
      <c r="M77" s="578"/>
    </row>
    <row r="78" spans="1:13" ht="23.15" customHeight="1">
      <c r="A78" s="707" t="s">
        <v>44</v>
      </c>
      <c r="B78" s="738" t="s">
        <v>45</v>
      </c>
      <c r="C78" s="710" t="s">
        <v>5044</v>
      </c>
      <c r="D78" s="710" t="s">
        <v>362</v>
      </c>
      <c r="E78" s="710" t="s">
        <v>33</v>
      </c>
      <c r="F78" s="709" t="s">
        <v>2209</v>
      </c>
      <c r="G78" s="947">
        <v>45316</v>
      </c>
      <c r="H78" s="738">
        <v>36</v>
      </c>
      <c r="I78" s="884" t="s">
        <v>98</v>
      </c>
      <c r="J78" s="772">
        <v>533000</v>
      </c>
      <c r="K78" s="772">
        <f t="shared" si="4"/>
        <v>639600</v>
      </c>
      <c r="L78" s="710" t="s">
        <v>62</v>
      </c>
      <c r="M78" s="738" t="s">
        <v>238</v>
      </c>
    </row>
    <row r="79" spans="1:13" ht="23.15" customHeight="1">
      <c r="A79" s="707" t="s">
        <v>44</v>
      </c>
      <c r="B79" s="707" t="s">
        <v>45</v>
      </c>
      <c r="C79" s="710" t="s">
        <v>5123</v>
      </c>
      <c r="D79" s="710" t="s">
        <v>502</v>
      </c>
      <c r="E79" s="710" t="s">
        <v>514</v>
      </c>
      <c r="F79" s="709" t="s">
        <v>5124</v>
      </c>
      <c r="G79" s="713">
        <v>45323</v>
      </c>
      <c r="H79" s="777">
        <v>60</v>
      </c>
      <c r="I79" s="777" t="s">
        <v>171</v>
      </c>
      <c r="J79" s="772">
        <v>48000000</v>
      </c>
      <c r="K79" s="772">
        <f t="shared" si="4"/>
        <v>57600000</v>
      </c>
      <c r="L79" s="707" t="s">
        <v>70</v>
      </c>
      <c r="M79" s="711" t="s">
        <v>45</v>
      </c>
    </row>
    <row r="80" spans="1:13" ht="23.15" customHeight="1">
      <c r="A80" s="726" t="s">
        <v>56</v>
      </c>
      <c r="B80" s="726" t="s">
        <v>5104</v>
      </c>
      <c r="C80" s="710" t="s">
        <v>415</v>
      </c>
      <c r="D80" s="710" t="s">
        <v>4994</v>
      </c>
      <c r="E80" s="730" t="s">
        <v>4946</v>
      </c>
      <c r="F80" s="729" t="s">
        <v>6965</v>
      </c>
      <c r="G80" s="759">
        <v>45323</v>
      </c>
      <c r="H80" s="891">
        <v>9</v>
      </c>
      <c r="I80" s="891">
        <v>9</v>
      </c>
      <c r="J80" s="772">
        <v>375000</v>
      </c>
      <c r="K80" s="772">
        <f t="shared" si="4"/>
        <v>450000</v>
      </c>
      <c r="L80" s="711" t="s">
        <v>62</v>
      </c>
      <c r="M80" s="711"/>
    </row>
    <row r="81" spans="1:13" ht="23.15" customHeight="1">
      <c r="A81" s="707" t="s">
        <v>44</v>
      </c>
      <c r="B81" s="738">
        <v>56753</v>
      </c>
      <c r="C81" s="710" t="s">
        <v>5044</v>
      </c>
      <c r="D81" s="710" t="s">
        <v>569</v>
      </c>
      <c r="E81" s="710" t="s">
        <v>33</v>
      </c>
      <c r="F81" s="709" t="s">
        <v>6966</v>
      </c>
      <c r="G81" s="947">
        <v>45323</v>
      </c>
      <c r="H81" s="710">
        <v>24</v>
      </c>
      <c r="I81" s="710">
        <v>24</v>
      </c>
      <c r="J81" s="772">
        <v>92000</v>
      </c>
      <c r="K81" s="772">
        <f t="shared" si="4"/>
        <v>110400</v>
      </c>
      <c r="L81" s="710" t="s">
        <v>62</v>
      </c>
      <c r="M81" s="738" t="s">
        <v>71</v>
      </c>
    </row>
    <row r="82" spans="1:13" ht="23.15" customHeight="1">
      <c r="A82" s="707" t="s">
        <v>44</v>
      </c>
      <c r="B82" s="738" t="s">
        <v>45</v>
      </c>
      <c r="C82" s="710" t="s">
        <v>5044</v>
      </c>
      <c r="D82" s="710" t="s">
        <v>569</v>
      </c>
      <c r="E82" s="710" t="s">
        <v>33</v>
      </c>
      <c r="F82" s="709" t="s">
        <v>6967</v>
      </c>
      <c r="G82" s="947">
        <v>45323</v>
      </c>
      <c r="H82" s="710">
        <v>24</v>
      </c>
      <c r="I82" s="710">
        <v>24</v>
      </c>
      <c r="J82" s="772">
        <v>40000</v>
      </c>
      <c r="K82" s="772">
        <f t="shared" si="4"/>
        <v>48000</v>
      </c>
      <c r="L82" s="710" t="s">
        <v>62</v>
      </c>
      <c r="M82" s="738" t="s">
        <v>71</v>
      </c>
    </row>
    <row r="83" spans="1:13" ht="23.15" customHeight="1">
      <c r="A83" s="726" t="s">
        <v>44</v>
      </c>
      <c r="B83" s="726" t="s">
        <v>45</v>
      </c>
      <c r="C83" s="710" t="s">
        <v>630</v>
      </c>
      <c r="D83" s="710" t="s">
        <v>1315</v>
      </c>
      <c r="E83" s="730" t="s">
        <v>4962</v>
      </c>
      <c r="F83" s="729" t="s">
        <v>5111</v>
      </c>
      <c r="G83" s="759">
        <v>45323</v>
      </c>
      <c r="H83" s="891">
        <v>24</v>
      </c>
      <c r="I83" s="891" t="s">
        <v>6968</v>
      </c>
      <c r="J83" s="772">
        <v>60000</v>
      </c>
      <c r="K83" s="772">
        <f t="shared" si="4"/>
        <v>72000</v>
      </c>
      <c r="L83" s="711" t="s">
        <v>62</v>
      </c>
      <c r="M83" s="578" t="s">
        <v>71</v>
      </c>
    </row>
    <row r="84" spans="1:13" ht="23.15" customHeight="1">
      <c r="A84" s="726" t="s">
        <v>56</v>
      </c>
      <c r="B84" s="726">
        <v>79486</v>
      </c>
      <c r="C84" s="710" t="s">
        <v>5044</v>
      </c>
      <c r="D84" s="710" t="s">
        <v>362</v>
      </c>
      <c r="E84" s="730" t="s">
        <v>4946</v>
      </c>
      <c r="F84" s="709" t="s">
        <v>5205</v>
      </c>
      <c r="G84" s="711">
        <v>45323</v>
      </c>
      <c r="H84" s="893">
        <v>82</v>
      </c>
      <c r="I84" s="893" t="s">
        <v>1455</v>
      </c>
      <c r="J84" s="772">
        <v>4200000</v>
      </c>
      <c r="K84" s="772">
        <f t="shared" si="4"/>
        <v>5040000</v>
      </c>
      <c r="L84" s="711" t="s">
        <v>70</v>
      </c>
      <c r="M84" s="759">
        <v>45135</v>
      </c>
    </row>
    <row r="85" spans="1:13" ht="23.15" customHeight="1">
      <c r="A85" s="726" t="s">
        <v>56</v>
      </c>
      <c r="B85" s="726" t="s">
        <v>5104</v>
      </c>
      <c r="C85" s="710" t="s">
        <v>415</v>
      </c>
      <c r="D85" s="710" t="s">
        <v>4994</v>
      </c>
      <c r="E85" s="730" t="s">
        <v>4946</v>
      </c>
      <c r="F85" s="729" t="s">
        <v>6969</v>
      </c>
      <c r="G85" s="759">
        <v>45323</v>
      </c>
      <c r="H85" s="891">
        <v>6</v>
      </c>
      <c r="I85" s="891">
        <v>6</v>
      </c>
      <c r="J85" s="772">
        <v>175000</v>
      </c>
      <c r="K85" s="772">
        <f t="shared" si="4"/>
        <v>210000</v>
      </c>
      <c r="L85" s="711" t="s">
        <v>62</v>
      </c>
      <c r="M85" s="711"/>
    </row>
    <row r="86" spans="1:13" ht="23.15" customHeight="1">
      <c r="A86" s="726" t="s">
        <v>56</v>
      </c>
      <c r="B86" s="726" t="s">
        <v>5104</v>
      </c>
      <c r="C86" s="710" t="s">
        <v>415</v>
      </c>
      <c r="D86" s="710" t="s">
        <v>4994</v>
      </c>
      <c r="E86" s="730" t="s">
        <v>4946</v>
      </c>
      <c r="F86" s="729" t="s">
        <v>6970</v>
      </c>
      <c r="G86" s="759">
        <v>45323</v>
      </c>
      <c r="H86" s="891">
        <v>6</v>
      </c>
      <c r="I86" s="891">
        <v>6</v>
      </c>
      <c r="J86" s="772">
        <v>175000</v>
      </c>
      <c r="K86" s="772">
        <f t="shared" si="4"/>
        <v>210000</v>
      </c>
      <c r="L86" s="711" t="s">
        <v>62</v>
      </c>
      <c r="M86" s="711"/>
    </row>
    <row r="87" spans="1:13" ht="23.15" customHeight="1">
      <c r="A87" s="726" t="s">
        <v>56</v>
      </c>
      <c r="B87" s="726" t="s">
        <v>5104</v>
      </c>
      <c r="C87" s="710" t="s">
        <v>415</v>
      </c>
      <c r="D87" s="710" t="s">
        <v>4994</v>
      </c>
      <c r="E87" s="730" t="s">
        <v>4946</v>
      </c>
      <c r="F87" s="729" t="s">
        <v>6971</v>
      </c>
      <c r="G87" s="759">
        <v>45323</v>
      </c>
      <c r="H87" s="891">
        <v>6</v>
      </c>
      <c r="I87" s="891">
        <v>6</v>
      </c>
      <c r="J87" s="772">
        <v>175000</v>
      </c>
      <c r="K87" s="772">
        <f t="shared" si="4"/>
        <v>210000</v>
      </c>
      <c r="L87" s="711" t="s">
        <v>62</v>
      </c>
      <c r="M87" s="711"/>
    </row>
    <row r="88" spans="1:13" ht="23.15" customHeight="1">
      <c r="A88" s="726" t="s">
        <v>56</v>
      </c>
      <c r="B88" s="726" t="s">
        <v>5104</v>
      </c>
      <c r="C88" s="710" t="s">
        <v>415</v>
      </c>
      <c r="D88" s="710" t="s">
        <v>4994</v>
      </c>
      <c r="E88" s="730" t="s">
        <v>4946</v>
      </c>
      <c r="F88" s="729" t="s">
        <v>5105</v>
      </c>
      <c r="G88" s="759">
        <v>45323</v>
      </c>
      <c r="H88" s="891">
        <v>6</v>
      </c>
      <c r="I88" s="891">
        <v>6</v>
      </c>
      <c r="J88" s="772">
        <v>175000</v>
      </c>
      <c r="K88" s="772">
        <f t="shared" si="4"/>
        <v>210000</v>
      </c>
      <c r="L88" s="711" t="s">
        <v>62</v>
      </c>
      <c r="M88" s="711"/>
    </row>
    <row r="89" spans="1:13" ht="23.15" customHeight="1">
      <c r="A89" s="726" t="s">
        <v>56</v>
      </c>
      <c r="B89" s="726" t="s">
        <v>45</v>
      </c>
      <c r="C89" s="710" t="s">
        <v>630</v>
      </c>
      <c r="D89" s="710" t="s">
        <v>1121</v>
      </c>
      <c r="E89" s="730" t="s">
        <v>4946</v>
      </c>
      <c r="F89" s="729" t="s">
        <v>6951</v>
      </c>
      <c r="G89" s="759">
        <v>45323</v>
      </c>
      <c r="H89" s="891">
        <v>1</v>
      </c>
      <c r="I89" s="891">
        <v>1</v>
      </c>
      <c r="J89" s="772">
        <v>140000</v>
      </c>
      <c r="K89" s="772">
        <f t="shared" si="4"/>
        <v>168000</v>
      </c>
      <c r="L89" s="711" t="s">
        <v>62</v>
      </c>
      <c r="M89" s="711"/>
    </row>
    <row r="90" spans="1:13" ht="23.15" customHeight="1">
      <c r="A90" s="726" t="s">
        <v>56</v>
      </c>
      <c r="B90" s="726" t="s">
        <v>5104</v>
      </c>
      <c r="C90" s="710" t="s">
        <v>415</v>
      </c>
      <c r="D90" s="710" t="s">
        <v>4994</v>
      </c>
      <c r="E90" s="730" t="s">
        <v>4946</v>
      </c>
      <c r="F90" s="729" t="s">
        <v>5106</v>
      </c>
      <c r="G90" s="759">
        <v>45323</v>
      </c>
      <c r="H90" s="891">
        <v>6</v>
      </c>
      <c r="I90" s="891">
        <v>6</v>
      </c>
      <c r="J90" s="772">
        <v>50000</v>
      </c>
      <c r="K90" s="772">
        <f t="shared" si="4"/>
        <v>60000</v>
      </c>
      <c r="L90" s="711" t="s">
        <v>62</v>
      </c>
      <c r="M90" s="711"/>
    </row>
    <row r="91" spans="1:13" ht="23.15" customHeight="1">
      <c r="A91" s="726" t="s">
        <v>56</v>
      </c>
      <c r="B91" s="726" t="s">
        <v>5104</v>
      </c>
      <c r="C91" s="710" t="s">
        <v>415</v>
      </c>
      <c r="D91" s="710" t="s">
        <v>4994</v>
      </c>
      <c r="E91" s="730" t="s">
        <v>4946</v>
      </c>
      <c r="F91" s="729" t="s">
        <v>5107</v>
      </c>
      <c r="G91" s="759">
        <v>45323</v>
      </c>
      <c r="H91" s="891">
        <v>6</v>
      </c>
      <c r="I91" s="891">
        <v>6</v>
      </c>
      <c r="J91" s="772">
        <v>95000</v>
      </c>
      <c r="K91" s="772">
        <f t="shared" si="4"/>
        <v>114000</v>
      </c>
      <c r="L91" s="711" t="s">
        <v>62</v>
      </c>
      <c r="M91" s="711"/>
    </row>
    <row r="92" spans="1:13" ht="23.15" customHeight="1">
      <c r="A92" s="3012" t="s">
        <v>44</v>
      </c>
      <c r="B92" s="3013" t="s">
        <v>45</v>
      </c>
      <c r="C92" s="3014" t="s">
        <v>5044</v>
      </c>
      <c r="D92" s="3014" t="s">
        <v>362</v>
      </c>
      <c r="E92" s="3014" t="s">
        <v>1595</v>
      </c>
      <c r="F92" s="3015" t="s">
        <v>5095</v>
      </c>
      <c r="G92" s="3016">
        <v>45323</v>
      </c>
      <c r="H92" s="3013">
        <v>12</v>
      </c>
      <c r="I92" s="3013">
        <v>12</v>
      </c>
      <c r="J92" s="3017">
        <v>200000</v>
      </c>
      <c r="K92" s="3018">
        <f t="shared" si="4"/>
        <v>240000</v>
      </c>
      <c r="L92" s="3013" t="s">
        <v>62</v>
      </c>
      <c r="M92" s="3013" t="s">
        <v>71</v>
      </c>
    </row>
    <row r="93" spans="1:13" ht="23.15" customHeight="1">
      <c r="A93" s="2995" t="s">
        <v>56</v>
      </c>
      <c r="B93" s="578" t="s">
        <v>45</v>
      </c>
      <c r="C93" s="710" t="s">
        <v>630</v>
      </c>
      <c r="D93" s="710" t="s">
        <v>1360</v>
      </c>
      <c r="E93" s="710" t="s">
        <v>4946</v>
      </c>
      <c r="F93" s="2996" t="s">
        <v>6972</v>
      </c>
      <c r="G93" s="2997">
        <v>45323</v>
      </c>
      <c r="H93" s="578">
        <v>48</v>
      </c>
      <c r="I93" s="578">
        <v>48</v>
      </c>
      <c r="J93" s="2501">
        <v>379530</v>
      </c>
      <c r="K93" s="772">
        <f>IF(ISNUMBER(J93),SUM(J93*20%)+J93,"")</f>
        <v>455436</v>
      </c>
      <c r="L93" s="578" t="s">
        <v>62</v>
      </c>
      <c r="M93" s="578" t="s">
        <v>71</v>
      </c>
    </row>
    <row r="94" spans="1:13" ht="23.15" customHeight="1">
      <c r="A94" s="726" t="s">
        <v>56</v>
      </c>
      <c r="B94" s="726" t="s">
        <v>45</v>
      </c>
      <c r="C94" s="730" t="s">
        <v>630</v>
      </c>
      <c r="D94" s="710" t="s">
        <v>1360</v>
      </c>
      <c r="E94" s="730" t="s">
        <v>4946</v>
      </c>
      <c r="F94" s="729" t="s">
        <v>5207</v>
      </c>
      <c r="G94" s="759">
        <v>45323</v>
      </c>
      <c r="H94" s="578">
        <v>48</v>
      </c>
      <c r="I94" s="578">
        <v>48</v>
      </c>
      <c r="J94" s="772">
        <f>140000+250000</f>
        <v>390000</v>
      </c>
      <c r="K94" s="772">
        <f t="shared" si="4"/>
        <v>468000</v>
      </c>
      <c r="L94" s="711" t="s">
        <v>62</v>
      </c>
      <c r="M94" s="711" t="s">
        <v>60</v>
      </c>
    </row>
    <row r="95" spans="1:13" ht="23.15" customHeight="1">
      <c r="A95" s="707" t="s">
        <v>100</v>
      </c>
      <c r="B95" s="707">
        <v>77584</v>
      </c>
      <c r="C95" s="710" t="s">
        <v>110</v>
      </c>
      <c r="D95" s="710" t="s">
        <v>1146</v>
      </c>
      <c r="E95" s="710" t="s">
        <v>5058</v>
      </c>
      <c r="F95" s="709" t="s">
        <v>5203</v>
      </c>
      <c r="G95" s="713">
        <v>45323</v>
      </c>
      <c r="H95" s="707">
        <v>60</v>
      </c>
      <c r="I95" s="707" t="s">
        <v>171</v>
      </c>
      <c r="J95" s="772">
        <v>2203292</v>
      </c>
      <c r="K95" s="772">
        <f t="shared" si="4"/>
        <v>2643950.4</v>
      </c>
      <c r="L95" s="710" t="s">
        <v>70</v>
      </c>
      <c r="M95" s="710" t="s">
        <v>5204</v>
      </c>
    </row>
    <row r="96" spans="1:13" s="908" customFormat="1" ht="23.15" customHeight="1">
      <c r="A96" s="726" t="s">
        <v>56</v>
      </c>
      <c r="B96" s="726" t="s">
        <v>60</v>
      </c>
      <c r="C96" s="710" t="s">
        <v>630</v>
      </c>
      <c r="D96" s="710" t="s">
        <v>1360</v>
      </c>
      <c r="E96" s="730" t="s">
        <v>4946</v>
      </c>
      <c r="F96" s="729" t="s">
        <v>6973</v>
      </c>
      <c r="G96" s="759">
        <v>45474</v>
      </c>
      <c r="H96" s="891">
        <v>1</v>
      </c>
      <c r="I96" s="891">
        <v>1</v>
      </c>
      <c r="J96" s="772">
        <v>80000</v>
      </c>
      <c r="K96" s="772">
        <f t="shared" si="4"/>
        <v>96000</v>
      </c>
      <c r="L96" s="711" t="s">
        <v>62</v>
      </c>
      <c r="M96" s="711" t="s">
        <v>60</v>
      </c>
    </row>
    <row r="97" spans="1:97" s="908" customFormat="1" ht="23.15" customHeight="1">
      <c r="A97" s="726" t="s">
        <v>56</v>
      </c>
      <c r="B97" s="726" t="s">
        <v>60</v>
      </c>
      <c r="C97" s="710" t="s">
        <v>630</v>
      </c>
      <c r="D97" s="710" t="s">
        <v>1360</v>
      </c>
      <c r="E97" s="730" t="s">
        <v>4946</v>
      </c>
      <c r="F97" s="729" t="s">
        <v>5167</v>
      </c>
      <c r="G97" s="759">
        <v>45444</v>
      </c>
      <c r="H97" s="891">
        <v>1</v>
      </c>
      <c r="I97" s="891">
        <v>1</v>
      </c>
      <c r="J97" s="772">
        <v>100000</v>
      </c>
      <c r="K97" s="772">
        <f t="shared" si="4"/>
        <v>120000</v>
      </c>
      <c r="L97" s="711" t="s">
        <v>62</v>
      </c>
      <c r="M97" s="711" t="s">
        <v>60</v>
      </c>
    </row>
    <row r="98" spans="1:97" ht="23.15" customHeight="1">
      <c r="A98" s="726" t="s">
        <v>56</v>
      </c>
      <c r="B98" s="726">
        <v>82108</v>
      </c>
      <c r="C98" s="710" t="s">
        <v>5044</v>
      </c>
      <c r="D98" s="710" t="s">
        <v>362</v>
      </c>
      <c r="E98" s="730" t="s">
        <v>4946</v>
      </c>
      <c r="F98" s="729" t="s">
        <v>6974</v>
      </c>
      <c r="G98" s="759">
        <v>45323</v>
      </c>
      <c r="H98" s="891">
        <v>1</v>
      </c>
      <c r="I98" s="891">
        <v>1</v>
      </c>
      <c r="J98" s="772">
        <v>56345</v>
      </c>
      <c r="K98" s="772">
        <f t="shared" si="4"/>
        <v>67614</v>
      </c>
      <c r="L98" s="711" t="s">
        <v>38</v>
      </c>
      <c r="M98" s="711"/>
    </row>
    <row r="99" spans="1:97" ht="23.15" customHeight="1">
      <c r="A99" s="726" t="s">
        <v>56</v>
      </c>
      <c r="B99" s="726" t="s">
        <v>45</v>
      </c>
      <c r="C99" s="710" t="s">
        <v>415</v>
      </c>
      <c r="D99" s="710" t="s">
        <v>4981</v>
      </c>
      <c r="E99" s="730" t="s">
        <v>4959</v>
      </c>
      <c r="F99" s="729" t="s">
        <v>6975</v>
      </c>
      <c r="G99" s="759">
        <v>45323</v>
      </c>
      <c r="H99" s="891">
        <v>36</v>
      </c>
      <c r="I99" s="891">
        <v>36</v>
      </c>
      <c r="J99" s="772">
        <v>600000</v>
      </c>
      <c r="K99" s="772">
        <f t="shared" si="4"/>
        <v>720000</v>
      </c>
      <c r="L99" s="711" t="s">
        <v>62</v>
      </c>
      <c r="M99" s="711"/>
    </row>
    <row r="100" spans="1:97" ht="23.15" customHeight="1">
      <c r="A100" s="726" t="s">
        <v>44</v>
      </c>
      <c r="B100" s="726" t="s">
        <v>45</v>
      </c>
      <c r="C100" s="710" t="s">
        <v>415</v>
      </c>
      <c r="D100" s="710" t="s">
        <v>4981</v>
      </c>
      <c r="E100" s="730" t="s">
        <v>4949</v>
      </c>
      <c r="F100" s="729" t="s">
        <v>6976</v>
      </c>
      <c r="G100" s="759">
        <v>45292</v>
      </c>
      <c r="H100" s="891">
        <v>6</v>
      </c>
      <c r="I100" s="891">
        <v>6</v>
      </c>
      <c r="J100" s="772">
        <v>45000</v>
      </c>
      <c r="K100" s="772">
        <f t="shared" si="4"/>
        <v>54000</v>
      </c>
      <c r="L100" s="711" t="s">
        <v>38</v>
      </c>
      <c r="M100" s="711"/>
    </row>
    <row r="101" spans="1:97" ht="23.15" customHeight="1">
      <c r="A101" s="726" t="s">
        <v>56</v>
      </c>
      <c r="B101" s="726" t="s">
        <v>5104</v>
      </c>
      <c r="C101" s="710" t="s">
        <v>415</v>
      </c>
      <c r="D101" s="710" t="s">
        <v>4994</v>
      </c>
      <c r="E101" s="730" t="s">
        <v>4946</v>
      </c>
      <c r="F101" s="729" t="s">
        <v>6977</v>
      </c>
      <c r="G101" s="759">
        <v>45323</v>
      </c>
      <c r="H101" s="891">
        <v>9</v>
      </c>
      <c r="I101" s="891">
        <v>9</v>
      </c>
      <c r="J101" s="772" t="s">
        <v>991</v>
      </c>
      <c r="K101" s="772" t="str">
        <f t="shared" si="4"/>
        <v/>
      </c>
      <c r="L101" s="711" t="s">
        <v>62</v>
      </c>
      <c r="M101" s="711"/>
    </row>
    <row r="102" spans="1:97" ht="23.15" customHeight="1">
      <c r="A102" s="726" t="s">
        <v>56</v>
      </c>
      <c r="B102" s="726" t="s">
        <v>5104</v>
      </c>
      <c r="C102" s="710" t="s">
        <v>415</v>
      </c>
      <c r="D102" s="710" t="s">
        <v>4994</v>
      </c>
      <c r="E102" s="730" t="s">
        <v>4946</v>
      </c>
      <c r="F102" s="729" t="s">
        <v>6978</v>
      </c>
      <c r="G102" s="759">
        <v>45323</v>
      </c>
      <c r="H102" s="891">
        <v>9</v>
      </c>
      <c r="I102" s="891">
        <v>9</v>
      </c>
      <c r="J102" s="772">
        <v>375000</v>
      </c>
      <c r="K102" s="772">
        <f t="shared" si="4"/>
        <v>450000</v>
      </c>
      <c r="L102" s="711" t="s">
        <v>62</v>
      </c>
      <c r="M102" s="711"/>
    </row>
    <row r="103" spans="1:97" ht="23.15" customHeight="1">
      <c r="A103" s="707" t="s">
        <v>44</v>
      </c>
      <c r="B103" s="738" t="s">
        <v>45</v>
      </c>
      <c r="C103" s="710" t="s">
        <v>5044</v>
      </c>
      <c r="D103" s="710" t="s">
        <v>569</v>
      </c>
      <c r="E103" s="710" t="s">
        <v>33</v>
      </c>
      <c r="F103" s="709" t="s">
        <v>3648</v>
      </c>
      <c r="G103" s="947">
        <v>45325</v>
      </c>
      <c r="H103" s="738">
        <v>36</v>
      </c>
      <c r="I103" s="738">
        <v>36</v>
      </c>
      <c r="J103" s="772">
        <v>61000</v>
      </c>
      <c r="K103" s="772">
        <f t="shared" si="4"/>
        <v>73200</v>
      </c>
      <c r="L103" s="744" t="s">
        <v>62</v>
      </c>
      <c r="M103" s="738" t="s">
        <v>67</v>
      </c>
    </row>
    <row r="104" spans="1:97" ht="23.15" customHeight="1">
      <c r="A104" s="707" t="s">
        <v>56</v>
      </c>
      <c r="B104" s="707" t="s">
        <v>45</v>
      </c>
      <c r="C104" s="707" t="s">
        <v>630</v>
      </c>
      <c r="D104" s="710" t="s">
        <v>1360</v>
      </c>
      <c r="E104" s="730" t="s">
        <v>1471</v>
      </c>
      <c r="F104" s="728" t="s">
        <v>5208</v>
      </c>
      <c r="G104" s="887">
        <v>45330</v>
      </c>
      <c r="H104" s="707">
        <v>60</v>
      </c>
      <c r="I104" s="707" t="s">
        <v>171</v>
      </c>
      <c r="J104" s="3010">
        <v>112752</v>
      </c>
      <c r="K104" s="772">
        <f t="shared" si="4"/>
        <v>135302.39999999999</v>
      </c>
      <c r="L104" s="707" t="s">
        <v>62</v>
      </c>
      <c r="M104" s="707" t="s">
        <v>71</v>
      </c>
    </row>
    <row r="105" spans="1:97" s="2993" customFormat="1" ht="23.15" customHeight="1">
      <c r="A105" s="707" t="s">
        <v>44</v>
      </c>
      <c r="B105" s="738" t="s">
        <v>654</v>
      </c>
      <c r="C105" s="710" t="s">
        <v>5123</v>
      </c>
      <c r="D105" s="710" t="s">
        <v>862</v>
      </c>
      <c r="E105" s="710" t="s">
        <v>514</v>
      </c>
      <c r="F105" s="709" t="s">
        <v>655</v>
      </c>
      <c r="G105" s="769">
        <v>45344</v>
      </c>
      <c r="H105" s="710">
        <v>48</v>
      </c>
      <c r="I105" s="710" t="s">
        <v>5220</v>
      </c>
      <c r="J105" s="772">
        <v>750000</v>
      </c>
      <c r="K105" s="772">
        <f t="shared" si="4"/>
        <v>900000</v>
      </c>
      <c r="L105" s="731" t="s">
        <v>70</v>
      </c>
      <c r="M105" s="731">
        <v>44144</v>
      </c>
      <c r="N105" s="2994"/>
      <c r="O105" s="2994"/>
      <c r="P105" s="2994"/>
      <c r="Q105" s="2994"/>
      <c r="R105" s="2994"/>
      <c r="S105" s="2994"/>
      <c r="T105" s="2994"/>
      <c r="U105" s="2994"/>
      <c r="V105" s="2994"/>
      <c r="W105" s="2994"/>
      <c r="X105" s="2994"/>
      <c r="Y105" s="2994"/>
      <c r="Z105" s="2994"/>
      <c r="AA105" s="2994"/>
      <c r="AB105" s="2994"/>
      <c r="AC105" s="2994"/>
      <c r="AD105" s="2994"/>
      <c r="AE105" s="2994"/>
      <c r="AF105" s="2994"/>
      <c r="AG105" s="2994"/>
      <c r="AH105" s="2994"/>
      <c r="AI105" s="2994"/>
      <c r="AJ105" s="2994"/>
      <c r="AK105" s="2994"/>
      <c r="AL105" s="2994"/>
      <c r="AM105" s="2994"/>
      <c r="AN105" s="2994"/>
      <c r="AO105" s="2994"/>
      <c r="AP105" s="2994"/>
      <c r="AQ105" s="2994"/>
      <c r="AR105" s="2994"/>
      <c r="AS105" s="2994"/>
      <c r="AT105" s="2994"/>
      <c r="AU105" s="2994"/>
      <c r="AV105" s="2994"/>
      <c r="AW105" s="2994"/>
      <c r="AX105" s="2994"/>
      <c r="AY105" s="2994"/>
      <c r="AZ105" s="2994"/>
      <c r="BA105" s="2994"/>
      <c r="BB105" s="2994"/>
      <c r="BC105" s="2994"/>
      <c r="BD105" s="2994"/>
      <c r="BE105" s="2994"/>
      <c r="BF105" s="2994"/>
      <c r="BG105" s="2994"/>
      <c r="BH105" s="2994"/>
      <c r="BI105" s="2994"/>
      <c r="BJ105" s="2994"/>
      <c r="BK105" s="2994"/>
      <c r="BL105" s="2994"/>
      <c r="BM105" s="2994"/>
      <c r="BN105" s="2994"/>
      <c r="BO105" s="2994"/>
      <c r="BP105" s="2994"/>
      <c r="BQ105" s="2994"/>
      <c r="BR105" s="2994"/>
      <c r="BS105" s="2994"/>
      <c r="BT105" s="2994"/>
      <c r="BU105" s="2994"/>
      <c r="BV105" s="2994"/>
      <c r="BW105" s="2994"/>
      <c r="BX105" s="2994"/>
      <c r="BY105" s="2994"/>
      <c r="BZ105" s="2994"/>
      <c r="CA105" s="2994"/>
      <c r="CB105" s="2994"/>
      <c r="CC105" s="2994"/>
      <c r="CD105" s="2994"/>
      <c r="CE105" s="2994"/>
      <c r="CF105" s="2994"/>
      <c r="CG105" s="2994"/>
      <c r="CH105" s="2994"/>
      <c r="CI105" s="2994"/>
      <c r="CJ105" s="2994"/>
      <c r="CK105" s="2994"/>
      <c r="CL105" s="2994"/>
      <c r="CM105" s="2994"/>
      <c r="CN105" s="2994"/>
      <c r="CO105" s="2994"/>
      <c r="CP105" s="2994"/>
      <c r="CQ105" s="2994"/>
      <c r="CR105" s="2994"/>
      <c r="CS105" s="2994"/>
    </row>
    <row r="106" spans="1:97" ht="23.15" customHeight="1">
      <c r="A106" s="2995" t="s">
        <v>56</v>
      </c>
      <c r="B106" s="578" t="s">
        <v>5491</v>
      </c>
      <c r="C106" s="710" t="s">
        <v>5044</v>
      </c>
      <c r="D106" s="710" t="s">
        <v>4994</v>
      </c>
      <c r="E106" s="578" t="s">
        <v>4956</v>
      </c>
      <c r="F106" s="2996" t="s">
        <v>6979</v>
      </c>
      <c r="G106" s="2997">
        <v>45349</v>
      </c>
      <c r="H106" s="590">
        <v>48</v>
      </c>
      <c r="I106" s="578" t="s">
        <v>626</v>
      </c>
      <c r="J106" s="2501">
        <v>1300000</v>
      </c>
      <c r="K106" s="772">
        <f t="shared" si="4"/>
        <v>1560000</v>
      </c>
      <c r="L106" s="578" t="s">
        <v>38</v>
      </c>
      <c r="M106" s="578"/>
    </row>
    <row r="107" spans="1:97" ht="23.15" customHeight="1">
      <c r="A107" s="2995" t="s">
        <v>56</v>
      </c>
      <c r="B107" s="578" t="s">
        <v>5215</v>
      </c>
      <c r="C107" s="710" t="s">
        <v>415</v>
      </c>
      <c r="D107" s="710" t="s">
        <v>4994</v>
      </c>
      <c r="E107" s="578" t="s">
        <v>4956</v>
      </c>
      <c r="F107" s="2996" t="s">
        <v>5216</v>
      </c>
      <c r="G107" s="2997">
        <v>45350</v>
      </c>
      <c r="H107" s="578">
        <v>48</v>
      </c>
      <c r="I107" s="578" t="s">
        <v>3071</v>
      </c>
      <c r="J107" s="2501" t="s">
        <v>1170</v>
      </c>
      <c r="K107" s="772" t="str">
        <f t="shared" si="4"/>
        <v/>
      </c>
      <c r="L107" s="578"/>
      <c r="M107" s="578"/>
    </row>
    <row r="108" spans="1:97" ht="23.15" customHeight="1">
      <c r="A108" s="707" t="s">
        <v>100</v>
      </c>
      <c r="B108" s="738" t="s">
        <v>45</v>
      </c>
      <c r="C108" s="710" t="s">
        <v>5158</v>
      </c>
      <c r="D108" s="710" t="s">
        <v>1146</v>
      </c>
      <c r="E108" s="710" t="s">
        <v>5058</v>
      </c>
      <c r="F108" s="709" t="s">
        <v>6980</v>
      </c>
      <c r="G108" s="769">
        <v>45352</v>
      </c>
      <c r="H108" s="710" t="s">
        <v>45</v>
      </c>
      <c r="I108" s="710" t="s">
        <v>45</v>
      </c>
      <c r="J108" s="772">
        <v>12000000</v>
      </c>
      <c r="K108" s="772">
        <f t="shared" si="4"/>
        <v>14400000</v>
      </c>
      <c r="L108" s="710" t="s">
        <v>70</v>
      </c>
      <c r="M108" s="3019" t="s">
        <v>6981</v>
      </c>
    </row>
    <row r="109" spans="1:97" ht="23.15" customHeight="1">
      <c r="A109" s="707" t="s">
        <v>100</v>
      </c>
      <c r="B109" s="707" t="s">
        <v>45</v>
      </c>
      <c r="C109" s="707" t="s">
        <v>5219</v>
      </c>
      <c r="D109" s="730" t="s">
        <v>1340</v>
      </c>
      <c r="E109" s="710" t="s">
        <v>5058</v>
      </c>
      <c r="F109" s="709" t="s">
        <v>579</v>
      </c>
      <c r="G109" s="711">
        <v>45352</v>
      </c>
      <c r="H109" s="710">
        <v>84</v>
      </c>
      <c r="I109" s="884" t="s">
        <v>1455</v>
      </c>
      <c r="J109" s="772">
        <v>1172213</v>
      </c>
      <c r="K109" s="772">
        <f t="shared" si="4"/>
        <v>1406655.6</v>
      </c>
      <c r="L109" s="710" t="s">
        <v>70</v>
      </c>
      <c r="M109" s="710" t="s">
        <v>45</v>
      </c>
    </row>
    <row r="110" spans="1:97" ht="23.15" customHeight="1">
      <c r="A110" s="707" t="s">
        <v>44</v>
      </c>
      <c r="B110" s="707">
        <v>80987</v>
      </c>
      <c r="C110" s="710" t="s">
        <v>415</v>
      </c>
      <c r="D110" s="710" t="s">
        <v>5078</v>
      </c>
      <c r="E110" s="710" t="s">
        <v>4949</v>
      </c>
      <c r="F110" s="709" t="s">
        <v>5132</v>
      </c>
      <c r="G110" s="711">
        <v>45352</v>
      </c>
      <c r="H110" s="710" t="s">
        <v>45</v>
      </c>
      <c r="I110" s="710" t="s">
        <v>45</v>
      </c>
      <c r="J110" s="772">
        <v>200000</v>
      </c>
      <c r="K110" s="772">
        <f>IF(ISNUMBER(J110),SUM(J110*20%)+J110,"")</f>
        <v>240000</v>
      </c>
      <c r="L110" s="710" t="s">
        <v>45</v>
      </c>
      <c r="M110" s="710" t="s">
        <v>45</v>
      </c>
    </row>
    <row r="111" spans="1:97" ht="23.15" customHeight="1">
      <c r="A111" s="726" t="s">
        <v>56</v>
      </c>
      <c r="B111" s="707" t="s">
        <v>45</v>
      </c>
      <c r="C111" s="710" t="s">
        <v>630</v>
      </c>
      <c r="D111" s="710" t="s">
        <v>1315</v>
      </c>
      <c r="E111" s="730" t="s">
        <v>1471</v>
      </c>
      <c r="F111" s="729" t="s">
        <v>6982</v>
      </c>
      <c r="G111" s="759">
        <v>45444</v>
      </c>
      <c r="H111" s="891">
        <v>48</v>
      </c>
      <c r="I111" s="891" t="s">
        <v>45</v>
      </c>
      <c r="J111" s="772">
        <f>(138000+160000+130000)*4</f>
        <v>1712000</v>
      </c>
      <c r="K111" s="772">
        <f>IF(ISNUMBER(J111),SUM(J111*20%)+J111,"")</f>
        <v>2054400</v>
      </c>
      <c r="L111" s="711" t="s">
        <v>310</v>
      </c>
      <c r="M111" s="711" t="s">
        <v>60</v>
      </c>
    </row>
    <row r="112" spans="1:97" ht="23.15" customHeight="1">
      <c r="A112" s="707" t="s">
        <v>100</v>
      </c>
      <c r="B112" s="707" t="s">
        <v>45</v>
      </c>
      <c r="C112" s="710" t="s">
        <v>110</v>
      </c>
      <c r="D112" s="710" t="s">
        <v>450</v>
      </c>
      <c r="E112" s="710" t="s">
        <v>4980</v>
      </c>
      <c r="F112" s="709" t="s">
        <v>3079</v>
      </c>
      <c r="G112" s="713">
        <v>45717</v>
      </c>
      <c r="H112" s="777" t="s">
        <v>45</v>
      </c>
      <c r="I112" s="777" t="s">
        <v>45</v>
      </c>
      <c r="J112" s="772" t="s">
        <v>45</v>
      </c>
      <c r="K112" s="772" t="str">
        <f>IF(ISNUMBER(J112),SUM(J112*20%)+J112,"")</f>
        <v/>
      </c>
      <c r="L112" s="710" t="s">
        <v>62</v>
      </c>
      <c r="M112" s="710" t="s">
        <v>71</v>
      </c>
    </row>
    <row r="113" spans="1:13" ht="23.15" customHeight="1">
      <c r="A113" s="707" t="s">
        <v>100</v>
      </c>
      <c r="B113" s="707" t="s">
        <v>45</v>
      </c>
      <c r="C113" s="710" t="s">
        <v>122</v>
      </c>
      <c r="D113" s="710" t="s">
        <v>5217</v>
      </c>
      <c r="E113" s="710" t="s">
        <v>5060</v>
      </c>
      <c r="F113" s="709" t="s">
        <v>467</v>
      </c>
      <c r="G113" s="713">
        <v>45352</v>
      </c>
      <c r="H113" s="777" t="s">
        <v>45</v>
      </c>
      <c r="I113" s="777" t="s">
        <v>45</v>
      </c>
      <c r="J113" s="772" t="s">
        <v>45</v>
      </c>
      <c r="K113" s="772" t="str">
        <f>IF(ISNUMBER(J113),SUM(J113*20%)+J113,"")</f>
        <v/>
      </c>
      <c r="L113" s="710" t="s">
        <v>62</v>
      </c>
      <c r="M113" s="707" t="s">
        <v>71</v>
      </c>
    </row>
    <row r="114" spans="1:13" ht="23.15" customHeight="1">
      <c r="A114" s="707" t="s">
        <v>44</v>
      </c>
      <c r="B114" s="707" t="s">
        <v>45</v>
      </c>
      <c r="C114" s="710" t="s">
        <v>415</v>
      </c>
      <c r="D114" s="710" t="s">
        <v>5078</v>
      </c>
      <c r="E114" s="710" t="s">
        <v>4949</v>
      </c>
      <c r="F114" s="709" t="s">
        <v>5134</v>
      </c>
      <c r="G114" s="711">
        <v>45352</v>
      </c>
      <c r="H114" s="710" t="s">
        <v>45</v>
      </c>
      <c r="I114" s="710" t="s">
        <v>45</v>
      </c>
      <c r="J114" s="710" t="s">
        <v>45</v>
      </c>
      <c r="K114" s="772"/>
      <c r="L114" s="710" t="s">
        <v>45</v>
      </c>
      <c r="M114" s="710" t="s">
        <v>45</v>
      </c>
    </row>
    <row r="115" spans="1:13" ht="23.15" customHeight="1">
      <c r="A115" s="726" t="s">
        <v>56</v>
      </c>
      <c r="B115" s="730" t="s">
        <v>60</v>
      </c>
      <c r="C115" s="730" t="s">
        <v>630</v>
      </c>
      <c r="D115" s="710" t="s">
        <v>1360</v>
      </c>
      <c r="E115" s="730" t="s">
        <v>4946</v>
      </c>
      <c r="F115" s="728" t="s">
        <v>5218</v>
      </c>
      <c r="G115" s="711">
        <v>45444</v>
      </c>
      <c r="H115" s="3020" t="s">
        <v>60</v>
      </c>
      <c r="I115" s="3020" t="s">
        <v>60</v>
      </c>
      <c r="J115" s="772">
        <v>41476123</v>
      </c>
      <c r="K115" s="772">
        <f t="shared" ref="K115:K133" si="5">IF(ISNUMBER(J115),SUM(J115*20%)+J115,"")</f>
        <v>49771347.600000001</v>
      </c>
      <c r="L115" s="711" t="s">
        <v>310</v>
      </c>
      <c r="M115" s="730" t="s">
        <v>60</v>
      </c>
    </row>
    <row r="116" spans="1:13" ht="23.15" customHeight="1">
      <c r="A116" s="707" t="s">
        <v>44</v>
      </c>
      <c r="B116" s="738" t="s">
        <v>45</v>
      </c>
      <c r="C116" s="710" t="s">
        <v>5044</v>
      </c>
      <c r="D116" s="710" t="s">
        <v>569</v>
      </c>
      <c r="E116" s="710" t="s">
        <v>33</v>
      </c>
      <c r="F116" s="709" t="s">
        <v>5311</v>
      </c>
      <c r="G116" s="947">
        <v>45354</v>
      </c>
      <c r="H116" s="710">
        <v>60</v>
      </c>
      <c r="I116" s="710" t="s">
        <v>187</v>
      </c>
      <c r="J116" s="772">
        <v>920000</v>
      </c>
      <c r="K116" s="772">
        <f t="shared" si="5"/>
        <v>1104000</v>
      </c>
      <c r="L116" s="710" t="s">
        <v>70</v>
      </c>
      <c r="M116" s="711">
        <v>45169</v>
      </c>
    </row>
    <row r="117" spans="1:13" ht="23.15" customHeight="1">
      <c r="A117" s="707" t="s">
        <v>44</v>
      </c>
      <c r="B117" s="707">
        <v>49859</v>
      </c>
      <c r="C117" s="710" t="s">
        <v>5123</v>
      </c>
      <c r="D117" s="710" t="s">
        <v>862</v>
      </c>
      <c r="E117" s="710" t="s">
        <v>4622</v>
      </c>
      <c r="F117" s="709" t="s">
        <v>2630</v>
      </c>
      <c r="G117" s="769">
        <v>45365</v>
      </c>
      <c r="H117" s="710">
        <v>36</v>
      </c>
      <c r="I117" s="710" t="s">
        <v>5004</v>
      </c>
      <c r="J117" s="772">
        <v>784000</v>
      </c>
      <c r="K117" s="772">
        <f t="shared" si="5"/>
        <v>940800</v>
      </c>
      <c r="L117" s="731" t="s">
        <v>70</v>
      </c>
      <c r="M117" s="731">
        <v>44614</v>
      </c>
    </row>
    <row r="118" spans="1:13" ht="23.15" customHeight="1">
      <c r="A118" s="707" t="s">
        <v>44</v>
      </c>
      <c r="B118" s="738" t="s">
        <v>427</v>
      </c>
      <c r="C118" s="710" t="s">
        <v>5044</v>
      </c>
      <c r="D118" s="710" t="s">
        <v>569</v>
      </c>
      <c r="E118" s="710" t="s">
        <v>33</v>
      </c>
      <c r="F118" s="709" t="s">
        <v>6983</v>
      </c>
      <c r="G118" s="769">
        <v>45597</v>
      </c>
      <c r="H118" s="738" t="s">
        <v>45</v>
      </c>
      <c r="I118" s="710" t="s">
        <v>45</v>
      </c>
      <c r="J118" s="772">
        <v>382000</v>
      </c>
      <c r="K118" s="772">
        <f t="shared" si="5"/>
        <v>458400</v>
      </c>
      <c r="L118" s="769" t="s">
        <v>62</v>
      </c>
      <c r="M118" s="769" t="s">
        <v>67</v>
      </c>
    </row>
    <row r="119" spans="1:13" ht="23.15" customHeight="1">
      <c r="A119" s="707" t="s">
        <v>44</v>
      </c>
      <c r="B119" s="707" t="s">
        <v>45</v>
      </c>
      <c r="C119" s="710" t="s">
        <v>5044</v>
      </c>
      <c r="D119" s="710" t="s">
        <v>569</v>
      </c>
      <c r="E119" s="730" t="s">
        <v>33</v>
      </c>
      <c r="F119" s="728" t="s">
        <v>6984</v>
      </c>
      <c r="G119" s="887">
        <v>45382</v>
      </c>
      <c r="H119" s="707">
        <v>36</v>
      </c>
      <c r="I119" s="707" t="s">
        <v>160</v>
      </c>
      <c r="J119" s="3010">
        <v>97500</v>
      </c>
      <c r="K119" s="772">
        <f t="shared" si="5"/>
        <v>117000</v>
      </c>
      <c r="L119" s="744" t="s">
        <v>45</v>
      </c>
      <c r="M119" s="707" t="s">
        <v>45</v>
      </c>
    </row>
    <row r="120" spans="1:13" ht="23.15" customHeight="1">
      <c r="A120" s="2995" t="s">
        <v>56</v>
      </c>
      <c r="B120" s="578" t="s">
        <v>5224</v>
      </c>
      <c r="C120" s="710" t="s">
        <v>5044</v>
      </c>
      <c r="D120" s="710" t="s">
        <v>362</v>
      </c>
      <c r="E120" s="578" t="s">
        <v>4946</v>
      </c>
      <c r="F120" s="2996" t="s">
        <v>5225</v>
      </c>
      <c r="G120" s="2997">
        <v>45382</v>
      </c>
      <c r="H120" s="590">
        <v>48</v>
      </c>
      <c r="I120" s="578" t="s">
        <v>3071</v>
      </c>
      <c r="J120" s="2501"/>
      <c r="K120" s="772" t="str">
        <f t="shared" si="5"/>
        <v/>
      </c>
      <c r="L120" s="578"/>
      <c r="M120" s="578"/>
    </row>
    <row r="121" spans="1:13" ht="23.15" customHeight="1">
      <c r="A121" s="726" t="s">
        <v>647</v>
      </c>
      <c r="B121" s="726" t="s">
        <v>45</v>
      </c>
      <c r="C121" s="710" t="s">
        <v>647</v>
      </c>
      <c r="D121" s="710" t="s">
        <v>647</v>
      </c>
      <c r="E121" s="730" t="s">
        <v>4946</v>
      </c>
      <c r="F121" s="729" t="s">
        <v>5284</v>
      </c>
      <c r="G121" s="759">
        <v>45383</v>
      </c>
      <c r="H121" s="891">
        <v>1</v>
      </c>
      <c r="I121" s="891">
        <v>1</v>
      </c>
      <c r="J121" s="772">
        <v>89294</v>
      </c>
      <c r="K121" s="772">
        <f t="shared" si="5"/>
        <v>107152.8</v>
      </c>
      <c r="L121" s="711" t="s">
        <v>589</v>
      </c>
      <c r="M121" s="711" t="s">
        <v>589</v>
      </c>
    </row>
    <row r="122" spans="1:13" ht="23.15" customHeight="1">
      <c r="A122" s="726" t="s">
        <v>647</v>
      </c>
      <c r="B122" s="726" t="s">
        <v>60</v>
      </c>
      <c r="C122" s="730" t="s">
        <v>647</v>
      </c>
      <c r="D122" s="710" t="s">
        <v>647</v>
      </c>
      <c r="E122" s="730" t="s">
        <v>4946</v>
      </c>
      <c r="F122" s="729" t="s">
        <v>5136</v>
      </c>
      <c r="G122" s="759">
        <v>45383</v>
      </c>
      <c r="H122" s="891">
        <v>2</v>
      </c>
      <c r="I122" s="891">
        <v>2</v>
      </c>
      <c r="J122" s="772">
        <v>500000</v>
      </c>
      <c r="K122" s="772">
        <f t="shared" si="5"/>
        <v>600000</v>
      </c>
      <c r="L122" s="711" t="s">
        <v>5137</v>
      </c>
      <c r="M122" s="710" t="s">
        <v>45</v>
      </c>
    </row>
    <row r="123" spans="1:13" ht="23.15" customHeight="1">
      <c r="A123" s="707" t="s">
        <v>100</v>
      </c>
      <c r="B123" s="707" t="s">
        <v>45</v>
      </c>
      <c r="C123" s="710" t="s">
        <v>5044</v>
      </c>
      <c r="D123" s="710" t="s">
        <v>4955</v>
      </c>
      <c r="E123" s="710" t="s">
        <v>4995</v>
      </c>
      <c r="F123" s="709" t="s">
        <v>1458</v>
      </c>
      <c r="G123" s="713">
        <v>45383</v>
      </c>
      <c r="H123" s="777">
        <v>60</v>
      </c>
      <c r="I123" s="777" t="s">
        <v>187</v>
      </c>
      <c r="J123" s="772">
        <v>450000</v>
      </c>
      <c r="K123" s="772">
        <f t="shared" si="5"/>
        <v>540000</v>
      </c>
      <c r="L123" s="710" t="s">
        <v>70</v>
      </c>
      <c r="M123" s="711">
        <v>45142</v>
      </c>
    </row>
    <row r="124" spans="1:13" ht="23.15" customHeight="1">
      <c r="A124" s="726" t="s">
        <v>647</v>
      </c>
      <c r="B124" s="726" t="s">
        <v>5104</v>
      </c>
      <c r="C124" s="710" t="s">
        <v>647</v>
      </c>
      <c r="D124" s="710" t="s">
        <v>647</v>
      </c>
      <c r="E124" s="730" t="s">
        <v>4946</v>
      </c>
      <c r="F124" s="729" t="s">
        <v>5108</v>
      </c>
      <c r="G124" s="759">
        <v>45413</v>
      </c>
      <c r="H124" s="891">
        <v>3</v>
      </c>
      <c r="I124" s="891">
        <v>3</v>
      </c>
      <c r="J124" s="772">
        <v>365800</v>
      </c>
      <c r="K124" s="772">
        <f t="shared" si="5"/>
        <v>438960</v>
      </c>
      <c r="L124" s="711" t="s">
        <v>38</v>
      </c>
      <c r="M124" s="711"/>
    </row>
    <row r="125" spans="1:13" ht="23.15" customHeight="1">
      <c r="A125" s="726" t="s">
        <v>647</v>
      </c>
      <c r="B125" s="726" t="s">
        <v>5104</v>
      </c>
      <c r="C125" s="710" t="s">
        <v>647</v>
      </c>
      <c r="D125" s="710" t="s">
        <v>647</v>
      </c>
      <c r="E125" s="730" t="s">
        <v>4946</v>
      </c>
      <c r="F125" s="729" t="s">
        <v>5110</v>
      </c>
      <c r="G125" s="759">
        <v>45383</v>
      </c>
      <c r="H125" s="891">
        <v>3</v>
      </c>
      <c r="I125" s="891">
        <v>3</v>
      </c>
      <c r="J125" s="772">
        <v>135000</v>
      </c>
      <c r="K125" s="772">
        <f t="shared" si="5"/>
        <v>162000</v>
      </c>
      <c r="L125" s="711" t="s">
        <v>38</v>
      </c>
      <c r="M125" s="711"/>
    </row>
    <row r="126" spans="1:13" ht="23.15" customHeight="1">
      <c r="A126" s="707" t="s">
        <v>44</v>
      </c>
      <c r="B126" s="738" t="s">
        <v>45</v>
      </c>
      <c r="C126" s="710" t="s">
        <v>5044</v>
      </c>
      <c r="D126" s="730" t="s">
        <v>1440</v>
      </c>
      <c r="E126" s="710" t="s">
        <v>127</v>
      </c>
      <c r="F126" s="709" t="s">
        <v>3135</v>
      </c>
      <c r="G126" s="947">
        <v>45383</v>
      </c>
      <c r="H126" s="738">
        <v>36</v>
      </c>
      <c r="I126" s="903" t="s">
        <v>98</v>
      </c>
      <c r="J126" s="772">
        <v>96000</v>
      </c>
      <c r="K126" s="772">
        <f t="shared" si="5"/>
        <v>115200</v>
      </c>
      <c r="L126" s="710" t="s">
        <v>62</v>
      </c>
      <c r="M126" s="738" t="s">
        <v>67</v>
      </c>
    </row>
    <row r="127" spans="1:13" ht="23.15" customHeight="1">
      <c r="A127" s="2385" t="s">
        <v>56</v>
      </c>
      <c r="B127" s="2385" t="s">
        <v>1364</v>
      </c>
      <c r="C127" s="710" t="s">
        <v>415</v>
      </c>
      <c r="D127" s="710" t="s">
        <v>4994</v>
      </c>
      <c r="E127" s="2385" t="s">
        <v>4946</v>
      </c>
      <c r="F127" s="728" t="s">
        <v>1368</v>
      </c>
      <c r="G127" s="712">
        <v>45383</v>
      </c>
      <c r="H127" s="2385">
        <v>84</v>
      </c>
      <c r="I127" s="2385" t="s">
        <v>5267</v>
      </c>
      <c r="J127" s="3000">
        <v>8400000</v>
      </c>
      <c r="K127" s="772">
        <f t="shared" si="5"/>
        <v>10080000</v>
      </c>
      <c r="L127" s="710" t="s">
        <v>70</v>
      </c>
      <c r="M127" s="2385" t="s">
        <v>45</v>
      </c>
    </row>
    <row r="128" spans="1:13" ht="23.15" customHeight="1">
      <c r="A128" s="726" t="s">
        <v>647</v>
      </c>
      <c r="B128" s="726">
        <v>81019</v>
      </c>
      <c r="C128" s="710" t="s">
        <v>647</v>
      </c>
      <c r="D128" s="577" t="s">
        <v>647</v>
      </c>
      <c r="E128" s="730" t="s">
        <v>4946</v>
      </c>
      <c r="F128" s="709" t="s">
        <v>5257</v>
      </c>
      <c r="G128" s="711">
        <v>45383</v>
      </c>
      <c r="H128" s="893" t="s">
        <v>1119</v>
      </c>
      <c r="I128" s="893" t="s">
        <v>1119</v>
      </c>
      <c r="J128" s="772">
        <v>300000000</v>
      </c>
      <c r="K128" s="772">
        <f t="shared" si="5"/>
        <v>360000000</v>
      </c>
      <c r="L128" s="711" t="s">
        <v>310</v>
      </c>
      <c r="M128" s="711" t="s">
        <v>60</v>
      </c>
    </row>
    <row r="129" spans="1:13" ht="23.15" customHeight="1">
      <c r="A129" s="2995" t="s">
        <v>56</v>
      </c>
      <c r="B129" s="578" t="s">
        <v>5600</v>
      </c>
      <c r="C129" s="710" t="s">
        <v>5044</v>
      </c>
      <c r="D129" s="710" t="s">
        <v>362</v>
      </c>
      <c r="E129" s="578" t="s">
        <v>4622</v>
      </c>
      <c r="F129" s="2996" t="s">
        <v>5601</v>
      </c>
      <c r="G129" s="2997">
        <v>45383</v>
      </c>
      <c r="H129" s="578">
        <v>60</v>
      </c>
      <c r="I129" s="578"/>
      <c r="J129" s="3009">
        <v>119875</v>
      </c>
      <c r="K129" s="772">
        <f t="shared" si="5"/>
        <v>143850</v>
      </c>
      <c r="L129" s="578" t="s">
        <v>45</v>
      </c>
      <c r="M129" s="578"/>
    </row>
    <row r="130" spans="1:13" ht="23.15" customHeight="1">
      <c r="A130" s="707" t="s">
        <v>100</v>
      </c>
      <c r="B130" s="707" t="s">
        <v>45</v>
      </c>
      <c r="C130" s="710" t="s">
        <v>122</v>
      </c>
      <c r="D130" s="710" t="s">
        <v>1163</v>
      </c>
      <c r="E130" s="710" t="s">
        <v>5060</v>
      </c>
      <c r="F130" s="709" t="s">
        <v>3172</v>
      </c>
      <c r="G130" s="713">
        <v>45383</v>
      </c>
      <c r="H130" s="777">
        <v>60</v>
      </c>
      <c r="I130" s="707" t="s">
        <v>6985</v>
      </c>
      <c r="J130" s="772">
        <v>3861540</v>
      </c>
      <c r="K130" s="772">
        <f t="shared" si="5"/>
        <v>4633848</v>
      </c>
      <c r="L130" s="710" t="s">
        <v>38</v>
      </c>
      <c r="M130" s="713" t="s">
        <v>5231</v>
      </c>
    </row>
    <row r="131" spans="1:13" ht="23.15" customHeight="1">
      <c r="A131" s="707" t="s">
        <v>44</v>
      </c>
      <c r="B131" s="738" t="s">
        <v>3229</v>
      </c>
      <c r="C131" s="710" t="s">
        <v>5044</v>
      </c>
      <c r="D131" s="730" t="s">
        <v>1440</v>
      </c>
      <c r="E131" s="710" t="s">
        <v>127</v>
      </c>
      <c r="F131" s="709" t="s">
        <v>6986</v>
      </c>
      <c r="G131" s="947">
        <v>45383</v>
      </c>
      <c r="H131" s="738">
        <v>12</v>
      </c>
      <c r="I131" s="738">
        <v>12</v>
      </c>
      <c r="J131" s="772" t="s">
        <v>45</v>
      </c>
      <c r="K131" s="772" t="str">
        <f t="shared" si="5"/>
        <v/>
      </c>
      <c r="L131" s="710" t="s">
        <v>38</v>
      </c>
      <c r="M131" s="578" t="s">
        <v>71</v>
      </c>
    </row>
    <row r="132" spans="1:13" s="908" customFormat="1" ht="23.15" customHeight="1">
      <c r="A132" s="707" t="s">
        <v>44</v>
      </c>
      <c r="B132" s="738" t="s">
        <v>3229</v>
      </c>
      <c r="C132" s="710" t="s">
        <v>5044</v>
      </c>
      <c r="D132" s="730" t="s">
        <v>1440</v>
      </c>
      <c r="E132" s="710" t="s">
        <v>127</v>
      </c>
      <c r="F132" s="709" t="s">
        <v>6987</v>
      </c>
      <c r="G132" s="947">
        <v>45383</v>
      </c>
      <c r="H132" s="738">
        <v>12</v>
      </c>
      <c r="I132" s="738">
        <v>12</v>
      </c>
      <c r="J132" s="772" t="s">
        <v>45</v>
      </c>
      <c r="K132" s="772" t="str">
        <f t="shared" si="5"/>
        <v/>
      </c>
      <c r="L132" s="710" t="s">
        <v>38</v>
      </c>
      <c r="M132" s="578" t="s">
        <v>71</v>
      </c>
    </row>
    <row r="133" spans="1:13" ht="23.15" customHeight="1">
      <c r="A133" s="707" t="s">
        <v>44</v>
      </c>
      <c r="B133" s="738" t="s">
        <v>3229</v>
      </c>
      <c r="C133" s="710" t="s">
        <v>5044</v>
      </c>
      <c r="D133" s="730" t="s">
        <v>1440</v>
      </c>
      <c r="E133" s="710" t="s">
        <v>127</v>
      </c>
      <c r="F133" s="709" t="s">
        <v>6988</v>
      </c>
      <c r="G133" s="947">
        <v>45383</v>
      </c>
      <c r="H133" s="738">
        <v>12</v>
      </c>
      <c r="I133" s="738">
        <v>12</v>
      </c>
      <c r="J133" s="772" t="s">
        <v>45</v>
      </c>
      <c r="K133" s="772" t="str">
        <f t="shared" si="5"/>
        <v/>
      </c>
      <c r="L133" s="710" t="s">
        <v>38</v>
      </c>
      <c r="M133" s="578" t="s">
        <v>71</v>
      </c>
    </row>
    <row r="134" spans="1:13" ht="23.15" customHeight="1">
      <c r="A134" s="707" t="s">
        <v>100</v>
      </c>
      <c r="B134" s="707" t="s">
        <v>45</v>
      </c>
      <c r="C134" s="710" t="s">
        <v>122</v>
      </c>
      <c r="D134" s="710" t="s">
        <v>5217</v>
      </c>
      <c r="E134" s="710" t="s">
        <v>5060</v>
      </c>
      <c r="F134" s="709" t="s">
        <v>5354</v>
      </c>
      <c r="G134" s="713">
        <v>45383</v>
      </c>
      <c r="H134" s="777">
        <v>66</v>
      </c>
      <c r="I134" s="777" t="s">
        <v>5355</v>
      </c>
      <c r="J134" s="772" t="s">
        <v>45</v>
      </c>
      <c r="K134" s="772"/>
      <c r="L134" s="710" t="s">
        <v>200</v>
      </c>
      <c r="M134" s="887">
        <v>45307</v>
      </c>
    </row>
    <row r="135" spans="1:13" ht="23.15" customHeight="1">
      <c r="A135" s="707" t="s">
        <v>100</v>
      </c>
      <c r="B135" s="707" t="s">
        <v>45</v>
      </c>
      <c r="C135" s="710" t="s">
        <v>5113</v>
      </c>
      <c r="D135" s="710" t="s">
        <v>1374</v>
      </c>
      <c r="E135" s="710" t="s">
        <v>5058</v>
      </c>
      <c r="F135" s="709" t="s">
        <v>5239</v>
      </c>
      <c r="G135" s="713">
        <v>45383</v>
      </c>
      <c r="H135" s="896">
        <v>96</v>
      </c>
      <c r="I135" s="896" t="s">
        <v>5240</v>
      </c>
      <c r="J135" s="772">
        <v>7464000</v>
      </c>
      <c r="K135" s="772">
        <f t="shared" ref="K135:K157" si="6">IF(ISNUMBER(J135),SUM(J135*20%)+J135,"")</f>
        <v>8956800</v>
      </c>
      <c r="L135" s="710" t="s">
        <v>70</v>
      </c>
      <c r="M135" s="711">
        <v>45065</v>
      </c>
    </row>
    <row r="136" spans="1:13" ht="23.15" customHeight="1">
      <c r="A136" s="707" t="s">
        <v>100</v>
      </c>
      <c r="B136" s="707" t="s">
        <v>45</v>
      </c>
      <c r="C136" s="710" t="s">
        <v>110</v>
      </c>
      <c r="D136" s="710" t="s">
        <v>450</v>
      </c>
      <c r="E136" s="710" t="s">
        <v>5060</v>
      </c>
      <c r="F136" s="709" t="s">
        <v>5061</v>
      </c>
      <c r="G136" s="887">
        <v>45383</v>
      </c>
      <c r="H136" s="707">
        <v>84</v>
      </c>
      <c r="I136" s="707" t="s">
        <v>5247</v>
      </c>
      <c r="J136" s="772">
        <v>1274000</v>
      </c>
      <c r="K136" s="772">
        <f t="shared" si="6"/>
        <v>1528800</v>
      </c>
      <c r="L136" s="707" t="s">
        <v>38</v>
      </c>
      <c r="M136" s="712" t="s">
        <v>5248</v>
      </c>
    </row>
    <row r="137" spans="1:13" ht="23.15" customHeight="1">
      <c r="A137" s="707" t="s">
        <v>44</v>
      </c>
      <c r="B137" s="738" t="s">
        <v>45</v>
      </c>
      <c r="C137" s="710" t="s">
        <v>5044</v>
      </c>
      <c r="D137" s="710" t="s">
        <v>569</v>
      </c>
      <c r="E137" s="710" t="s">
        <v>33</v>
      </c>
      <c r="F137" s="709" t="s">
        <v>5276</v>
      </c>
      <c r="G137" s="947">
        <v>45383</v>
      </c>
      <c r="H137" s="707" t="s">
        <v>45</v>
      </c>
      <c r="I137" s="738" t="s">
        <v>45</v>
      </c>
      <c r="J137" s="772" t="s">
        <v>45</v>
      </c>
      <c r="K137" s="772" t="str">
        <f t="shared" si="6"/>
        <v/>
      </c>
      <c r="L137" s="731" t="s">
        <v>70</v>
      </c>
      <c r="M137" s="731" t="s">
        <v>45</v>
      </c>
    </row>
    <row r="138" spans="1:13" s="908" customFormat="1" ht="23.15" customHeight="1">
      <c r="A138" s="707" t="s">
        <v>44</v>
      </c>
      <c r="B138" s="707" t="s">
        <v>45</v>
      </c>
      <c r="C138" s="710" t="s">
        <v>5044</v>
      </c>
      <c r="D138" s="710" t="s">
        <v>569</v>
      </c>
      <c r="E138" s="710" t="s">
        <v>33</v>
      </c>
      <c r="F138" s="709" t="s">
        <v>5229</v>
      </c>
      <c r="G138" s="713">
        <v>45383</v>
      </c>
      <c r="H138" s="707">
        <v>48</v>
      </c>
      <c r="I138" s="707" t="s">
        <v>4967</v>
      </c>
      <c r="J138" s="772">
        <v>397884</v>
      </c>
      <c r="K138" s="772">
        <f t="shared" si="6"/>
        <v>477460.8</v>
      </c>
      <c r="L138" s="710" t="s">
        <v>62</v>
      </c>
      <c r="M138" s="584" t="s">
        <v>67</v>
      </c>
    </row>
    <row r="139" spans="1:13" s="908" customFormat="1" ht="23.15" customHeight="1">
      <c r="A139" s="707" t="s">
        <v>100</v>
      </c>
      <c r="B139" s="707" t="s">
        <v>45</v>
      </c>
      <c r="C139" s="710" t="s">
        <v>110</v>
      </c>
      <c r="D139" s="710" t="s">
        <v>1146</v>
      </c>
      <c r="E139" s="710" t="s">
        <v>5058</v>
      </c>
      <c r="F139" s="709" t="s">
        <v>5159</v>
      </c>
      <c r="G139" s="713">
        <v>45383</v>
      </c>
      <c r="H139" s="2999" t="s">
        <v>45</v>
      </c>
      <c r="I139" s="707" t="s">
        <v>45</v>
      </c>
      <c r="J139" s="772">
        <v>104000</v>
      </c>
      <c r="K139" s="772">
        <f t="shared" si="6"/>
        <v>124800</v>
      </c>
      <c r="L139" s="710" t="s">
        <v>45</v>
      </c>
      <c r="M139" s="711" t="s">
        <v>45</v>
      </c>
    </row>
    <row r="140" spans="1:13" ht="23.15" customHeight="1">
      <c r="A140" s="707" t="s">
        <v>44</v>
      </c>
      <c r="B140" s="738" t="s">
        <v>45</v>
      </c>
      <c r="C140" s="710" t="s">
        <v>5044</v>
      </c>
      <c r="D140" s="710" t="s">
        <v>569</v>
      </c>
      <c r="E140" s="710" t="s">
        <v>33</v>
      </c>
      <c r="F140" s="709" t="s">
        <v>3166</v>
      </c>
      <c r="G140" s="947">
        <v>45383</v>
      </c>
      <c r="H140" s="903" t="s">
        <v>83</v>
      </c>
      <c r="I140" s="903" t="s">
        <v>83</v>
      </c>
      <c r="J140" s="772">
        <v>3000000</v>
      </c>
      <c r="K140" s="772">
        <f t="shared" si="6"/>
        <v>3600000</v>
      </c>
      <c r="L140" s="769" t="s">
        <v>70</v>
      </c>
      <c r="M140" s="769">
        <v>45225</v>
      </c>
    </row>
    <row r="141" spans="1:13" s="908" customFormat="1" ht="23.15" customHeight="1">
      <c r="A141" s="707" t="s">
        <v>44</v>
      </c>
      <c r="B141" s="738" t="s">
        <v>4437</v>
      </c>
      <c r="C141" s="710" t="s">
        <v>5044</v>
      </c>
      <c r="D141" s="710" t="s">
        <v>362</v>
      </c>
      <c r="E141" s="710" t="s">
        <v>80</v>
      </c>
      <c r="F141" s="709" t="s">
        <v>1947</v>
      </c>
      <c r="G141" s="947">
        <v>45383</v>
      </c>
      <c r="H141" s="738">
        <v>54</v>
      </c>
      <c r="I141" s="884" t="s">
        <v>5251</v>
      </c>
      <c r="J141" s="772">
        <v>4250000</v>
      </c>
      <c r="K141" s="772">
        <f t="shared" si="6"/>
        <v>5100000</v>
      </c>
      <c r="L141" s="710" t="s">
        <v>70</v>
      </c>
      <c r="M141" s="711" t="s">
        <v>6989</v>
      </c>
    </row>
    <row r="142" spans="1:13" ht="23.15" customHeight="1">
      <c r="A142" s="2995" t="s">
        <v>44</v>
      </c>
      <c r="B142" s="738" t="s">
        <v>4437</v>
      </c>
      <c r="C142" s="710" t="s">
        <v>5044</v>
      </c>
      <c r="D142" s="710" t="s">
        <v>362</v>
      </c>
      <c r="E142" s="578" t="s">
        <v>80</v>
      </c>
      <c r="F142" s="2996" t="s">
        <v>1947</v>
      </c>
      <c r="G142" s="2997">
        <v>45383</v>
      </c>
      <c r="H142" s="578">
        <v>54</v>
      </c>
      <c r="I142" s="730" t="s">
        <v>4439</v>
      </c>
      <c r="J142" s="2501">
        <v>4250000</v>
      </c>
      <c r="K142" s="772">
        <f t="shared" si="6"/>
        <v>5100000</v>
      </c>
      <c r="L142" s="744" t="s">
        <v>70</v>
      </c>
      <c r="M142" s="707" t="s">
        <v>45</v>
      </c>
    </row>
    <row r="143" spans="1:13" ht="23.15" customHeight="1">
      <c r="A143" s="2995" t="s">
        <v>44</v>
      </c>
      <c r="B143" s="578" t="s">
        <v>45</v>
      </c>
      <c r="C143" s="710" t="s">
        <v>5044</v>
      </c>
      <c r="D143" s="710" t="s">
        <v>362</v>
      </c>
      <c r="E143" s="578" t="s">
        <v>80</v>
      </c>
      <c r="F143" s="709" t="s">
        <v>157</v>
      </c>
      <c r="G143" s="2997">
        <v>45383</v>
      </c>
      <c r="H143" s="578">
        <v>48</v>
      </c>
      <c r="I143" s="578" t="s">
        <v>82</v>
      </c>
      <c r="J143" s="772">
        <v>7909065</v>
      </c>
      <c r="K143" s="772">
        <f t="shared" si="6"/>
        <v>9490878</v>
      </c>
      <c r="L143" s="578" t="s">
        <v>45</v>
      </c>
      <c r="M143" s="578" t="s">
        <v>45</v>
      </c>
    </row>
    <row r="144" spans="1:13" s="2402" customFormat="1" ht="23.15" customHeight="1">
      <c r="A144" s="726" t="s">
        <v>56</v>
      </c>
      <c r="B144" s="726">
        <v>80005</v>
      </c>
      <c r="C144" s="710" t="s">
        <v>5044</v>
      </c>
      <c r="D144" s="710" t="s">
        <v>362</v>
      </c>
      <c r="E144" s="730" t="s">
        <v>4946</v>
      </c>
      <c r="F144" s="709" t="s">
        <v>5255</v>
      </c>
      <c r="G144" s="711">
        <v>45383</v>
      </c>
      <c r="H144" s="893">
        <v>84</v>
      </c>
      <c r="I144" s="893" t="s">
        <v>5254</v>
      </c>
      <c r="J144" s="772">
        <v>10000000</v>
      </c>
      <c r="K144" s="772">
        <f t="shared" si="6"/>
        <v>12000000</v>
      </c>
      <c r="L144" s="711" t="s">
        <v>70</v>
      </c>
      <c r="M144" s="759">
        <v>45135</v>
      </c>
    </row>
    <row r="145" spans="1:13" ht="23.15" customHeight="1">
      <c r="A145" s="726" t="s">
        <v>56</v>
      </c>
      <c r="B145" s="726">
        <v>76276</v>
      </c>
      <c r="C145" s="710" t="s">
        <v>5044</v>
      </c>
      <c r="D145" s="710" t="s">
        <v>362</v>
      </c>
      <c r="E145" s="730" t="s">
        <v>4946</v>
      </c>
      <c r="F145" s="709" t="s">
        <v>6990</v>
      </c>
      <c r="G145" s="711">
        <v>45383</v>
      </c>
      <c r="H145" s="893">
        <v>36</v>
      </c>
      <c r="I145" s="893">
        <v>84</v>
      </c>
      <c r="J145" s="772">
        <v>105000000</v>
      </c>
      <c r="K145" s="772">
        <f t="shared" si="6"/>
        <v>126000000</v>
      </c>
      <c r="L145" s="711" t="s">
        <v>70</v>
      </c>
      <c r="M145" s="711">
        <v>45047</v>
      </c>
    </row>
    <row r="146" spans="1:13" ht="23.15" customHeight="1">
      <c r="A146" s="726" t="s">
        <v>56</v>
      </c>
      <c r="B146" s="726">
        <v>79343</v>
      </c>
      <c r="C146" s="710" t="s">
        <v>5044</v>
      </c>
      <c r="D146" s="710" t="s">
        <v>362</v>
      </c>
      <c r="E146" s="730" t="s">
        <v>4946</v>
      </c>
      <c r="F146" s="709" t="s">
        <v>5253</v>
      </c>
      <c r="G146" s="711">
        <v>45383</v>
      </c>
      <c r="H146" s="893">
        <v>84</v>
      </c>
      <c r="I146" s="893" t="s">
        <v>5254</v>
      </c>
      <c r="J146" s="772">
        <v>7140000</v>
      </c>
      <c r="K146" s="772">
        <f t="shared" si="6"/>
        <v>8568000</v>
      </c>
      <c r="L146" s="711" t="s">
        <v>70</v>
      </c>
      <c r="M146" s="759">
        <v>45135</v>
      </c>
    </row>
    <row r="147" spans="1:13" ht="23.15" customHeight="1">
      <c r="A147" s="726" t="s">
        <v>56</v>
      </c>
      <c r="B147" s="726">
        <v>76022</v>
      </c>
      <c r="C147" s="710" t="s">
        <v>5044</v>
      </c>
      <c r="D147" s="710" t="s">
        <v>362</v>
      </c>
      <c r="E147" s="730" t="s">
        <v>4946</v>
      </c>
      <c r="F147" s="709" t="s">
        <v>5256</v>
      </c>
      <c r="G147" s="711">
        <v>45383</v>
      </c>
      <c r="H147" s="893">
        <v>84</v>
      </c>
      <c r="I147" s="893" t="s">
        <v>1455</v>
      </c>
      <c r="J147" s="772">
        <v>21000000</v>
      </c>
      <c r="K147" s="772">
        <f t="shared" si="6"/>
        <v>25200000</v>
      </c>
      <c r="L147" s="711" t="s">
        <v>70</v>
      </c>
      <c r="M147" s="759">
        <v>45135</v>
      </c>
    </row>
    <row r="148" spans="1:13" ht="23.15" customHeight="1">
      <c r="A148" s="726" t="s">
        <v>56</v>
      </c>
      <c r="B148" s="726" t="s">
        <v>60</v>
      </c>
      <c r="C148" s="710" t="s">
        <v>5044</v>
      </c>
      <c r="D148" s="710" t="s">
        <v>362</v>
      </c>
      <c r="E148" s="730" t="s">
        <v>4946</v>
      </c>
      <c r="F148" s="709" t="s">
        <v>5474</v>
      </c>
      <c r="G148" s="711">
        <v>45383</v>
      </c>
      <c r="H148" s="893">
        <v>84</v>
      </c>
      <c r="I148" s="893" t="s">
        <v>1455</v>
      </c>
      <c r="J148" s="772">
        <v>1200000</v>
      </c>
      <c r="K148" s="772">
        <f t="shared" si="6"/>
        <v>1440000</v>
      </c>
      <c r="L148" s="711" t="s">
        <v>310</v>
      </c>
      <c r="M148" s="738" t="s">
        <v>45</v>
      </c>
    </row>
    <row r="149" spans="1:13" ht="23.15" customHeight="1">
      <c r="A149" s="726" t="s">
        <v>56</v>
      </c>
      <c r="B149" s="726" t="s">
        <v>60</v>
      </c>
      <c r="C149" s="710" t="s">
        <v>5044</v>
      </c>
      <c r="D149" s="710" t="s">
        <v>362</v>
      </c>
      <c r="E149" s="730" t="s">
        <v>4946</v>
      </c>
      <c r="F149" s="709" t="s">
        <v>5265</v>
      </c>
      <c r="G149" s="711">
        <v>45383</v>
      </c>
      <c r="H149" s="893">
        <v>67</v>
      </c>
      <c r="I149" s="893" t="s">
        <v>6991</v>
      </c>
      <c r="J149" s="772">
        <v>600000</v>
      </c>
      <c r="K149" s="772">
        <f t="shared" si="6"/>
        <v>720000</v>
      </c>
      <c r="L149" s="711" t="s">
        <v>310</v>
      </c>
      <c r="M149" s="738" t="s">
        <v>45</v>
      </c>
    </row>
    <row r="150" spans="1:13" ht="23.15" customHeight="1">
      <c r="A150" s="726" t="s">
        <v>647</v>
      </c>
      <c r="B150" s="726" t="s">
        <v>60</v>
      </c>
      <c r="C150" s="710" t="s">
        <v>647</v>
      </c>
      <c r="D150" s="710" t="s">
        <v>647</v>
      </c>
      <c r="E150" s="730" t="s">
        <v>279</v>
      </c>
      <c r="F150" s="709" t="s">
        <v>5232</v>
      </c>
      <c r="G150" s="759">
        <v>45383</v>
      </c>
      <c r="H150" s="891">
        <v>48</v>
      </c>
      <c r="I150" s="891">
        <v>48</v>
      </c>
      <c r="J150" s="772">
        <v>2800000</v>
      </c>
      <c r="K150" s="772">
        <f t="shared" si="6"/>
        <v>3360000</v>
      </c>
      <c r="L150" s="711" t="s">
        <v>71</v>
      </c>
      <c r="M150" s="711" t="s">
        <v>589</v>
      </c>
    </row>
    <row r="151" spans="1:13" ht="23.15" customHeight="1">
      <c r="A151" s="707" t="s">
        <v>44</v>
      </c>
      <c r="B151" s="738" t="s">
        <v>45</v>
      </c>
      <c r="C151" s="730" t="s">
        <v>5044</v>
      </c>
      <c r="D151" s="710" t="s">
        <v>569</v>
      </c>
      <c r="E151" s="710" t="s">
        <v>33</v>
      </c>
      <c r="F151" s="709" t="s">
        <v>6992</v>
      </c>
      <c r="G151" s="769">
        <v>45383</v>
      </c>
      <c r="H151" s="710">
        <v>48</v>
      </c>
      <c r="I151" s="884" t="s">
        <v>215</v>
      </c>
      <c r="J151" s="772">
        <v>24357.58</v>
      </c>
      <c r="K151" s="772">
        <f t="shared" si="6"/>
        <v>29229.096000000001</v>
      </c>
      <c r="L151" s="710" t="s">
        <v>38</v>
      </c>
      <c r="M151" s="578" t="s">
        <v>71</v>
      </c>
    </row>
    <row r="152" spans="1:13" ht="23.15" customHeight="1">
      <c r="A152" s="707" t="s">
        <v>100</v>
      </c>
      <c r="B152" s="707" t="s">
        <v>45</v>
      </c>
      <c r="C152" s="710" t="s">
        <v>122</v>
      </c>
      <c r="D152" s="710" t="s">
        <v>1163</v>
      </c>
      <c r="E152" s="710" t="s">
        <v>5060</v>
      </c>
      <c r="F152" s="709" t="s">
        <v>4513</v>
      </c>
      <c r="G152" s="713">
        <v>45383</v>
      </c>
      <c r="H152" s="777">
        <v>48</v>
      </c>
      <c r="I152" s="777" t="s">
        <v>215</v>
      </c>
      <c r="J152" s="772">
        <v>2250000</v>
      </c>
      <c r="K152" s="772">
        <f t="shared" si="6"/>
        <v>2700000</v>
      </c>
      <c r="L152" s="710" t="s">
        <v>70</v>
      </c>
      <c r="M152" s="711">
        <v>45125</v>
      </c>
    </row>
    <row r="153" spans="1:13" ht="23.15" customHeight="1">
      <c r="A153" s="707" t="s">
        <v>100</v>
      </c>
      <c r="B153" s="707">
        <v>79896</v>
      </c>
      <c r="C153" s="710" t="s">
        <v>5044</v>
      </c>
      <c r="D153" s="710" t="s">
        <v>4955</v>
      </c>
      <c r="E153" s="710" t="s">
        <v>5058</v>
      </c>
      <c r="F153" s="709" t="s">
        <v>6993</v>
      </c>
      <c r="G153" s="713">
        <v>45383</v>
      </c>
      <c r="H153" s="707">
        <v>84</v>
      </c>
      <c r="I153" s="707" t="s">
        <v>5244</v>
      </c>
      <c r="J153" s="772">
        <v>2119000</v>
      </c>
      <c r="K153" s="772">
        <f t="shared" si="6"/>
        <v>2542800</v>
      </c>
      <c r="L153" s="710" t="s">
        <v>70</v>
      </c>
      <c r="M153" s="711" t="s">
        <v>5245</v>
      </c>
    </row>
    <row r="154" spans="1:13" ht="23.15" customHeight="1">
      <c r="A154" s="2995" t="s">
        <v>100</v>
      </c>
      <c r="B154" s="695" t="s">
        <v>45</v>
      </c>
      <c r="C154" s="710" t="s">
        <v>5044</v>
      </c>
      <c r="D154" s="710" t="s">
        <v>4955</v>
      </c>
      <c r="E154" s="578" t="s">
        <v>5058</v>
      </c>
      <c r="F154" s="2996" t="s">
        <v>6993</v>
      </c>
      <c r="G154" s="2997">
        <v>45383</v>
      </c>
      <c r="H154" s="578">
        <v>84</v>
      </c>
      <c r="I154" s="730" t="s">
        <v>6994</v>
      </c>
      <c r="J154" s="2501">
        <v>2283866</v>
      </c>
      <c r="K154" s="772">
        <f t="shared" si="6"/>
        <v>2740639.2</v>
      </c>
      <c r="L154" s="744" t="s">
        <v>70</v>
      </c>
      <c r="M154" s="578" t="s">
        <v>45</v>
      </c>
    </row>
    <row r="155" spans="1:13" ht="23.15" customHeight="1">
      <c r="A155" s="707" t="s">
        <v>100</v>
      </c>
      <c r="B155" s="707" t="s">
        <v>45</v>
      </c>
      <c r="C155" s="710" t="s">
        <v>122</v>
      </c>
      <c r="D155" s="710" t="s">
        <v>1163</v>
      </c>
      <c r="E155" s="710" t="s">
        <v>5060</v>
      </c>
      <c r="F155" s="709" t="s">
        <v>1301</v>
      </c>
      <c r="G155" s="713">
        <v>45383</v>
      </c>
      <c r="H155" s="777">
        <v>48</v>
      </c>
      <c r="I155" s="758" t="s">
        <v>215</v>
      </c>
      <c r="J155" s="772">
        <v>105600</v>
      </c>
      <c r="K155" s="772">
        <f t="shared" si="6"/>
        <v>126720</v>
      </c>
      <c r="L155" s="710" t="s">
        <v>70</v>
      </c>
      <c r="M155" s="711">
        <v>45237</v>
      </c>
    </row>
    <row r="156" spans="1:13" ht="23.15" customHeight="1">
      <c r="A156" s="707" t="s">
        <v>44</v>
      </c>
      <c r="B156" s="738" t="s">
        <v>45</v>
      </c>
      <c r="C156" s="710" t="s">
        <v>5044</v>
      </c>
      <c r="D156" s="730" t="s">
        <v>1440</v>
      </c>
      <c r="E156" s="710" t="s">
        <v>127</v>
      </c>
      <c r="F156" s="709" t="s">
        <v>6995</v>
      </c>
      <c r="G156" s="947">
        <v>45383</v>
      </c>
      <c r="H156" s="738">
        <v>180</v>
      </c>
      <c r="I156" s="884" t="s">
        <v>5243</v>
      </c>
      <c r="J156" s="772">
        <v>25500000</v>
      </c>
      <c r="K156" s="772">
        <f t="shared" si="6"/>
        <v>30600000</v>
      </c>
      <c r="L156" s="710" t="s">
        <v>70</v>
      </c>
      <c r="M156" s="738" t="s">
        <v>6996</v>
      </c>
    </row>
    <row r="157" spans="1:13" ht="23.15" customHeight="1">
      <c r="A157" s="707" t="s">
        <v>44</v>
      </c>
      <c r="B157" s="738"/>
      <c r="C157" s="710" t="s">
        <v>5123</v>
      </c>
      <c r="D157" s="710" t="s">
        <v>502</v>
      </c>
      <c r="E157" s="710" t="s">
        <v>514</v>
      </c>
      <c r="F157" s="709" t="s">
        <v>6997</v>
      </c>
      <c r="G157" s="769">
        <v>45383</v>
      </c>
      <c r="H157" s="710">
        <v>60</v>
      </c>
      <c r="I157" s="710" t="s">
        <v>5258</v>
      </c>
      <c r="J157" s="772">
        <v>986216</v>
      </c>
      <c r="K157" s="772">
        <f t="shared" si="6"/>
        <v>1183459.2</v>
      </c>
      <c r="L157" s="710" t="s">
        <v>200</v>
      </c>
      <c r="M157" s="711">
        <v>45107</v>
      </c>
    </row>
    <row r="158" spans="1:13" ht="23.15" customHeight="1">
      <c r="A158" s="2995" t="s">
        <v>44</v>
      </c>
      <c r="B158" s="695" t="s">
        <v>45</v>
      </c>
      <c r="C158" s="710" t="s">
        <v>415</v>
      </c>
      <c r="D158" s="710" t="s">
        <v>5078</v>
      </c>
      <c r="E158" s="578" t="s">
        <v>4949</v>
      </c>
      <c r="F158" s="2996" t="s">
        <v>6998</v>
      </c>
      <c r="G158" s="2997">
        <v>45383</v>
      </c>
      <c r="H158" s="772" t="s">
        <v>45</v>
      </c>
      <c r="I158" s="772" t="s">
        <v>45</v>
      </c>
      <c r="J158" s="2501">
        <v>300000</v>
      </c>
      <c r="K158" s="772" t="s">
        <v>45</v>
      </c>
      <c r="L158" s="578" t="s">
        <v>45</v>
      </c>
      <c r="M158" s="578" t="s">
        <v>45</v>
      </c>
    </row>
    <row r="159" spans="1:13" ht="23.15" customHeight="1">
      <c r="A159" s="726" t="s">
        <v>56</v>
      </c>
      <c r="B159" s="726" t="s">
        <v>60</v>
      </c>
      <c r="C159" s="710" t="s">
        <v>5044</v>
      </c>
      <c r="D159" s="710" t="s">
        <v>362</v>
      </c>
      <c r="E159" s="730" t="s">
        <v>4946</v>
      </c>
      <c r="F159" s="728" t="s">
        <v>6999</v>
      </c>
      <c r="G159" s="759">
        <v>45689</v>
      </c>
      <c r="H159" s="891">
        <v>9</v>
      </c>
      <c r="I159" s="891">
        <v>9</v>
      </c>
      <c r="J159" s="772">
        <v>700000</v>
      </c>
      <c r="K159" s="772">
        <f t="shared" ref="K159:K167" si="7">IF(ISNUMBER(J159),SUM(J159*20%)+J159,"")</f>
        <v>840000</v>
      </c>
      <c r="L159" s="711" t="s">
        <v>70</v>
      </c>
      <c r="M159" s="738" t="s">
        <v>45</v>
      </c>
    </row>
    <row r="160" spans="1:13" ht="23.15" customHeight="1">
      <c r="A160" s="726" t="s">
        <v>56</v>
      </c>
      <c r="B160" s="726" t="s">
        <v>60</v>
      </c>
      <c r="C160" s="710" t="s">
        <v>5044</v>
      </c>
      <c r="D160" s="710" t="s">
        <v>362</v>
      </c>
      <c r="E160" s="730" t="s">
        <v>4946</v>
      </c>
      <c r="F160" s="728" t="s">
        <v>7000</v>
      </c>
      <c r="G160" s="759">
        <v>45689</v>
      </c>
      <c r="H160" s="891">
        <v>9</v>
      </c>
      <c r="I160" s="891">
        <v>9</v>
      </c>
      <c r="J160" s="772">
        <v>600000</v>
      </c>
      <c r="K160" s="772">
        <f t="shared" si="7"/>
        <v>720000</v>
      </c>
      <c r="L160" s="711" t="s">
        <v>70</v>
      </c>
      <c r="M160" s="738" t="s">
        <v>45</v>
      </c>
    </row>
    <row r="161" spans="1:13" ht="23.15" customHeight="1">
      <c r="A161" s="726" t="s">
        <v>56</v>
      </c>
      <c r="B161" s="726" t="s">
        <v>60</v>
      </c>
      <c r="C161" s="710" t="s">
        <v>5044</v>
      </c>
      <c r="D161" s="710" t="s">
        <v>362</v>
      </c>
      <c r="E161" s="730" t="s">
        <v>4946</v>
      </c>
      <c r="F161" s="728" t="s">
        <v>7001</v>
      </c>
      <c r="G161" s="759">
        <v>45689</v>
      </c>
      <c r="H161" s="891">
        <v>9</v>
      </c>
      <c r="I161" s="891">
        <v>9</v>
      </c>
      <c r="J161" s="738" t="s">
        <v>45</v>
      </c>
      <c r="K161" s="772" t="str">
        <f t="shared" si="7"/>
        <v/>
      </c>
      <c r="L161" s="711" t="s">
        <v>70</v>
      </c>
      <c r="M161" s="738" t="s">
        <v>45</v>
      </c>
    </row>
    <row r="162" spans="1:13" ht="23.15" customHeight="1">
      <c r="A162" s="726" t="s">
        <v>56</v>
      </c>
      <c r="B162" s="726" t="s">
        <v>60</v>
      </c>
      <c r="C162" s="710" t="s">
        <v>5044</v>
      </c>
      <c r="D162" s="710" t="s">
        <v>362</v>
      </c>
      <c r="E162" s="730" t="s">
        <v>4946</v>
      </c>
      <c r="F162" s="728" t="s">
        <v>7002</v>
      </c>
      <c r="G162" s="759">
        <v>45627</v>
      </c>
      <c r="H162" s="891">
        <v>9</v>
      </c>
      <c r="I162" s="891">
        <v>9</v>
      </c>
      <c r="J162" s="772">
        <v>660000</v>
      </c>
      <c r="K162" s="772">
        <f t="shared" si="7"/>
        <v>792000</v>
      </c>
      <c r="L162" s="711" t="s">
        <v>70</v>
      </c>
      <c r="M162" s="738" t="s">
        <v>45</v>
      </c>
    </row>
    <row r="163" spans="1:13" ht="23.15" customHeight="1">
      <c r="A163" s="726" t="s">
        <v>56</v>
      </c>
      <c r="B163" s="726">
        <v>82358</v>
      </c>
      <c r="C163" s="710" t="s">
        <v>630</v>
      </c>
      <c r="D163" s="710" t="s">
        <v>1360</v>
      </c>
      <c r="E163" s="730" t="s">
        <v>4946</v>
      </c>
      <c r="F163" s="728" t="s">
        <v>7003</v>
      </c>
      <c r="G163" s="759">
        <v>45327</v>
      </c>
      <c r="H163" s="891">
        <v>2</v>
      </c>
      <c r="I163" s="891">
        <v>2</v>
      </c>
      <c r="J163" s="772">
        <v>550000</v>
      </c>
      <c r="K163" s="772">
        <f t="shared" si="7"/>
        <v>660000</v>
      </c>
      <c r="L163" s="711" t="s">
        <v>310</v>
      </c>
      <c r="M163" s="711" t="s">
        <v>45</v>
      </c>
    </row>
    <row r="164" spans="1:13" ht="23.15" customHeight="1">
      <c r="A164" s="726" t="s">
        <v>56</v>
      </c>
      <c r="B164" s="726">
        <v>82359</v>
      </c>
      <c r="C164" s="710" t="s">
        <v>630</v>
      </c>
      <c r="D164" s="710" t="s">
        <v>1360</v>
      </c>
      <c r="E164" s="730" t="s">
        <v>4946</v>
      </c>
      <c r="F164" s="728" t="s">
        <v>7004</v>
      </c>
      <c r="G164" s="759">
        <v>45327</v>
      </c>
      <c r="H164" s="891">
        <v>2</v>
      </c>
      <c r="I164" s="891">
        <v>2</v>
      </c>
      <c r="J164" s="772">
        <v>800000</v>
      </c>
      <c r="K164" s="772">
        <f t="shared" si="7"/>
        <v>960000</v>
      </c>
      <c r="L164" s="711" t="s">
        <v>310</v>
      </c>
      <c r="M164" s="711" t="s">
        <v>60</v>
      </c>
    </row>
    <row r="165" spans="1:13" ht="23.15" customHeight="1">
      <c r="A165" s="726" t="s">
        <v>56</v>
      </c>
      <c r="B165" s="726" t="s">
        <v>60</v>
      </c>
      <c r="C165" s="730" t="s">
        <v>5044</v>
      </c>
      <c r="D165" s="710" t="s">
        <v>362</v>
      </c>
      <c r="E165" s="730" t="s">
        <v>4946</v>
      </c>
      <c r="F165" s="729" t="s">
        <v>5613</v>
      </c>
      <c r="G165" s="759">
        <v>45505</v>
      </c>
      <c r="H165" s="891" t="s">
        <v>60</v>
      </c>
      <c r="I165" s="891" t="s">
        <v>60</v>
      </c>
      <c r="J165" s="772">
        <f>300000+320000</f>
        <v>620000</v>
      </c>
      <c r="K165" s="772">
        <f t="shared" si="7"/>
        <v>744000</v>
      </c>
      <c r="L165" s="711" t="s">
        <v>70</v>
      </c>
      <c r="M165" s="738" t="s">
        <v>45</v>
      </c>
    </row>
    <row r="166" spans="1:13" ht="23.15" customHeight="1">
      <c r="A166" s="707" t="s">
        <v>44</v>
      </c>
      <c r="B166" s="738">
        <v>48945</v>
      </c>
      <c r="C166" s="707" t="s">
        <v>5219</v>
      </c>
      <c r="D166" s="710" t="s">
        <v>4998</v>
      </c>
      <c r="E166" s="710" t="s">
        <v>399</v>
      </c>
      <c r="F166" s="709" t="s">
        <v>3848</v>
      </c>
      <c r="G166" s="769">
        <v>45383</v>
      </c>
      <c r="H166" s="710">
        <v>36</v>
      </c>
      <c r="I166" s="884" t="s">
        <v>98</v>
      </c>
      <c r="J166" s="772">
        <v>100000</v>
      </c>
      <c r="K166" s="772">
        <f t="shared" si="7"/>
        <v>120000</v>
      </c>
      <c r="L166" s="710" t="s">
        <v>62</v>
      </c>
      <c r="M166" s="738" t="s">
        <v>71</v>
      </c>
    </row>
    <row r="167" spans="1:13" ht="23.15" customHeight="1">
      <c r="A167" s="2995" t="s">
        <v>44</v>
      </c>
      <c r="B167" s="578" t="s">
        <v>45</v>
      </c>
      <c r="C167" s="710" t="s">
        <v>415</v>
      </c>
      <c r="D167" s="710" t="s">
        <v>4468</v>
      </c>
      <c r="E167" s="578" t="s">
        <v>514</v>
      </c>
      <c r="F167" s="2996" t="s">
        <v>5533</v>
      </c>
      <c r="G167" s="2997">
        <v>45383</v>
      </c>
      <c r="H167" s="578">
        <v>30</v>
      </c>
      <c r="I167" s="578" t="s">
        <v>3199</v>
      </c>
      <c r="J167" s="772">
        <v>241000</v>
      </c>
      <c r="K167" s="772">
        <f t="shared" si="7"/>
        <v>289200</v>
      </c>
      <c r="L167" s="578" t="s">
        <v>45</v>
      </c>
      <c r="M167" s="578" t="s">
        <v>71</v>
      </c>
    </row>
    <row r="168" spans="1:13" ht="23.15" customHeight="1">
      <c r="A168" s="695" t="s">
        <v>56</v>
      </c>
      <c r="B168" s="695" t="s">
        <v>45</v>
      </c>
      <c r="C168" s="695" t="s">
        <v>630</v>
      </c>
      <c r="D168" s="801" t="s">
        <v>1360</v>
      </c>
      <c r="E168" s="801" t="s">
        <v>4946</v>
      </c>
      <c r="F168" s="748" t="s">
        <v>7005</v>
      </c>
      <c r="G168" s="749">
        <v>45383</v>
      </c>
      <c r="H168" s="695" t="s">
        <v>45</v>
      </c>
      <c r="I168" s="695" t="s">
        <v>45</v>
      </c>
      <c r="J168" s="2660">
        <v>1750000</v>
      </c>
      <c r="K168" s="695"/>
      <c r="L168" s="695" t="s">
        <v>70</v>
      </c>
      <c r="M168" s="695"/>
    </row>
    <row r="169" spans="1:13" ht="23.15" customHeight="1">
      <c r="A169" s="707" t="s">
        <v>56</v>
      </c>
      <c r="B169" s="707" t="s">
        <v>45</v>
      </c>
      <c r="C169" s="710" t="s">
        <v>630</v>
      </c>
      <c r="D169" s="710" t="s">
        <v>1121</v>
      </c>
      <c r="E169" s="730" t="s">
        <v>1486</v>
      </c>
      <c r="F169" s="728" t="s">
        <v>5271</v>
      </c>
      <c r="G169" s="769">
        <v>45383</v>
      </c>
      <c r="H169" s="707">
        <v>48</v>
      </c>
      <c r="I169" s="707">
        <v>48</v>
      </c>
      <c r="J169" s="772">
        <v>88000000</v>
      </c>
      <c r="K169" s="772">
        <f t="shared" ref="K169:K181" si="8">IF(ISNUMBER(J169),SUM(J169*20%)+J169,"")</f>
        <v>105600000</v>
      </c>
      <c r="L169" s="710" t="s">
        <v>70</v>
      </c>
      <c r="M169" s="770"/>
    </row>
    <row r="170" spans="1:13" ht="23.15" customHeight="1">
      <c r="A170" s="707" t="s">
        <v>44</v>
      </c>
      <c r="B170" s="738" t="s">
        <v>45</v>
      </c>
      <c r="C170" s="710" t="s">
        <v>5044</v>
      </c>
      <c r="D170" s="710" t="s">
        <v>569</v>
      </c>
      <c r="E170" s="710" t="s">
        <v>33</v>
      </c>
      <c r="F170" s="709" t="s">
        <v>7006</v>
      </c>
      <c r="G170" s="769">
        <v>45383</v>
      </c>
      <c r="H170" s="738">
        <v>36</v>
      </c>
      <c r="I170" s="707" t="s">
        <v>160</v>
      </c>
      <c r="J170" s="772" t="s">
        <v>45</v>
      </c>
      <c r="K170" s="772" t="str">
        <f t="shared" si="8"/>
        <v/>
      </c>
      <c r="L170" s="710" t="s">
        <v>62</v>
      </c>
      <c r="M170" s="707" t="s">
        <v>71</v>
      </c>
    </row>
    <row r="171" spans="1:13" ht="23.15" customHeight="1">
      <c r="A171" s="726" t="s">
        <v>56</v>
      </c>
      <c r="B171" s="726" t="s">
        <v>45</v>
      </c>
      <c r="C171" s="710" t="s">
        <v>5044</v>
      </c>
      <c r="D171" s="710" t="s">
        <v>362</v>
      </c>
      <c r="E171" s="730" t="s">
        <v>4946</v>
      </c>
      <c r="F171" s="729" t="s">
        <v>6952</v>
      </c>
      <c r="G171" s="759">
        <v>45383</v>
      </c>
      <c r="H171" s="891">
        <v>3</v>
      </c>
      <c r="I171" s="891">
        <v>3</v>
      </c>
      <c r="J171" s="772">
        <v>100000</v>
      </c>
      <c r="K171" s="772">
        <f t="shared" si="8"/>
        <v>120000</v>
      </c>
      <c r="L171" s="711" t="s">
        <v>38</v>
      </c>
      <c r="M171" s="711"/>
    </row>
    <row r="172" spans="1:13" ht="23.15" customHeight="1">
      <c r="A172" s="707" t="s">
        <v>44</v>
      </c>
      <c r="B172" s="707" t="s">
        <v>45</v>
      </c>
      <c r="C172" s="710" t="s">
        <v>5044</v>
      </c>
      <c r="D172" s="710" t="s">
        <v>569</v>
      </c>
      <c r="E172" s="710" t="s">
        <v>33</v>
      </c>
      <c r="F172" s="709" t="s">
        <v>5274</v>
      </c>
      <c r="G172" s="769">
        <v>45383</v>
      </c>
      <c r="H172" s="738">
        <v>60</v>
      </c>
      <c r="I172" s="707" t="s">
        <v>171</v>
      </c>
      <c r="J172" s="772">
        <v>500000</v>
      </c>
      <c r="K172" s="772">
        <f t="shared" ref="K172" si="9">IF(ISNUMBER(J172),SUM(J172*20%)+J172,"")</f>
        <v>600000</v>
      </c>
      <c r="L172" s="710" t="s">
        <v>70</v>
      </c>
      <c r="M172" s="711" t="s">
        <v>45</v>
      </c>
    </row>
    <row r="173" spans="1:13" ht="23.15" customHeight="1">
      <c r="A173" s="707" t="s">
        <v>44</v>
      </c>
      <c r="B173" s="738" t="s">
        <v>60</v>
      </c>
      <c r="C173" s="710" t="s">
        <v>630</v>
      </c>
      <c r="D173" s="710" t="s">
        <v>1360</v>
      </c>
      <c r="E173" s="710" t="s">
        <v>4622</v>
      </c>
      <c r="F173" s="709" t="s">
        <v>403</v>
      </c>
      <c r="G173" s="769">
        <v>45382</v>
      </c>
      <c r="H173" s="710">
        <v>48</v>
      </c>
      <c r="I173" s="710">
        <v>48</v>
      </c>
      <c r="J173" s="772">
        <v>86480</v>
      </c>
      <c r="K173" s="772">
        <f t="shared" si="8"/>
        <v>103776</v>
      </c>
      <c r="L173" s="710"/>
      <c r="M173" s="738"/>
    </row>
    <row r="174" spans="1:13" ht="23.15" customHeight="1">
      <c r="A174" s="726" t="s">
        <v>56</v>
      </c>
      <c r="B174" s="726">
        <v>78762</v>
      </c>
      <c r="C174" s="730" t="s">
        <v>122</v>
      </c>
      <c r="D174" s="710" t="s">
        <v>362</v>
      </c>
      <c r="E174" s="730" t="s">
        <v>4946</v>
      </c>
      <c r="F174" s="728" t="s">
        <v>5264</v>
      </c>
      <c r="G174" s="759">
        <v>45383</v>
      </c>
      <c r="H174" s="891" t="s">
        <v>60</v>
      </c>
      <c r="I174" s="891" t="s">
        <v>60</v>
      </c>
      <c r="J174" s="772">
        <v>2600000</v>
      </c>
      <c r="K174" s="772">
        <f t="shared" si="8"/>
        <v>3120000</v>
      </c>
      <c r="L174" s="711" t="s">
        <v>310</v>
      </c>
      <c r="M174" s="711" t="s">
        <v>60</v>
      </c>
    </row>
    <row r="175" spans="1:13" ht="23.15" customHeight="1">
      <c r="A175" s="707" t="s">
        <v>44</v>
      </c>
      <c r="B175" s="738" t="s">
        <v>45</v>
      </c>
      <c r="C175" s="710" t="s">
        <v>5044</v>
      </c>
      <c r="D175" s="710" t="s">
        <v>569</v>
      </c>
      <c r="E175" s="710" t="s">
        <v>33</v>
      </c>
      <c r="F175" s="709" t="s">
        <v>5275</v>
      </c>
      <c r="G175" s="947">
        <v>45383</v>
      </c>
      <c r="H175" s="707" t="s">
        <v>45</v>
      </c>
      <c r="I175" s="738" t="s">
        <v>45</v>
      </c>
      <c r="J175" s="772" t="s">
        <v>45</v>
      </c>
      <c r="K175" s="772" t="str">
        <f t="shared" si="8"/>
        <v/>
      </c>
      <c r="L175" s="731" t="s">
        <v>62</v>
      </c>
      <c r="M175" s="731" t="s">
        <v>67</v>
      </c>
    </row>
    <row r="176" spans="1:13" ht="23.15" customHeight="1">
      <c r="A176" s="707" t="s">
        <v>44</v>
      </c>
      <c r="B176" s="738">
        <v>51048</v>
      </c>
      <c r="C176" s="710" t="s">
        <v>5044</v>
      </c>
      <c r="D176" s="710" t="s">
        <v>569</v>
      </c>
      <c r="E176" s="710" t="s">
        <v>33</v>
      </c>
      <c r="F176" s="709" t="s">
        <v>7007</v>
      </c>
      <c r="G176" s="947">
        <v>45383</v>
      </c>
      <c r="H176" s="738">
        <v>36</v>
      </c>
      <c r="I176" s="707" t="s">
        <v>5250</v>
      </c>
      <c r="J176" s="772">
        <v>178208.25</v>
      </c>
      <c r="K176" s="772">
        <f t="shared" si="8"/>
        <v>213849.9</v>
      </c>
      <c r="L176" s="744" t="s">
        <v>62</v>
      </c>
      <c r="M176" s="738" t="s">
        <v>71</v>
      </c>
    </row>
    <row r="177" spans="1:13" ht="23.15" customHeight="1">
      <c r="A177" s="707" t="s">
        <v>44</v>
      </c>
      <c r="B177" s="710">
        <v>72900</v>
      </c>
      <c r="C177" s="730" t="s">
        <v>5044</v>
      </c>
      <c r="D177" s="710" t="s">
        <v>569</v>
      </c>
      <c r="E177" s="730" t="s">
        <v>33</v>
      </c>
      <c r="F177" s="709" t="s">
        <v>5280</v>
      </c>
      <c r="G177" s="947">
        <v>45383</v>
      </c>
      <c r="H177" s="738">
        <v>48</v>
      </c>
      <c r="I177" s="884" t="s">
        <v>5282</v>
      </c>
      <c r="J177" s="772">
        <v>72000</v>
      </c>
      <c r="K177" s="772">
        <f t="shared" si="8"/>
        <v>86400</v>
      </c>
      <c r="L177" s="710" t="s">
        <v>38</v>
      </c>
      <c r="M177" s="738" t="s">
        <v>71</v>
      </c>
    </row>
    <row r="178" spans="1:13" ht="23.15" customHeight="1">
      <c r="A178" s="2995" t="s">
        <v>44</v>
      </c>
      <c r="B178" s="578" t="s">
        <v>60</v>
      </c>
      <c r="C178" s="710" t="s">
        <v>630</v>
      </c>
      <c r="D178" s="710" t="s">
        <v>1315</v>
      </c>
      <c r="E178" s="710" t="s">
        <v>1595</v>
      </c>
      <c r="F178" s="2996" t="s">
        <v>5624</v>
      </c>
      <c r="G178" s="2997">
        <v>45383</v>
      </c>
      <c r="H178" s="578" t="s">
        <v>60</v>
      </c>
      <c r="I178" s="578" t="s">
        <v>60</v>
      </c>
      <c r="J178" s="772" t="s">
        <v>60</v>
      </c>
      <c r="K178" s="772" t="str">
        <f t="shared" si="8"/>
        <v/>
      </c>
      <c r="L178" s="578" t="s">
        <v>2569</v>
      </c>
      <c r="M178" s="578"/>
    </row>
    <row r="179" spans="1:13" ht="23.15" customHeight="1">
      <c r="A179" s="707" t="s">
        <v>44</v>
      </c>
      <c r="B179" s="738" t="s">
        <v>45</v>
      </c>
      <c r="C179" s="710" t="s">
        <v>5044</v>
      </c>
      <c r="D179" s="710" t="s">
        <v>569</v>
      </c>
      <c r="E179" s="710" t="s">
        <v>33</v>
      </c>
      <c r="F179" s="728" t="s">
        <v>147</v>
      </c>
      <c r="G179" s="1242">
        <v>45383</v>
      </c>
      <c r="H179" s="710">
        <v>12</v>
      </c>
      <c r="I179" s="730">
        <v>12</v>
      </c>
      <c r="J179" s="2616">
        <v>66612</v>
      </c>
      <c r="K179" s="772">
        <f t="shared" si="8"/>
        <v>79934.399999999994</v>
      </c>
      <c r="L179" s="731" t="s">
        <v>62</v>
      </c>
      <c r="M179" s="731" t="s">
        <v>71</v>
      </c>
    </row>
    <row r="180" spans="1:13" ht="23.15" customHeight="1">
      <c r="A180" s="726" t="s">
        <v>44</v>
      </c>
      <c r="B180" s="726" t="s">
        <v>45</v>
      </c>
      <c r="C180" s="710" t="s">
        <v>415</v>
      </c>
      <c r="D180" s="710" t="s">
        <v>4981</v>
      </c>
      <c r="E180" s="730" t="s">
        <v>4982</v>
      </c>
      <c r="F180" s="729" t="s">
        <v>7008</v>
      </c>
      <c r="G180" s="759">
        <v>45383</v>
      </c>
      <c r="H180" s="891">
        <v>60</v>
      </c>
      <c r="I180" s="891">
        <v>60</v>
      </c>
      <c r="J180" s="772">
        <v>55000</v>
      </c>
      <c r="K180" s="772">
        <f t="shared" si="8"/>
        <v>66000</v>
      </c>
      <c r="L180" s="711" t="s">
        <v>62</v>
      </c>
      <c r="M180" s="2997">
        <v>45316</v>
      </c>
    </row>
    <row r="181" spans="1:13" ht="23.15" customHeight="1">
      <c r="A181" s="695" t="s">
        <v>100</v>
      </c>
      <c r="B181" s="695" t="s">
        <v>45</v>
      </c>
      <c r="C181" s="695" t="s">
        <v>122</v>
      </c>
      <c r="D181" s="710" t="s">
        <v>5069</v>
      </c>
      <c r="E181" s="801" t="s">
        <v>6627</v>
      </c>
      <c r="F181" s="748" t="s">
        <v>7009</v>
      </c>
      <c r="G181" s="749">
        <v>45383</v>
      </c>
      <c r="H181" s="695" t="s">
        <v>45</v>
      </c>
      <c r="I181" s="695" t="s">
        <v>45</v>
      </c>
      <c r="J181" s="772">
        <v>311000</v>
      </c>
      <c r="K181" s="772">
        <f t="shared" si="8"/>
        <v>373200</v>
      </c>
      <c r="L181" s="695" t="s">
        <v>45</v>
      </c>
      <c r="M181" s="710" t="s">
        <v>45</v>
      </c>
    </row>
    <row r="182" spans="1:13" ht="23.15" customHeight="1">
      <c r="A182" s="2995" t="s">
        <v>44</v>
      </c>
      <c r="B182" s="695" t="s">
        <v>45</v>
      </c>
      <c r="C182" s="710" t="s">
        <v>415</v>
      </c>
      <c r="D182" s="710" t="s">
        <v>5078</v>
      </c>
      <c r="E182" s="578" t="s">
        <v>4949</v>
      </c>
      <c r="F182" s="2996" t="s">
        <v>7010</v>
      </c>
      <c r="G182" s="2997">
        <v>45383</v>
      </c>
      <c r="H182" s="772" t="s">
        <v>45</v>
      </c>
      <c r="I182" s="772" t="s">
        <v>45</v>
      </c>
      <c r="J182" s="2501">
        <v>60000</v>
      </c>
      <c r="K182" s="772" t="s">
        <v>45</v>
      </c>
      <c r="L182" s="578" t="s">
        <v>45</v>
      </c>
      <c r="M182" s="578" t="s">
        <v>45</v>
      </c>
    </row>
    <row r="183" spans="1:13" ht="23.15" customHeight="1">
      <c r="A183" s="2995" t="s">
        <v>44</v>
      </c>
      <c r="B183" s="695" t="s">
        <v>45</v>
      </c>
      <c r="C183" s="710" t="s">
        <v>415</v>
      </c>
      <c r="D183" s="710" t="s">
        <v>5078</v>
      </c>
      <c r="E183" s="578" t="s">
        <v>4949</v>
      </c>
      <c r="F183" s="2996" t="s">
        <v>7011</v>
      </c>
      <c r="G183" s="2997">
        <v>45383</v>
      </c>
      <c r="H183" s="578" t="s">
        <v>45</v>
      </c>
      <c r="I183" s="730" t="s">
        <v>45</v>
      </c>
      <c r="J183" s="2501">
        <v>100000</v>
      </c>
      <c r="K183" s="772" t="s">
        <v>45</v>
      </c>
      <c r="L183" s="578" t="s">
        <v>45</v>
      </c>
      <c r="M183" s="578" t="s">
        <v>45</v>
      </c>
    </row>
    <row r="184" spans="1:13" ht="23.15" customHeight="1">
      <c r="A184" s="707" t="s">
        <v>44</v>
      </c>
      <c r="B184" s="707" t="s">
        <v>45</v>
      </c>
      <c r="C184" s="710" t="s">
        <v>5044</v>
      </c>
      <c r="D184" s="710" t="s">
        <v>569</v>
      </c>
      <c r="E184" s="710" t="s">
        <v>33</v>
      </c>
      <c r="F184" s="728" t="s">
        <v>5289</v>
      </c>
      <c r="G184" s="711">
        <v>45383</v>
      </c>
      <c r="H184" s="707">
        <v>84</v>
      </c>
      <c r="I184" s="707" t="s">
        <v>1455</v>
      </c>
      <c r="J184" s="707">
        <v>4101756</v>
      </c>
      <c r="K184" s="772">
        <f>IF(ISNUMBER(J184),SUM(J184*20%)+J184,"")</f>
        <v>4922107.2</v>
      </c>
      <c r="L184" s="744" t="s">
        <v>70</v>
      </c>
      <c r="M184" s="887">
        <v>45264</v>
      </c>
    </row>
    <row r="185" spans="1:13" ht="23.15" customHeight="1">
      <c r="A185" s="2995" t="s">
        <v>56</v>
      </c>
      <c r="B185" s="578" t="s">
        <v>5287</v>
      </c>
      <c r="C185" s="710" t="s">
        <v>415</v>
      </c>
      <c r="D185" s="710" t="s">
        <v>4994</v>
      </c>
      <c r="E185" s="710" t="s">
        <v>4622</v>
      </c>
      <c r="F185" s="2996" t="s">
        <v>5288</v>
      </c>
      <c r="G185" s="2997">
        <v>45383</v>
      </c>
      <c r="H185" s="578">
        <v>60</v>
      </c>
      <c r="I185" s="578">
        <v>60</v>
      </c>
      <c r="J185" s="2501">
        <v>160000</v>
      </c>
      <c r="K185" s="772">
        <v>192000</v>
      </c>
      <c r="L185" s="578"/>
      <c r="M185" s="578"/>
    </row>
    <row r="186" spans="1:13" ht="23.15" customHeight="1">
      <c r="A186" s="2995" t="s">
        <v>44</v>
      </c>
      <c r="B186" s="578" t="s">
        <v>45</v>
      </c>
      <c r="C186" s="710" t="s">
        <v>5044</v>
      </c>
      <c r="D186" s="710" t="s">
        <v>362</v>
      </c>
      <c r="E186" s="578" t="s">
        <v>80</v>
      </c>
      <c r="F186" s="2996" t="s">
        <v>5656</v>
      </c>
      <c r="G186" s="2997">
        <v>45383</v>
      </c>
      <c r="H186" s="578">
        <v>48</v>
      </c>
      <c r="I186" s="578" t="s">
        <v>1170</v>
      </c>
      <c r="J186" s="2978">
        <v>400000</v>
      </c>
      <c r="K186" s="772">
        <f t="shared" ref="K186:K203" si="10">IF(ISNUMBER(J186),SUM(J186*20%)+J186,"")</f>
        <v>480000</v>
      </c>
      <c r="L186" s="578" t="s">
        <v>92</v>
      </c>
      <c r="M186" s="578" t="s">
        <v>45</v>
      </c>
    </row>
    <row r="187" spans="1:13" s="901" customFormat="1" ht="23.15" customHeight="1">
      <c r="A187" s="707" t="s">
        <v>44</v>
      </c>
      <c r="B187" s="707" t="s">
        <v>45</v>
      </c>
      <c r="C187" s="710" t="s">
        <v>5044</v>
      </c>
      <c r="D187" s="710" t="s">
        <v>569</v>
      </c>
      <c r="E187" s="710" t="s">
        <v>33</v>
      </c>
      <c r="F187" s="709" t="s">
        <v>5252</v>
      </c>
      <c r="G187" s="769">
        <v>45383</v>
      </c>
      <c r="H187" s="738">
        <v>36</v>
      </c>
      <c r="I187" s="884" t="s">
        <v>98</v>
      </c>
      <c r="J187" s="772">
        <v>106000</v>
      </c>
      <c r="K187" s="772">
        <f t="shared" si="10"/>
        <v>127200</v>
      </c>
      <c r="L187" s="710" t="s">
        <v>62</v>
      </c>
      <c r="M187" s="738" t="s">
        <v>71</v>
      </c>
    </row>
    <row r="188" spans="1:13" s="889" customFormat="1" ht="23.15" customHeight="1">
      <c r="A188" s="707" t="s">
        <v>56</v>
      </c>
      <c r="B188" s="707" t="s">
        <v>45</v>
      </c>
      <c r="C188" s="710" t="s">
        <v>630</v>
      </c>
      <c r="D188" s="710" t="s">
        <v>1121</v>
      </c>
      <c r="E188" s="730" t="s">
        <v>1486</v>
      </c>
      <c r="F188" s="709" t="s">
        <v>5320</v>
      </c>
      <c r="G188" s="947">
        <v>45383</v>
      </c>
      <c r="H188" s="738" t="s">
        <v>45</v>
      </c>
      <c r="I188" s="738" t="s">
        <v>45</v>
      </c>
      <c r="J188" s="772">
        <v>9266374</v>
      </c>
      <c r="K188" s="772">
        <f t="shared" si="10"/>
        <v>11119648.800000001</v>
      </c>
      <c r="L188" s="731" t="s">
        <v>70</v>
      </c>
      <c r="M188" s="731" t="s">
        <v>45</v>
      </c>
    </row>
    <row r="189" spans="1:13" ht="23.15" customHeight="1">
      <c r="A189" s="707" t="s">
        <v>6614</v>
      </c>
      <c r="B189" s="738" t="s">
        <v>45</v>
      </c>
      <c r="C189" s="710" t="s">
        <v>415</v>
      </c>
      <c r="D189" s="710" t="s">
        <v>4981</v>
      </c>
      <c r="E189" s="710" t="s">
        <v>4995</v>
      </c>
      <c r="F189" s="709" t="s">
        <v>7012</v>
      </c>
      <c r="G189" s="769"/>
      <c r="H189" s="710" t="s">
        <v>45</v>
      </c>
      <c r="I189" s="710" t="s">
        <v>45</v>
      </c>
      <c r="J189" s="772" t="s">
        <v>45</v>
      </c>
      <c r="K189" s="772" t="str">
        <f t="shared" si="10"/>
        <v/>
      </c>
      <c r="L189" s="710" t="s">
        <v>45</v>
      </c>
      <c r="M189" s="738" t="s">
        <v>45</v>
      </c>
    </row>
    <row r="190" spans="1:13" ht="23.15" customHeight="1">
      <c r="A190" s="726" t="s">
        <v>647</v>
      </c>
      <c r="B190" s="726" t="s">
        <v>60</v>
      </c>
      <c r="C190" s="710" t="s">
        <v>647</v>
      </c>
      <c r="D190" s="710" t="s">
        <v>647</v>
      </c>
      <c r="E190" s="730" t="s">
        <v>4946</v>
      </c>
      <c r="F190" s="709" t="s">
        <v>7013</v>
      </c>
      <c r="G190" s="711">
        <v>45383</v>
      </c>
      <c r="H190" s="777">
        <v>3</v>
      </c>
      <c r="I190" s="777">
        <v>3</v>
      </c>
      <c r="J190" s="772">
        <v>232000</v>
      </c>
      <c r="K190" s="772">
        <f t="shared" si="10"/>
        <v>278400</v>
      </c>
      <c r="L190" s="710" t="s">
        <v>45</v>
      </c>
      <c r="M190" s="710" t="s">
        <v>60</v>
      </c>
    </row>
    <row r="191" spans="1:13" ht="23.15" customHeight="1">
      <c r="A191" s="726" t="s">
        <v>647</v>
      </c>
      <c r="B191" s="726" t="s">
        <v>60</v>
      </c>
      <c r="C191" s="710" t="s">
        <v>647</v>
      </c>
      <c r="D191" s="710" t="s">
        <v>647</v>
      </c>
      <c r="E191" s="730" t="s">
        <v>4946</v>
      </c>
      <c r="F191" s="709" t="s">
        <v>7014</v>
      </c>
      <c r="G191" s="711">
        <v>45413</v>
      </c>
      <c r="H191" s="777">
        <v>3</v>
      </c>
      <c r="I191" s="777">
        <v>3</v>
      </c>
      <c r="J191" s="772">
        <v>1092000</v>
      </c>
      <c r="K191" s="772">
        <f t="shared" si="10"/>
        <v>1310400</v>
      </c>
      <c r="L191" s="710" t="s">
        <v>45</v>
      </c>
      <c r="M191" s="710" t="s">
        <v>60</v>
      </c>
    </row>
    <row r="192" spans="1:13" ht="23.15" customHeight="1">
      <c r="A192" s="726" t="s">
        <v>647</v>
      </c>
      <c r="B192" s="726" t="s">
        <v>60</v>
      </c>
      <c r="C192" s="710" t="s">
        <v>647</v>
      </c>
      <c r="D192" s="710" t="s">
        <v>647</v>
      </c>
      <c r="E192" s="730" t="s">
        <v>4946</v>
      </c>
      <c r="F192" s="709" t="s">
        <v>7015</v>
      </c>
      <c r="G192" s="711">
        <v>45444</v>
      </c>
      <c r="H192" s="777">
        <v>3</v>
      </c>
      <c r="I192" s="777">
        <v>3</v>
      </c>
      <c r="J192" s="772">
        <v>651800</v>
      </c>
      <c r="K192" s="772">
        <f t="shared" si="10"/>
        <v>782160</v>
      </c>
      <c r="L192" s="710" t="s">
        <v>45</v>
      </c>
      <c r="M192" s="710" t="s">
        <v>60</v>
      </c>
    </row>
    <row r="193" spans="1:13" s="901" customFormat="1" ht="23.15" customHeight="1">
      <c r="A193" s="726" t="s">
        <v>647</v>
      </c>
      <c r="B193" s="726" t="s">
        <v>60</v>
      </c>
      <c r="C193" s="710" t="s">
        <v>647</v>
      </c>
      <c r="D193" s="710" t="s">
        <v>647</v>
      </c>
      <c r="E193" s="730" t="s">
        <v>4946</v>
      </c>
      <c r="F193" s="729" t="s">
        <v>5285</v>
      </c>
      <c r="G193" s="759">
        <v>45383</v>
      </c>
      <c r="H193" s="891" t="s">
        <v>60</v>
      </c>
      <c r="I193" s="891" t="s">
        <v>60</v>
      </c>
      <c r="J193" s="772">
        <v>627440</v>
      </c>
      <c r="K193" s="772">
        <f t="shared" si="10"/>
        <v>752928</v>
      </c>
      <c r="L193" s="711" t="s">
        <v>589</v>
      </c>
      <c r="M193" s="711" t="s">
        <v>589</v>
      </c>
    </row>
    <row r="194" spans="1:13" ht="23.15" customHeight="1">
      <c r="A194" s="707" t="s">
        <v>44</v>
      </c>
      <c r="B194" s="738">
        <v>49871</v>
      </c>
      <c r="C194" s="710" t="s">
        <v>5123</v>
      </c>
      <c r="D194" s="710" t="s">
        <v>862</v>
      </c>
      <c r="E194" s="710" t="s">
        <v>323</v>
      </c>
      <c r="F194" s="709" t="s">
        <v>457</v>
      </c>
      <c r="G194" s="769">
        <v>45383</v>
      </c>
      <c r="H194" s="710">
        <v>36</v>
      </c>
      <c r="I194" s="707" t="s">
        <v>5278</v>
      </c>
      <c r="J194" s="772">
        <v>428000</v>
      </c>
      <c r="K194" s="772">
        <f t="shared" si="10"/>
        <v>513600</v>
      </c>
      <c r="L194" s="710" t="s">
        <v>62</v>
      </c>
      <c r="M194" s="770" t="s">
        <v>71</v>
      </c>
    </row>
    <row r="195" spans="1:13" s="908" customFormat="1" ht="23.15" customHeight="1">
      <c r="A195" s="707" t="s">
        <v>56</v>
      </c>
      <c r="B195" s="738" t="s">
        <v>45</v>
      </c>
      <c r="C195" s="710" t="s">
        <v>647</v>
      </c>
      <c r="D195" s="710" t="s">
        <v>647</v>
      </c>
      <c r="E195" s="730" t="s">
        <v>4622</v>
      </c>
      <c r="F195" s="728" t="s">
        <v>3148</v>
      </c>
      <c r="G195" s="947">
        <v>45383</v>
      </c>
      <c r="H195" s="730">
        <v>48</v>
      </c>
      <c r="I195" s="730" t="s">
        <v>215</v>
      </c>
      <c r="J195" s="772">
        <v>600000</v>
      </c>
      <c r="K195" s="772">
        <f t="shared" si="10"/>
        <v>720000</v>
      </c>
      <c r="L195" s="710" t="s">
        <v>70</v>
      </c>
      <c r="M195" s="738" t="s">
        <v>45</v>
      </c>
    </row>
    <row r="196" spans="1:13" ht="23.15" customHeight="1">
      <c r="A196" s="707" t="s">
        <v>56</v>
      </c>
      <c r="B196" s="738" t="s">
        <v>60</v>
      </c>
      <c r="C196" s="710" t="s">
        <v>630</v>
      </c>
      <c r="D196" s="710" t="s">
        <v>1315</v>
      </c>
      <c r="E196" s="710" t="s">
        <v>1471</v>
      </c>
      <c r="F196" s="709" t="s">
        <v>5262</v>
      </c>
      <c r="G196" s="769">
        <v>45383</v>
      </c>
      <c r="H196" s="710" t="s">
        <v>60</v>
      </c>
      <c r="I196" s="707" t="s">
        <v>60</v>
      </c>
      <c r="J196" s="772">
        <v>4178099</v>
      </c>
      <c r="K196" s="772">
        <f t="shared" si="10"/>
        <v>5013718.8</v>
      </c>
      <c r="L196" s="710" t="s">
        <v>60</v>
      </c>
      <c r="M196" s="738" t="s">
        <v>60</v>
      </c>
    </row>
    <row r="197" spans="1:13" ht="23.15" customHeight="1">
      <c r="A197" s="707" t="s">
        <v>100</v>
      </c>
      <c r="B197" s="707">
        <v>79896</v>
      </c>
      <c r="C197" s="710" t="s">
        <v>5044</v>
      </c>
      <c r="D197" s="710" t="s">
        <v>4955</v>
      </c>
      <c r="E197" s="710" t="s">
        <v>5058</v>
      </c>
      <c r="F197" s="709" t="s">
        <v>7016</v>
      </c>
      <c r="G197" s="713">
        <v>45383</v>
      </c>
      <c r="H197" s="707">
        <v>60</v>
      </c>
      <c r="I197" s="707" t="s">
        <v>1732</v>
      </c>
      <c r="J197" s="772">
        <v>510000</v>
      </c>
      <c r="K197" s="772">
        <f t="shared" si="10"/>
        <v>612000</v>
      </c>
      <c r="L197" s="710" t="s">
        <v>70</v>
      </c>
      <c r="M197" s="711" t="s">
        <v>5245</v>
      </c>
    </row>
    <row r="198" spans="1:13" ht="23.15" customHeight="1">
      <c r="A198" s="2995" t="s">
        <v>100</v>
      </c>
      <c r="B198" s="695" t="s">
        <v>45</v>
      </c>
      <c r="C198" s="710" t="s">
        <v>5044</v>
      </c>
      <c r="D198" s="710" t="s">
        <v>4955</v>
      </c>
      <c r="E198" s="578" t="s">
        <v>5058</v>
      </c>
      <c r="F198" s="2996" t="s">
        <v>7017</v>
      </c>
      <c r="G198" s="2997">
        <v>45383</v>
      </c>
      <c r="H198" s="578">
        <v>84</v>
      </c>
      <c r="I198" s="730" t="s">
        <v>7018</v>
      </c>
      <c r="J198" s="2501">
        <v>713967</v>
      </c>
      <c r="K198" s="772">
        <f t="shared" si="10"/>
        <v>856760.4</v>
      </c>
      <c r="L198" s="744" t="s">
        <v>70</v>
      </c>
      <c r="M198" s="578" t="s">
        <v>45</v>
      </c>
    </row>
    <row r="199" spans="1:13" ht="23.15" customHeight="1">
      <c r="A199" s="707" t="s">
        <v>44</v>
      </c>
      <c r="B199" s="738" t="s">
        <v>45</v>
      </c>
      <c r="C199" s="710" t="s">
        <v>5044</v>
      </c>
      <c r="D199" s="710" t="s">
        <v>569</v>
      </c>
      <c r="E199" s="710" t="s">
        <v>33</v>
      </c>
      <c r="F199" s="709" t="s">
        <v>7019</v>
      </c>
      <c r="G199" s="769">
        <v>45383</v>
      </c>
      <c r="H199" s="738">
        <v>61</v>
      </c>
      <c r="I199" s="710" t="s">
        <v>5260</v>
      </c>
      <c r="J199" s="772">
        <v>150000</v>
      </c>
      <c r="K199" s="772">
        <f t="shared" si="10"/>
        <v>180000</v>
      </c>
      <c r="L199" s="769" t="s">
        <v>62</v>
      </c>
      <c r="M199" s="738" t="s">
        <v>67</v>
      </c>
    </row>
    <row r="200" spans="1:13" ht="23.15" customHeight="1">
      <c r="A200" s="707" t="s">
        <v>44</v>
      </c>
      <c r="B200" s="738">
        <v>26112</v>
      </c>
      <c r="C200" s="707" t="s">
        <v>5044</v>
      </c>
      <c r="D200" s="710" t="s">
        <v>569</v>
      </c>
      <c r="E200" s="710" t="s">
        <v>33</v>
      </c>
      <c r="F200" s="709" t="s">
        <v>174</v>
      </c>
      <c r="G200" s="3021">
        <v>45383</v>
      </c>
      <c r="H200" s="893">
        <v>72</v>
      </c>
      <c r="I200" s="893" t="s">
        <v>175</v>
      </c>
      <c r="J200" s="772">
        <v>93775.3</v>
      </c>
      <c r="K200" s="772">
        <f t="shared" si="10"/>
        <v>112530.36</v>
      </c>
      <c r="L200" s="710" t="s">
        <v>62</v>
      </c>
      <c r="M200" s="738" t="s">
        <v>67</v>
      </c>
    </row>
    <row r="201" spans="1:13" ht="23.15" customHeight="1">
      <c r="A201" s="707" t="s">
        <v>647</v>
      </c>
      <c r="B201" s="738">
        <v>52022</v>
      </c>
      <c r="C201" s="730" t="s">
        <v>647</v>
      </c>
      <c r="D201" s="710" t="s">
        <v>647</v>
      </c>
      <c r="E201" s="710"/>
      <c r="F201" s="709" t="s">
        <v>648</v>
      </c>
      <c r="G201" s="947">
        <v>45402</v>
      </c>
      <c r="H201" s="710">
        <v>48</v>
      </c>
      <c r="I201" s="707" t="s">
        <v>5290</v>
      </c>
      <c r="J201" s="772">
        <v>168115.24</v>
      </c>
      <c r="K201" s="772">
        <f t="shared" si="10"/>
        <v>201738.288</v>
      </c>
      <c r="L201" s="710" t="s">
        <v>62</v>
      </c>
      <c r="M201" s="710" t="s">
        <v>5291</v>
      </c>
    </row>
    <row r="202" spans="1:13" ht="23.15" customHeight="1">
      <c r="A202" s="707" t="s">
        <v>44</v>
      </c>
      <c r="B202" s="738" t="s">
        <v>45</v>
      </c>
      <c r="C202" s="710" t="s">
        <v>5044</v>
      </c>
      <c r="D202" s="710" t="s">
        <v>569</v>
      </c>
      <c r="E202" s="710" t="s">
        <v>33</v>
      </c>
      <c r="F202" s="709" t="s">
        <v>7020</v>
      </c>
      <c r="G202" s="947">
        <v>45412</v>
      </c>
      <c r="H202" s="738" t="s">
        <v>45</v>
      </c>
      <c r="I202" s="738" t="s">
        <v>45</v>
      </c>
      <c r="J202" s="772" t="s">
        <v>45</v>
      </c>
      <c r="K202" s="772" t="str">
        <f t="shared" si="10"/>
        <v/>
      </c>
      <c r="L202" s="744" t="s">
        <v>38</v>
      </c>
      <c r="M202" s="738" t="s">
        <v>38</v>
      </c>
    </row>
    <row r="203" spans="1:13" ht="23.15" customHeight="1">
      <c r="A203" s="707" t="s">
        <v>100</v>
      </c>
      <c r="B203" s="707" t="s">
        <v>7021</v>
      </c>
      <c r="C203" s="710" t="s">
        <v>5113</v>
      </c>
      <c r="D203" s="710" t="s">
        <v>5001</v>
      </c>
      <c r="E203" s="710" t="s">
        <v>4995</v>
      </c>
      <c r="F203" s="728" t="s">
        <v>7022</v>
      </c>
      <c r="G203" s="713">
        <v>45413</v>
      </c>
      <c r="H203" s="707">
        <v>12</v>
      </c>
      <c r="I203" s="707">
        <v>12</v>
      </c>
      <c r="J203" s="772">
        <v>75000</v>
      </c>
      <c r="K203" s="772">
        <f t="shared" si="10"/>
        <v>90000</v>
      </c>
      <c r="L203" s="578" t="s">
        <v>62</v>
      </c>
      <c r="M203" s="710" t="s">
        <v>71</v>
      </c>
    </row>
    <row r="204" spans="1:13" ht="23.15" customHeight="1">
      <c r="A204" s="2995" t="s">
        <v>44</v>
      </c>
      <c r="B204" s="695" t="s">
        <v>45</v>
      </c>
      <c r="C204" s="710" t="s">
        <v>415</v>
      </c>
      <c r="D204" s="710" t="s">
        <v>5078</v>
      </c>
      <c r="E204" s="578" t="s">
        <v>4949</v>
      </c>
      <c r="F204" s="2996" t="s">
        <v>7023</v>
      </c>
      <c r="G204" s="2997">
        <v>45413</v>
      </c>
      <c r="H204" s="772" t="s">
        <v>45</v>
      </c>
      <c r="I204" s="772" t="s">
        <v>45</v>
      </c>
      <c r="J204" s="2501">
        <v>100000</v>
      </c>
      <c r="K204" s="772" t="s">
        <v>45</v>
      </c>
      <c r="L204" s="578" t="s">
        <v>45</v>
      </c>
      <c r="M204" s="578" t="s">
        <v>45</v>
      </c>
    </row>
    <row r="205" spans="1:13" ht="23.15" customHeight="1">
      <c r="A205" s="3022" t="s">
        <v>56</v>
      </c>
      <c r="B205" s="2385" t="s">
        <v>45</v>
      </c>
      <c r="C205" s="710" t="s">
        <v>630</v>
      </c>
      <c r="D205" s="710" t="s">
        <v>1360</v>
      </c>
      <c r="E205" s="2385" t="s">
        <v>4950</v>
      </c>
      <c r="F205" s="728" t="s">
        <v>5566</v>
      </c>
      <c r="G205" s="712">
        <v>45413</v>
      </c>
      <c r="H205" s="730" t="s">
        <v>45</v>
      </c>
      <c r="I205" s="730" t="s">
        <v>45</v>
      </c>
      <c r="J205" s="3009">
        <v>175000</v>
      </c>
      <c r="K205" s="772">
        <f>IF(ISNUMBER(J205),SUM(J205*20%)+J205,"")</f>
        <v>210000</v>
      </c>
      <c r="L205" s="730" t="s">
        <v>45</v>
      </c>
      <c r="M205" s="730" t="s">
        <v>45</v>
      </c>
    </row>
    <row r="206" spans="1:13" ht="23.15" customHeight="1">
      <c r="A206" s="730" t="s">
        <v>56</v>
      </c>
      <c r="B206" s="730" t="s">
        <v>45</v>
      </c>
      <c r="C206" s="710" t="s">
        <v>415</v>
      </c>
      <c r="D206" s="710" t="s">
        <v>4994</v>
      </c>
      <c r="E206" s="730" t="s">
        <v>4946</v>
      </c>
      <c r="F206" s="728" t="s">
        <v>5293</v>
      </c>
      <c r="G206" s="712">
        <v>45413</v>
      </c>
      <c r="H206" s="730">
        <v>36</v>
      </c>
      <c r="I206" s="730" t="s">
        <v>160</v>
      </c>
      <c r="J206" s="3009">
        <v>1696951</v>
      </c>
      <c r="K206" s="772">
        <f>IF(ISNUMBER(J206),SUM(J206*20%)+J206,"")</f>
        <v>2036341.2</v>
      </c>
      <c r="L206" s="730" t="s">
        <v>70</v>
      </c>
      <c r="M206" s="730" t="s">
        <v>60</v>
      </c>
    </row>
    <row r="207" spans="1:13" ht="23.15" customHeight="1">
      <c r="A207" s="726" t="s">
        <v>647</v>
      </c>
      <c r="B207" s="726" t="s">
        <v>60</v>
      </c>
      <c r="C207" s="710" t="s">
        <v>647</v>
      </c>
      <c r="D207" s="710" t="s">
        <v>647</v>
      </c>
      <c r="E207" s="730" t="s">
        <v>4959</v>
      </c>
      <c r="F207" s="729" t="s">
        <v>5296</v>
      </c>
      <c r="G207" s="759">
        <v>45413</v>
      </c>
      <c r="H207" s="891">
        <v>24</v>
      </c>
      <c r="I207" s="891">
        <v>24</v>
      </c>
      <c r="J207" s="772">
        <v>800000</v>
      </c>
      <c r="K207" s="772">
        <f>IF(ISNUMBER(J207),SUM(J207*20%)+J207,"")</f>
        <v>960000</v>
      </c>
      <c r="L207" s="711" t="s">
        <v>589</v>
      </c>
      <c r="M207" s="711" t="s">
        <v>589</v>
      </c>
    </row>
    <row r="208" spans="1:13" ht="23.15" customHeight="1">
      <c r="A208" s="2995" t="s">
        <v>56</v>
      </c>
      <c r="B208" s="578" t="s">
        <v>45</v>
      </c>
      <c r="C208" s="710" t="s">
        <v>415</v>
      </c>
      <c r="D208" s="710" t="s">
        <v>4994</v>
      </c>
      <c r="E208" s="578" t="s">
        <v>4956</v>
      </c>
      <c r="F208" s="2996" t="s">
        <v>5295</v>
      </c>
      <c r="G208" s="2997">
        <v>45413</v>
      </c>
      <c r="H208" s="578">
        <v>48</v>
      </c>
      <c r="I208" s="578" t="s">
        <v>60</v>
      </c>
      <c r="J208" s="772">
        <v>6000000</v>
      </c>
      <c r="K208" s="772">
        <f>IF(ISNUMBER(J208),SUM(J208*20%)+J208,"")</f>
        <v>7200000</v>
      </c>
      <c r="L208" s="578" t="s">
        <v>70</v>
      </c>
      <c r="M208" s="578" t="s">
        <v>45</v>
      </c>
    </row>
    <row r="209" spans="1:13" ht="23.15" customHeight="1">
      <c r="A209" s="707" t="s">
        <v>44</v>
      </c>
      <c r="B209" s="710" t="s">
        <v>3979</v>
      </c>
      <c r="C209" s="710" t="s">
        <v>630</v>
      </c>
      <c r="D209" s="710" t="s">
        <v>1315</v>
      </c>
      <c r="E209" s="710" t="s">
        <v>46</v>
      </c>
      <c r="F209" s="709" t="s">
        <v>7024</v>
      </c>
      <c r="G209" s="769">
        <v>45413</v>
      </c>
      <c r="H209" s="710">
        <v>60</v>
      </c>
      <c r="I209" s="884" t="s">
        <v>5292</v>
      </c>
      <c r="J209" s="772">
        <v>400000</v>
      </c>
      <c r="K209" s="772">
        <f>IF(ISNUMBER(J209),SUM(J209*20%)+J209,"")</f>
        <v>480000</v>
      </c>
      <c r="L209" s="731" t="s">
        <v>62</v>
      </c>
      <c r="M209" s="731" t="s">
        <v>67</v>
      </c>
    </row>
    <row r="210" spans="1:13" ht="23.15" customHeight="1">
      <c r="A210" s="577" t="s">
        <v>647</v>
      </c>
      <c r="B210" s="707" t="s">
        <v>45</v>
      </c>
      <c r="C210" s="710" t="s">
        <v>647</v>
      </c>
      <c r="D210" s="710" t="s">
        <v>647</v>
      </c>
      <c r="E210" s="730" t="s">
        <v>4946</v>
      </c>
      <c r="F210" s="709" t="s">
        <v>5301</v>
      </c>
      <c r="G210" s="146">
        <v>45414</v>
      </c>
      <c r="H210" s="71">
        <v>48</v>
      </c>
      <c r="I210" s="772" t="s">
        <v>215</v>
      </c>
      <c r="J210" s="768">
        <v>2250000</v>
      </c>
      <c r="K210" s="772">
        <f>IF(ISNUMBER(J210),SUM(J210*20%)+J210,"")</f>
        <v>2700000</v>
      </c>
      <c r="L210" s="71" t="s">
        <v>71</v>
      </c>
      <c r="M210" s="5"/>
    </row>
    <row r="211" spans="1:13" ht="23.15" customHeight="1">
      <c r="A211" s="726" t="s">
        <v>647</v>
      </c>
      <c r="B211" s="726" t="s">
        <v>60</v>
      </c>
      <c r="C211" s="710" t="s">
        <v>647</v>
      </c>
      <c r="D211" s="710" t="s">
        <v>647</v>
      </c>
      <c r="E211" s="730" t="s">
        <v>4950</v>
      </c>
      <c r="F211" s="729" t="s">
        <v>5298</v>
      </c>
      <c r="G211" s="759">
        <v>45422</v>
      </c>
      <c r="H211" s="891">
        <v>48</v>
      </c>
      <c r="I211" s="891" t="s">
        <v>1427</v>
      </c>
      <c r="J211" s="772">
        <v>240000</v>
      </c>
      <c r="K211" s="772">
        <v>240000</v>
      </c>
      <c r="L211" s="711" t="s">
        <v>589</v>
      </c>
      <c r="M211" s="711" t="s">
        <v>589</v>
      </c>
    </row>
    <row r="212" spans="1:13" ht="23.15" customHeight="1">
      <c r="A212" s="726" t="s">
        <v>56</v>
      </c>
      <c r="B212" s="726" t="s">
        <v>60</v>
      </c>
      <c r="C212" s="710" t="s">
        <v>630</v>
      </c>
      <c r="D212" s="710" t="s">
        <v>1360</v>
      </c>
      <c r="E212" s="730" t="s">
        <v>4950</v>
      </c>
      <c r="F212" s="729" t="s">
        <v>7025</v>
      </c>
      <c r="G212" s="759">
        <v>45422</v>
      </c>
      <c r="H212" s="891">
        <v>48</v>
      </c>
      <c r="I212" s="891" t="s">
        <v>1427</v>
      </c>
      <c r="J212" s="772"/>
      <c r="K212" s="772">
        <v>240000</v>
      </c>
      <c r="L212" s="711" t="s">
        <v>589</v>
      </c>
      <c r="M212" s="711" t="s">
        <v>589</v>
      </c>
    </row>
    <row r="213" spans="1:13" ht="23.15" customHeight="1">
      <c r="A213" s="577" t="s">
        <v>647</v>
      </c>
      <c r="B213" s="707" t="s">
        <v>45</v>
      </c>
      <c r="C213" s="710" t="s">
        <v>647</v>
      </c>
      <c r="D213" s="710" t="s">
        <v>647</v>
      </c>
      <c r="E213" s="730" t="s">
        <v>33</v>
      </c>
      <c r="F213" s="709" t="s">
        <v>5303</v>
      </c>
      <c r="G213" s="146">
        <v>45433</v>
      </c>
      <c r="H213" s="71">
        <v>48</v>
      </c>
      <c r="I213" s="772" t="s">
        <v>215</v>
      </c>
      <c r="J213" s="768">
        <v>60000</v>
      </c>
      <c r="K213" s="772">
        <f>IF(ISNUMBER(J213),SUM(J213*20%)+J213,"")</f>
        <v>72000</v>
      </c>
      <c r="L213" s="71" t="s">
        <v>71</v>
      </c>
      <c r="M213" s="71" t="s">
        <v>71</v>
      </c>
    </row>
    <row r="214" spans="1:13" ht="23.15" customHeight="1">
      <c r="A214" s="707" t="s">
        <v>44</v>
      </c>
      <c r="B214" s="707" t="s">
        <v>45</v>
      </c>
      <c r="C214" s="710" t="s">
        <v>5044</v>
      </c>
      <c r="D214" s="710" t="s">
        <v>569</v>
      </c>
      <c r="E214" s="730" t="s">
        <v>33</v>
      </c>
      <c r="F214" s="728" t="s">
        <v>5304</v>
      </c>
      <c r="G214" s="887">
        <v>45433</v>
      </c>
      <c r="H214" s="707">
        <v>12</v>
      </c>
      <c r="I214" s="707">
        <v>12</v>
      </c>
      <c r="J214" s="772">
        <v>54000</v>
      </c>
      <c r="K214" s="772">
        <f>IF(ISNUMBER(J214),SUM(J214*20%)+J214,"")</f>
        <v>64800</v>
      </c>
      <c r="L214" s="744" t="s">
        <v>45</v>
      </c>
      <c r="M214" s="707" t="s">
        <v>45</v>
      </c>
    </row>
    <row r="215" spans="1:13" ht="23.15" customHeight="1">
      <c r="A215" s="707" t="s">
        <v>44</v>
      </c>
      <c r="B215" s="738" t="s">
        <v>4336</v>
      </c>
      <c r="C215" s="710" t="s">
        <v>5044</v>
      </c>
      <c r="D215" s="710" t="s">
        <v>569</v>
      </c>
      <c r="E215" s="710" t="s">
        <v>33</v>
      </c>
      <c r="F215" s="709" t="s">
        <v>4337</v>
      </c>
      <c r="G215" s="947">
        <v>45565</v>
      </c>
      <c r="H215" s="738">
        <v>60</v>
      </c>
      <c r="I215" s="738" t="s">
        <v>5297</v>
      </c>
      <c r="J215" s="772">
        <v>71000</v>
      </c>
      <c r="K215" s="772">
        <f>IF(ISNUMBER(J215),SUM(J215*20%)+J215,"")</f>
        <v>85200</v>
      </c>
      <c r="L215" s="710" t="s">
        <v>62</v>
      </c>
      <c r="M215" s="738" t="s">
        <v>71</v>
      </c>
    </row>
    <row r="216" spans="1:13" ht="23.15" customHeight="1">
      <c r="A216" s="2995" t="s">
        <v>56</v>
      </c>
      <c r="B216" s="578" t="s">
        <v>5306</v>
      </c>
      <c r="C216" s="695" t="s">
        <v>415</v>
      </c>
      <c r="D216" s="578" t="s">
        <v>4994</v>
      </c>
      <c r="E216" s="578" t="s">
        <v>4946</v>
      </c>
      <c r="F216" s="2996" t="s">
        <v>7026</v>
      </c>
      <c r="G216" s="2997">
        <v>45441</v>
      </c>
      <c r="H216" s="578">
        <v>48</v>
      </c>
      <c r="I216" s="578" t="s">
        <v>5307</v>
      </c>
      <c r="J216" s="772">
        <v>1510000</v>
      </c>
      <c r="K216" s="772">
        <f>IF(ISNUMBER(J216),SUM(J216*20%)+J216,"")</f>
        <v>1812000</v>
      </c>
      <c r="L216" s="578" t="s">
        <v>70</v>
      </c>
      <c r="M216" s="578"/>
    </row>
    <row r="217" spans="1:13" ht="23.15" customHeight="1">
      <c r="A217" s="707" t="s">
        <v>44</v>
      </c>
      <c r="B217" s="707" t="s">
        <v>45</v>
      </c>
      <c r="C217" s="710" t="s">
        <v>5044</v>
      </c>
      <c r="D217" s="710" t="s">
        <v>1440</v>
      </c>
      <c r="E217" s="710" t="s">
        <v>127</v>
      </c>
      <c r="F217" s="709" t="s">
        <v>5067</v>
      </c>
      <c r="G217" s="947">
        <v>45443</v>
      </c>
      <c r="H217" s="738">
        <v>60</v>
      </c>
      <c r="I217" s="884" t="s">
        <v>5068</v>
      </c>
      <c r="J217" s="772">
        <v>825000</v>
      </c>
      <c r="K217" s="772">
        <f>IF(ISNUMBER(J217),SUM(J217*20%)+J217,"")</f>
        <v>990000</v>
      </c>
      <c r="L217" s="710" t="s">
        <v>70</v>
      </c>
      <c r="M217" s="738" t="s">
        <v>45</v>
      </c>
    </row>
    <row r="218" spans="1:13" ht="23.15" customHeight="1">
      <c r="A218" s="707" t="s">
        <v>647</v>
      </c>
      <c r="B218" s="707" t="s">
        <v>60</v>
      </c>
      <c r="C218" s="707" t="s">
        <v>647</v>
      </c>
      <c r="D218" s="577" t="s">
        <v>647</v>
      </c>
      <c r="E218" s="730" t="s">
        <v>4959</v>
      </c>
      <c r="F218" s="728" t="s">
        <v>5226</v>
      </c>
      <c r="G218" s="887">
        <v>45443</v>
      </c>
      <c r="H218" s="707" t="s">
        <v>45</v>
      </c>
      <c r="I218" s="707" t="s">
        <v>45</v>
      </c>
      <c r="J218" s="707" t="s">
        <v>45</v>
      </c>
      <c r="K218" s="772" t="s">
        <v>45</v>
      </c>
      <c r="L218" s="707" t="s">
        <v>45</v>
      </c>
      <c r="M218" s="707" t="s">
        <v>45</v>
      </c>
    </row>
    <row r="219" spans="1:13" ht="23.15" customHeight="1">
      <c r="A219" s="726" t="s">
        <v>56</v>
      </c>
      <c r="B219" s="726" t="s">
        <v>5104</v>
      </c>
      <c r="C219" s="710" t="s">
        <v>647</v>
      </c>
      <c r="D219" s="710" t="s">
        <v>647</v>
      </c>
      <c r="E219" s="730" t="s">
        <v>4946</v>
      </c>
      <c r="F219" s="729" t="s">
        <v>5109</v>
      </c>
      <c r="G219" s="759">
        <v>45444</v>
      </c>
      <c r="H219" s="891">
        <v>3</v>
      </c>
      <c r="I219" s="891">
        <v>3</v>
      </c>
      <c r="J219" s="772">
        <v>647946</v>
      </c>
      <c r="K219" s="772">
        <f>IF(ISNUMBER(J219),SUM(J219*20%)+J219,"")</f>
        <v>777535.2</v>
      </c>
      <c r="L219" s="711" t="s">
        <v>38</v>
      </c>
      <c r="M219" s="711"/>
    </row>
    <row r="220" spans="1:13" ht="23.15" customHeight="1">
      <c r="A220" s="707" t="s">
        <v>44</v>
      </c>
      <c r="B220" s="738" t="s">
        <v>45</v>
      </c>
      <c r="C220" s="710" t="s">
        <v>5044</v>
      </c>
      <c r="D220" s="710" t="s">
        <v>569</v>
      </c>
      <c r="E220" s="710" t="s">
        <v>33</v>
      </c>
      <c r="F220" s="709" t="s">
        <v>5312</v>
      </c>
      <c r="G220" s="947">
        <v>45444</v>
      </c>
      <c r="H220" s="707">
        <v>48</v>
      </c>
      <c r="I220" s="738" t="s">
        <v>258</v>
      </c>
      <c r="J220" s="772">
        <v>80000</v>
      </c>
      <c r="K220" s="772">
        <f>IF(ISNUMBER(J220),SUM(J220*20%)+J220,"")</f>
        <v>96000</v>
      </c>
      <c r="L220" s="731" t="s">
        <v>62</v>
      </c>
      <c r="M220" s="731" t="s">
        <v>67</v>
      </c>
    </row>
    <row r="221" spans="1:13" ht="23.15" customHeight="1">
      <c r="A221" s="726" t="s">
        <v>56</v>
      </c>
      <c r="B221" s="726" t="s">
        <v>60</v>
      </c>
      <c r="C221" s="710" t="s">
        <v>630</v>
      </c>
      <c r="D221" s="710" t="s">
        <v>1360</v>
      </c>
      <c r="E221" s="730" t="s">
        <v>4946</v>
      </c>
      <c r="F221" s="729" t="s">
        <v>5314</v>
      </c>
      <c r="G221" s="759">
        <v>45444</v>
      </c>
      <c r="H221" s="891">
        <v>1</v>
      </c>
      <c r="I221" s="891">
        <v>1</v>
      </c>
      <c r="J221" s="772">
        <v>80000</v>
      </c>
      <c r="K221" s="772">
        <f>IF(ISNUMBER(J221),SUM(J221*20%)+J221,"")</f>
        <v>96000</v>
      </c>
      <c r="L221" s="711" t="s">
        <v>62</v>
      </c>
      <c r="M221" s="711" t="s">
        <v>60</v>
      </c>
    </row>
    <row r="222" spans="1:13" ht="23.15" customHeight="1">
      <c r="A222" s="707" t="s">
        <v>56</v>
      </c>
      <c r="B222" s="707" t="s">
        <v>45</v>
      </c>
      <c r="C222" s="710" t="s">
        <v>630</v>
      </c>
      <c r="D222" s="710" t="s">
        <v>1360</v>
      </c>
      <c r="E222" s="710" t="s">
        <v>4946</v>
      </c>
      <c r="F222" s="709" t="s">
        <v>7027</v>
      </c>
      <c r="G222" s="713">
        <v>45444</v>
      </c>
      <c r="H222" s="777" t="s">
        <v>991</v>
      </c>
      <c r="I222" s="777" t="s">
        <v>991</v>
      </c>
      <c r="J222" s="772">
        <f>15000*4</f>
        <v>60000</v>
      </c>
      <c r="K222" s="772">
        <f>IF(ISNUMBER(J222),SUM(J222*20%)+J222,"")</f>
        <v>72000</v>
      </c>
      <c r="L222" s="710" t="s">
        <v>45</v>
      </c>
      <c r="M222" s="710" t="s">
        <v>45</v>
      </c>
    </row>
    <row r="223" spans="1:13" ht="23.15" customHeight="1">
      <c r="A223" s="577" t="s">
        <v>647</v>
      </c>
      <c r="B223" s="707" t="s">
        <v>45</v>
      </c>
      <c r="C223" s="577" t="s">
        <v>647</v>
      </c>
      <c r="D223" s="577" t="s">
        <v>647</v>
      </c>
      <c r="E223" s="730" t="s">
        <v>4946</v>
      </c>
      <c r="F223" s="709" t="s">
        <v>5308</v>
      </c>
      <c r="G223" s="146">
        <v>45444</v>
      </c>
      <c r="H223" s="71">
        <v>48</v>
      </c>
      <c r="I223" s="772" t="s">
        <v>215</v>
      </c>
      <c r="J223" s="768">
        <v>1500000</v>
      </c>
      <c r="K223" s="772">
        <f>IF(ISNUMBER(J223),SUM(J223*20%)+J223,"")</f>
        <v>1800000</v>
      </c>
      <c r="L223" s="71" t="s">
        <v>71</v>
      </c>
      <c r="M223" s="5"/>
    </row>
    <row r="224" spans="1:13" s="908" customFormat="1" ht="23.15" customHeight="1">
      <c r="A224" s="2995" t="s">
        <v>44</v>
      </c>
      <c r="B224" s="695" t="s">
        <v>45</v>
      </c>
      <c r="C224" s="710" t="s">
        <v>415</v>
      </c>
      <c r="D224" s="710" t="s">
        <v>5078</v>
      </c>
      <c r="E224" s="578" t="s">
        <v>4949</v>
      </c>
      <c r="F224" s="2996" t="s">
        <v>7028</v>
      </c>
      <c r="G224" s="2997">
        <v>45444</v>
      </c>
      <c r="H224" s="772" t="s">
        <v>45</v>
      </c>
      <c r="I224" s="772" t="s">
        <v>45</v>
      </c>
      <c r="J224" s="2501">
        <v>300000</v>
      </c>
      <c r="K224" s="772" t="s">
        <v>45</v>
      </c>
      <c r="L224" s="578" t="s">
        <v>45</v>
      </c>
      <c r="M224" s="578" t="s">
        <v>45</v>
      </c>
    </row>
    <row r="225" spans="1:13" s="908" customFormat="1" ht="23.15" customHeight="1">
      <c r="A225" s="707" t="s">
        <v>56</v>
      </c>
      <c r="B225" s="707" t="s">
        <v>45</v>
      </c>
      <c r="C225" s="730" t="s">
        <v>5044</v>
      </c>
      <c r="D225" s="710" t="s">
        <v>362</v>
      </c>
      <c r="E225" s="730" t="s">
        <v>4946</v>
      </c>
      <c r="F225" s="709" t="s">
        <v>7029</v>
      </c>
      <c r="G225" s="769">
        <v>45444</v>
      </c>
      <c r="H225" s="738" t="s">
        <v>45</v>
      </c>
      <c r="I225" s="738" t="s">
        <v>45</v>
      </c>
      <c r="J225" s="738" t="s">
        <v>45</v>
      </c>
      <c r="K225" s="738" t="s">
        <v>45</v>
      </c>
      <c r="L225" s="711" t="s">
        <v>70</v>
      </c>
      <c r="M225" s="738" t="s">
        <v>45</v>
      </c>
    </row>
    <row r="226" spans="1:13" s="2705" customFormat="1" ht="23.15" customHeight="1">
      <c r="A226" s="707" t="s">
        <v>44</v>
      </c>
      <c r="B226" s="738" t="s">
        <v>45</v>
      </c>
      <c r="C226" s="710" t="s">
        <v>5044</v>
      </c>
      <c r="D226" s="710" t="s">
        <v>569</v>
      </c>
      <c r="E226" s="710" t="s">
        <v>33</v>
      </c>
      <c r="F226" s="709" t="s">
        <v>4033</v>
      </c>
      <c r="G226" s="769">
        <v>46174</v>
      </c>
      <c r="H226" s="710">
        <v>84</v>
      </c>
      <c r="I226" s="884" t="s">
        <v>7030</v>
      </c>
      <c r="J226" s="772">
        <v>1463000</v>
      </c>
      <c r="K226" s="772">
        <f>IF(ISNUMBER(J226),SUM(J226*20%)+J226,"")</f>
        <v>1755600</v>
      </c>
      <c r="L226" s="710" t="s">
        <v>62</v>
      </c>
      <c r="M226" s="710" t="s">
        <v>71</v>
      </c>
    </row>
    <row r="227" spans="1:13" ht="23.15" customHeight="1">
      <c r="A227" s="2995" t="s">
        <v>56</v>
      </c>
      <c r="B227" s="578" t="s">
        <v>5494</v>
      </c>
      <c r="C227" s="710" t="s">
        <v>415</v>
      </c>
      <c r="D227" s="578" t="s">
        <v>4994</v>
      </c>
      <c r="E227" s="578" t="s">
        <v>5077</v>
      </c>
      <c r="F227" s="2996" t="s">
        <v>5495</v>
      </c>
      <c r="G227" s="2997">
        <v>45444</v>
      </c>
      <c r="H227" s="738" t="s">
        <v>45</v>
      </c>
      <c r="I227" s="738" t="s">
        <v>45</v>
      </c>
      <c r="J227" s="772">
        <v>800000</v>
      </c>
      <c r="K227" s="772">
        <f>IF(ISNUMBER(J227),SUM(J227*20%)+J227,"")</f>
        <v>960000</v>
      </c>
      <c r="L227" s="578" t="s">
        <v>70</v>
      </c>
      <c r="M227" s="738" t="s">
        <v>45</v>
      </c>
    </row>
    <row r="228" spans="1:13" ht="23.15" customHeight="1">
      <c r="A228" s="577" t="s">
        <v>647</v>
      </c>
      <c r="B228" s="707" t="s">
        <v>45</v>
      </c>
      <c r="C228" s="577" t="s">
        <v>647</v>
      </c>
      <c r="D228" s="577" t="s">
        <v>647</v>
      </c>
      <c r="E228" s="730" t="s">
        <v>4946</v>
      </c>
      <c r="F228" s="709" t="s">
        <v>5310</v>
      </c>
      <c r="G228" s="146">
        <v>45444</v>
      </c>
      <c r="H228" s="71">
        <v>48</v>
      </c>
      <c r="I228" s="772" t="s">
        <v>258</v>
      </c>
      <c r="J228" s="768" t="s">
        <v>5189</v>
      </c>
      <c r="K228" s="772" t="str">
        <f>IF(ISNUMBER(J228),SUM(J228*20%)+J228,"")</f>
        <v/>
      </c>
      <c r="L228" s="71" t="s">
        <v>71</v>
      </c>
      <c r="M228" s="5"/>
    </row>
    <row r="229" spans="1:13" ht="23.15" customHeight="1">
      <c r="A229" s="577" t="s">
        <v>647</v>
      </c>
      <c r="B229" s="707" t="s">
        <v>45</v>
      </c>
      <c r="C229" s="577" t="s">
        <v>647</v>
      </c>
      <c r="D229" s="577" t="s">
        <v>647</v>
      </c>
      <c r="E229" s="730" t="s">
        <v>4946</v>
      </c>
      <c r="F229" s="709" t="s">
        <v>5309</v>
      </c>
      <c r="G229" s="146">
        <v>45444</v>
      </c>
      <c r="H229" s="71">
        <v>60</v>
      </c>
      <c r="I229" s="772" t="s">
        <v>187</v>
      </c>
      <c r="J229" s="768">
        <v>470000</v>
      </c>
      <c r="K229" s="772">
        <f>IF(ISNUMBER(J229),SUM(J229*20%)+J229,"")</f>
        <v>564000</v>
      </c>
      <c r="L229" s="71" t="s">
        <v>71</v>
      </c>
      <c r="M229" s="5"/>
    </row>
    <row r="230" spans="1:13" ht="23.15" customHeight="1">
      <c r="A230" s="707" t="s">
        <v>56</v>
      </c>
      <c r="B230" s="707" t="s">
        <v>45</v>
      </c>
      <c r="C230" s="710" t="s">
        <v>630</v>
      </c>
      <c r="D230" s="710" t="s">
        <v>1121</v>
      </c>
      <c r="E230" s="710" t="s">
        <v>4950</v>
      </c>
      <c r="F230" s="709" t="s">
        <v>7031</v>
      </c>
      <c r="G230" s="713">
        <v>45383</v>
      </c>
      <c r="H230" s="777">
        <v>48</v>
      </c>
      <c r="I230" s="777" t="s">
        <v>215</v>
      </c>
      <c r="J230" s="772">
        <v>2000000</v>
      </c>
      <c r="K230" s="772">
        <f>IF(ISNUMBER(J230),SUM(J230*20%)+J230,"")</f>
        <v>2400000</v>
      </c>
      <c r="L230" s="710" t="s">
        <v>70</v>
      </c>
      <c r="M230" s="710" t="s">
        <v>45</v>
      </c>
    </row>
    <row r="231" spans="1:13" ht="23.15" customHeight="1">
      <c r="A231" s="2995" t="s">
        <v>44</v>
      </c>
      <c r="B231" s="695" t="s">
        <v>45</v>
      </c>
      <c r="C231" s="710" t="s">
        <v>415</v>
      </c>
      <c r="D231" s="710" t="s">
        <v>5078</v>
      </c>
      <c r="E231" s="578" t="s">
        <v>4949</v>
      </c>
      <c r="F231" s="2996" t="s">
        <v>7032</v>
      </c>
      <c r="G231" s="2997">
        <v>45444</v>
      </c>
      <c r="H231" s="772" t="s">
        <v>45</v>
      </c>
      <c r="I231" s="772" t="s">
        <v>45</v>
      </c>
      <c r="J231" s="2501">
        <v>270000</v>
      </c>
      <c r="K231" s="772" t="s">
        <v>45</v>
      </c>
      <c r="L231" s="578" t="s">
        <v>45</v>
      </c>
      <c r="M231" s="578" t="s">
        <v>45</v>
      </c>
    </row>
    <row r="232" spans="1:13" ht="23.15" customHeight="1">
      <c r="A232" s="707" t="s">
        <v>100</v>
      </c>
      <c r="B232" s="707" t="s">
        <v>45</v>
      </c>
      <c r="C232" s="710" t="s">
        <v>110</v>
      </c>
      <c r="D232" s="710" t="s">
        <v>450</v>
      </c>
      <c r="E232" s="710" t="s">
        <v>4980</v>
      </c>
      <c r="F232" s="709" t="s">
        <v>572</v>
      </c>
      <c r="G232" s="711">
        <v>45474</v>
      </c>
      <c r="H232" s="777">
        <v>60</v>
      </c>
      <c r="I232" s="3023" t="s">
        <v>5228</v>
      </c>
      <c r="J232" s="772">
        <v>2700000</v>
      </c>
      <c r="K232" s="772">
        <f t="shared" ref="K232:K254" si="11">IF(ISNUMBER(J232),SUM(J232*20%)+J232,"")</f>
        <v>3240000</v>
      </c>
      <c r="L232" s="710" t="s">
        <v>200</v>
      </c>
      <c r="M232" s="710" t="s">
        <v>5317</v>
      </c>
    </row>
    <row r="233" spans="1:13" ht="23.15" customHeight="1">
      <c r="A233" s="707" t="s">
        <v>44</v>
      </c>
      <c r="B233" s="738" t="s">
        <v>45</v>
      </c>
      <c r="C233" s="710" t="s">
        <v>5044</v>
      </c>
      <c r="D233" s="730" t="s">
        <v>1440</v>
      </c>
      <c r="E233" s="710" t="s">
        <v>127</v>
      </c>
      <c r="F233" s="709" t="s">
        <v>292</v>
      </c>
      <c r="G233" s="769">
        <v>45474</v>
      </c>
      <c r="H233" s="710">
        <v>72</v>
      </c>
      <c r="I233" s="710" t="s">
        <v>552</v>
      </c>
      <c r="J233" s="772">
        <v>270000</v>
      </c>
      <c r="K233" s="772">
        <f t="shared" si="11"/>
        <v>324000</v>
      </c>
      <c r="L233" s="710" t="s">
        <v>62</v>
      </c>
      <c r="M233" s="738" t="s">
        <v>67</v>
      </c>
    </row>
    <row r="234" spans="1:13" ht="23.15" customHeight="1">
      <c r="A234" s="707" t="s">
        <v>56</v>
      </c>
      <c r="B234" s="707"/>
      <c r="C234" s="710" t="s">
        <v>415</v>
      </c>
      <c r="D234" s="710" t="s">
        <v>4994</v>
      </c>
      <c r="E234" s="730" t="s">
        <v>4956</v>
      </c>
      <c r="F234" s="728" t="s">
        <v>5323</v>
      </c>
      <c r="G234" s="1242">
        <v>45474</v>
      </c>
      <c r="H234" s="707" t="s">
        <v>45</v>
      </c>
      <c r="I234" s="707"/>
      <c r="J234" s="3010"/>
      <c r="K234" s="772" t="str">
        <f t="shared" si="11"/>
        <v/>
      </c>
      <c r="L234" s="707" t="s">
        <v>45</v>
      </c>
      <c r="M234" s="707"/>
    </row>
    <row r="235" spans="1:13" ht="23.15" customHeight="1">
      <c r="A235" s="577" t="s">
        <v>647</v>
      </c>
      <c r="B235" s="707" t="s">
        <v>45</v>
      </c>
      <c r="C235" s="710" t="s">
        <v>647</v>
      </c>
      <c r="D235" s="577" t="s">
        <v>647</v>
      </c>
      <c r="E235" s="730" t="s">
        <v>4946</v>
      </c>
      <c r="F235" s="709" t="s">
        <v>5315</v>
      </c>
      <c r="G235" s="146">
        <v>45474</v>
      </c>
      <c r="H235" s="71">
        <v>48</v>
      </c>
      <c r="I235" s="772" t="s">
        <v>215</v>
      </c>
      <c r="J235" s="768">
        <v>2000000</v>
      </c>
      <c r="K235" s="772">
        <f t="shared" si="11"/>
        <v>2400000</v>
      </c>
      <c r="L235" s="71" t="s">
        <v>71</v>
      </c>
      <c r="M235" s="5"/>
    </row>
    <row r="236" spans="1:13" ht="23.15" customHeight="1">
      <c r="A236" s="707" t="s">
        <v>44</v>
      </c>
      <c r="B236" s="738" t="s">
        <v>45</v>
      </c>
      <c r="C236" s="710" t="s">
        <v>5123</v>
      </c>
      <c r="D236" s="710" t="s">
        <v>569</v>
      </c>
      <c r="E236" s="710" t="s">
        <v>33</v>
      </c>
      <c r="F236" s="729" t="s">
        <v>2634</v>
      </c>
      <c r="G236" s="769">
        <v>45474</v>
      </c>
      <c r="H236" s="710">
        <v>60</v>
      </c>
      <c r="I236" s="884"/>
      <c r="J236" s="772">
        <v>1250000</v>
      </c>
      <c r="K236" s="772">
        <f t="shared" si="11"/>
        <v>1500000</v>
      </c>
      <c r="L236" s="710" t="s">
        <v>70</v>
      </c>
      <c r="M236" s="738" t="s">
        <v>45</v>
      </c>
    </row>
    <row r="237" spans="1:13" ht="23.15" customHeight="1">
      <c r="A237" s="707" t="s">
        <v>100</v>
      </c>
      <c r="B237" s="707" t="s">
        <v>45</v>
      </c>
      <c r="C237" s="710" t="s">
        <v>122</v>
      </c>
      <c r="D237" s="710" t="s">
        <v>5069</v>
      </c>
      <c r="E237" s="710" t="s">
        <v>3410</v>
      </c>
      <c r="F237" s="709" t="s">
        <v>698</v>
      </c>
      <c r="G237" s="947">
        <v>45474</v>
      </c>
      <c r="H237" s="777">
        <v>36</v>
      </c>
      <c r="I237" s="777" t="s">
        <v>5326</v>
      </c>
      <c r="J237" s="772">
        <v>96000</v>
      </c>
      <c r="K237" s="772">
        <f t="shared" si="11"/>
        <v>115200</v>
      </c>
      <c r="L237" s="710" t="s">
        <v>62</v>
      </c>
      <c r="M237" s="710" t="s">
        <v>71</v>
      </c>
    </row>
    <row r="238" spans="1:13" ht="23.15" customHeight="1">
      <c r="A238" s="707" t="s">
        <v>44</v>
      </c>
      <c r="B238" s="707" t="s">
        <v>4521</v>
      </c>
      <c r="C238" s="710" t="s">
        <v>5113</v>
      </c>
      <c r="D238" s="710" t="s">
        <v>890</v>
      </c>
      <c r="E238" s="730" t="s">
        <v>514</v>
      </c>
      <c r="F238" s="728" t="s">
        <v>4522</v>
      </c>
      <c r="G238" s="887">
        <v>45293</v>
      </c>
      <c r="H238" s="707">
        <v>36</v>
      </c>
      <c r="I238" s="707" t="s">
        <v>5004</v>
      </c>
      <c r="J238" s="707">
        <v>150000</v>
      </c>
      <c r="K238" s="772">
        <f t="shared" si="11"/>
        <v>180000</v>
      </c>
      <c r="L238" s="707"/>
      <c r="M238" s="707"/>
    </row>
    <row r="239" spans="1:13" ht="23.15" customHeight="1">
      <c r="A239" s="1664" t="s">
        <v>44</v>
      </c>
      <c r="B239" s="1664" t="s">
        <v>45</v>
      </c>
      <c r="C239" s="710" t="s">
        <v>5044</v>
      </c>
      <c r="D239" s="710" t="s">
        <v>362</v>
      </c>
      <c r="E239" s="2385" t="s">
        <v>4978</v>
      </c>
      <c r="F239" s="728" t="s">
        <v>1208</v>
      </c>
      <c r="G239" s="887">
        <v>45474</v>
      </c>
      <c r="H239" s="1664">
        <v>36</v>
      </c>
      <c r="I239" s="1664" t="s">
        <v>5222</v>
      </c>
      <c r="J239" s="772">
        <v>199406</v>
      </c>
      <c r="K239" s="772">
        <f t="shared" si="11"/>
        <v>239287.2</v>
      </c>
      <c r="L239" s="1664" t="s">
        <v>62</v>
      </c>
      <c r="M239" s="710" t="s">
        <v>71</v>
      </c>
    </row>
    <row r="240" spans="1:13" ht="23.15" customHeight="1">
      <c r="A240" s="2385" t="s">
        <v>56</v>
      </c>
      <c r="B240" s="2385">
        <v>46953</v>
      </c>
      <c r="C240" s="710" t="s">
        <v>415</v>
      </c>
      <c r="D240" s="710" t="s">
        <v>4994</v>
      </c>
      <c r="E240" s="710" t="s">
        <v>4622</v>
      </c>
      <c r="F240" s="728" t="s">
        <v>5321</v>
      </c>
      <c r="G240" s="712">
        <v>45474</v>
      </c>
      <c r="H240" s="2385">
        <v>48</v>
      </c>
      <c r="I240" s="2385" t="s">
        <v>5322</v>
      </c>
      <c r="J240" s="3000">
        <v>3988000</v>
      </c>
      <c r="K240" s="772">
        <f t="shared" si="11"/>
        <v>4785600</v>
      </c>
      <c r="L240" s="2385" t="s">
        <v>1170</v>
      </c>
      <c r="M240" s="2385" t="s">
        <v>1170</v>
      </c>
    </row>
    <row r="241" spans="1:13" ht="23.15" customHeight="1">
      <c r="A241" s="730" t="s">
        <v>56</v>
      </c>
      <c r="B241" s="730" t="s">
        <v>5328</v>
      </c>
      <c r="C241" s="710" t="s">
        <v>415</v>
      </c>
      <c r="D241" s="710" t="s">
        <v>4994</v>
      </c>
      <c r="E241" s="730" t="s">
        <v>4622</v>
      </c>
      <c r="F241" s="728" t="s">
        <v>5329</v>
      </c>
      <c r="G241" s="712">
        <v>45474</v>
      </c>
      <c r="H241" s="730">
        <v>48</v>
      </c>
      <c r="I241" s="730"/>
      <c r="J241" s="3009">
        <v>192000</v>
      </c>
      <c r="K241" s="772">
        <f t="shared" si="11"/>
        <v>230400</v>
      </c>
      <c r="L241" s="730" t="s">
        <v>1170</v>
      </c>
      <c r="M241" s="730" t="s">
        <v>1170</v>
      </c>
    </row>
    <row r="242" spans="1:13" ht="23.15" customHeight="1">
      <c r="A242" s="707" t="s">
        <v>647</v>
      </c>
      <c r="B242" s="707" t="s">
        <v>45</v>
      </c>
      <c r="C242" s="710" t="s">
        <v>647</v>
      </c>
      <c r="D242" s="710" t="s">
        <v>647</v>
      </c>
      <c r="E242" s="710" t="s">
        <v>4946</v>
      </c>
      <c r="F242" s="709" t="s">
        <v>5081</v>
      </c>
      <c r="G242" s="713">
        <v>45474</v>
      </c>
      <c r="H242" s="777">
        <v>1</v>
      </c>
      <c r="I242" s="777">
        <v>1</v>
      </c>
      <c r="J242" s="772">
        <v>135000</v>
      </c>
      <c r="K242" s="772">
        <f t="shared" si="11"/>
        <v>162000</v>
      </c>
      <c r="L242" s="710" t="s">
        <v>45</v>
      </c>
      <c r="M242" s="710" t="s">
        <v>45</v>
      </c>
    </row>
    <row r="243" spans="1:13" ht="23.15" customHeight="1">
      <c r="A243" s="712" t="s">
        <v>44</v>
      </c>
      <c r="B243" s="730" t="s">
        <v>5332</v>
      </c>
      <c r="C243" s="710" t="s">
        <v>415</v>
      </c>
      <c r="D243" s="710" t="s">
        <v>569</v>
      </c>
      <c r="E243" s="730" t="s">
        <v>33</v>
      </c>
      <c r="F243" s="728" t="s">
        <v>7033</v>
      </c>
      <c r="G243" s="712">
        <v>45478</v>
      </c>
      <c r="H243" s="730">
        <v>60</v>
      </c>
      <c r="I243" s="3024" t="s">
        <v>5333</v>
      </c>
      <c r="J243" s="3009">
        <v>85000</v>
      </c>
      <c r="K243" s="772">
        <f t="shared" si="11"/>
        <v>102000</v>
      </c>
      <c r="L243" s="2385" t="s">
        <v>62</v>
      </c>
      <c r="M243" s="710" t="s">
        <v>71</v>
      </c>
    </row>
    <row r="244" spans="1:13" ht="23.15" customHeight="1">
      <c r="A244" s="707" t="s">
        <v>44</v>
      </c>
      <c r="B244" s="707" t="s">
        <v>501</v>
      </c>
      <c r="C244" s="710" t="s">
        <v>5123</v>
      </c>
      <c r="D244" s="710" t="s">
        <v>502</v>
      </c>
      <c r="E244" s="710" t="s">
        <v>514</v>
      </c>
      <c r="F244" s="728" t="s">
        <v>503</v>
      </c>
      <c r="G244" s="731">
        <v>45383</v>
      </c>
      <c r="H244" s="730">
        <v>36</v>
      </c>
      <c r="I244" s="730" t="s">
        <v>816</v>
      </c>
      <c r="J244" s="772">
        <v>199500</v>
      </c>
      <c r="K244" s="772">
        <f t="shared" si="11"/>
        <v>239400</v>
      </c>
      <c r="L244" s="3025" t="s">
        <v>62</v>
      </c>
      <c r="M244" s="578" t="s">
        <v>71</v>
      </c>
    </row>
    <row r="245" spans="1:13" ht="119.15" customHeight="1">
      <c r="A245" s="707" t="s">
        <v>56</v>
      </c>
      <c r="B245" s="707" t="s">
        <v>45</v>
      </c>
      <c r="C245" s="710" t="s">
        <v>630</v>
      </c>
      <c r="D245" s="710" t="s">
        <v>1360</v>
      </c>
      <c r="E245" s="730" t="s">
        <v>4946</v>
      </c>
      <c r="F245" s="728" t="s">
        <v>7034</v>
      </c>
      <c r="G245" s="731"/>
      <c r="H245" s="730"/>
      <c r="I245" s="730"/>
      <c r="J245" s="772"/>
      <c r="K245" s="772"/>
      <c r="L245" s="710" t="s">
        <v>45</v>
      </c>
      <c r="M245" s="578" t="s">
        <v>60</v>
      </c>
    </row>
    <row r="246" spans="1:13" ht="23.15" customHeight="1">
      <c r="A246" s="2995" t="s">
        <v>56</v>
      </c>
      <c r="B246" s="578">
        <v>21534</v>
      </c>
      <c r="C246" s="710" t="s">
        <v>630</v>
      </c>
      <c r="D246" s="710" t="s">
        <v>1360</v>
      </c>
      <c r="E246" s="710" t="s">
        <v>4959</v>
      </c>
      <c r="F246" s="2996" t="s">
        <v>5336</v>
      </c>
      <c r="G246" s="2997">
        <v>45488</v>
      </c>
      <c r="H246" s="578">
        <v>48</v>
      </c>
      <c r="I246" s="578" t="s">
        <v>215</v>
      </c>
      <c r="J246" s="2501">
        <v>50000</v>
      </c>
      <c r="K246" s="772">
        <f t="shared" si="11"/>
        <v>60000</v>
      </c>
      <c r="L246" s="578"/>
      <c r="M246" s="578"/>
    </row>
    <row r="247" spans="1:13" ht="23.15" customHeight="1">
      <c r="A247" s="707" t="s">
        <v>44</v>
      </c>
      <c r="B247" s="738" t="s">
        <v>45</v>
      </c>
      <c r="C247" s="710" t="s">
        <v>415</v>
      </c>
      <c r="D247" s="710" t="s">
        <v>4981</v>
      </c>
      <c r="E247" s="710" t="s">
        <v>80</v>
      </c>
      <c r="F247" s="709" t="s">
        <v>814</v>
      </c>
      <c r="G247" s="947">
        <v>45492</v>
      </c>
      <c r="H247" s="738" t="s">
        <v>45</v>
      </c>
      <c r="I247" s="884" t="s">
        <v>45</v>
      </c>
      <c r="J247" s="772">
        <v>50000</v>
      </c>
      <c r="K247" s="772">
        <f t="shared" si="11"/>
        <v>60000</v>
      </c>
      <c r="L247" s="710" t="s">
        <v>45</v>
      </c>
      <c r="M247" s="770" t="s">
        <v>45</v>
      </c>
    </row>
    <row r="248" spans="1:13" ht="23.15" customHeight="1">
      <c r="A248" s="707" t="s">
        <v>44</v>
      </c>
      <c r="B248" s="738" t="s">
        <v>660</v>
      </c>
      <c r="C248" s="710" t="s">
        <v>5123</v>
      </c>
      <c r="D248" s="710" t="s">
        <v>862</v>
      </c>
      <c r="E248" s="730" t="s">
        <v>661</v>
      </c>
      <c r="F248" s="709" t="s">
        <v>5337</v>
      </c>
      <c r="G248" s="769">
        <v>45492</v>
      </c>
      <c r="H248" s="738">
        <v>48</v>
      </c>
      <c r="I248" s="710" t="s">
        <v>330</v>
      </c>
      <c r="J248" s="772">
        <v>785250</v>
      </c>
      <c r="K248" s="772">
        <f t="shared" si="11"/>
        <v>942300</v>
      </c>
      <c r="L248" s="710" t="s">
        <v>62</v>
      </c>
      <c r="M248" s="738" t="s">
        <v>45</v>
      </c>
    </row>
    <row r="249" spans="1:13" ht="23.15" customHeight="1">
      <c r="A249" s="707" t="s">
        <v>44</v>
      </c>
      <c r="B249" s="738"/>
      <c r="C249" s="710" t="s">
        <v>5044</v>
      </c>
      <c r="D249" s="710" t="s">
        <v>362</v>
      </c>
      <c r="E249" s="710" t="s">
        <v>80</v>
      </c>
      <c r="F249" s="709" t="s">
        <v>5062</v>
      </c>
      <c r="G249" s="947">
        <v>45493</v>
      </c>
      <c r="H249" s="738" t="s">
        <v>45</v>
      </c>
      <c r="I249" s="707" t="s">
        <v>45</v>
      </c>
      <c r="J249" s="772">
        <v>40000</v>
      </c>
      <c r="K249" s="772">
        <f t="shared" si="11"/>
        <v>48000</v>
      </c>
      <c r="L249" s="744" t="s">
        <v>38</v>
      </c>
      <c r="M249" s="578" t="s">
        <v>71</v>
      </c>
    </row>
    <row r="250" spans="1:13" ht="23.15" customHeight="1">
      <c r="A250" s="707" t="s">
        <v>44</v>
      </c>
      <c r="B250" s="707" t="s">
        <v>4158</v>
      </c>
      <c r="C250" s="710" t="s">
        <v>5044</v>
      </c>
      <c r="D250" s="710" t="s">
        <v>569</v>
      </c>
      <c r="E250" s="710" t="s">
        <v>33</v>
      </c>
      <c r="F250" s="728" t="s">
        <v>5341</v>
      </c>
      <c r="G250" s="769">
        <v>45499</v>
      </c>
      <c r="H250" s="738">
        <v>48</v>
      </c>
      <c r="I250" s="711" t="s">
        <v>215</v>
      </c>
      <c r="J250" s="772">
        <v>80000</v>
      </c>
      <c r="K250" s="772">
        <f t="shared" si="11"/>
        <v>96000</v>
      </c>
      <c r="L250" s="710" t="s">
        <v>62</v>
      </c>
      <c r="M250" s="710" t="s">
        <v>71</v>
      </c>
    </row>
    <row r="251" spans="1:13" ht="23.15" customHeight="1">
      <c r="A251" s="726" t="s">
        <v>647</v>
      </c>
      <c r="B251" s="726" t="s">
        <v>60</v>
      </c>
      <c r="C251" s="710" t="s">
        <v>647</v>
      </c>
      <c r="D251" s="710" t="s">
        <v>647</v>
      </c>
      <c r="E251" s="730" t="s">
        <v>4946</v>
      </c>
      <c r="F251" s="709" t="s">
        <v>5100</v>
      </c>
      <c r="G251" s="711">
        <v>45505</v>
      </c>
      <c r="H251" s="893">
        <v>2</v>
      </c>
      <c r="I251" s="893">
        <v>2</v>
      </c>
      <c r="J251" s="772">
        <v>989000</v>
      </c>
      <c r="K251" s="772">
        <f t="shared" si="11"/>
        <v>1186800</v>
      </c>
      <c r="L251" s="711" t="s">
        <v>310</v>
      </c>
      <c r="M251" s="711">
        <v>43700</v>
      </c>
    </row>
    <row r="252" spans="1:13" ht="23.15" customHeight="1">
      <c r="A252" s="726" t="s">
        <v>56</v>
      </c>
      <c r="B252" s="726" t="s">
        <v>60</v>
      </c>
      <c r="C252" s="710" t="s">
        <v>5044</v>
      </c>
      <c r="D252" s="710" t="s">
        <v>362</v>
      </c>
      <c r="E252" s="730" t="s">
        <v>4946</v>
      </c>
      <c r="F252" s="709" t="s">
        <v>5345</v>
      </c>
      <c r="G252" s="711">
        <v>45536</v>
      </c>
      <c r="H252" s="738" t="s">
        <v>45</v>
      </c>
      <c r="I252" s="738" t="s">
        <v>45</v>
      </c>
      <c r="J252" s="772">
        <v>257000</v>
      </c>
      <c r="K252" s="772">
        <f t="shared" si="11"/>
        <v>308400</v>
      </c>
      <c r="L252" s="711" t="s">
        <v>62</v>
      </c>
      <c r="M252" s="738" t="s">
        <v>45</v>
      </c>
    </row>
    <row r="253" spans="1:13" ht="23.15" customHeight="1">
      <c r="A253" s="707" t="s">
        <v>44</v>
      </c>
      <c r="B253" s="730" t="s">
        <v>4179</v>
      </c>
      <c r="C253" s="710" t="s">
        <v>5044</v>
      </c>
      <c r="D253" s="710" t="s">
        <v>362</v>
      </c>
      <c r="E253" s="710" t="s">
        <v>1595</v>
      </c>
      <c r="F253" s="709" t="s">
        <v>1596</v>
      </c>
      <c r="G253" s="769">
        <v>45505</v>
      </c>
      <c r="H253" s="738"/>
      <c r="I253" s="884"/>
      <c r="J253" s="772"/>
      <c r="K253" s="772" t="str">
        <f t="shared" si="11"/>
        <v/>
      </c>
      <c r="L253" s="710" t="s">
        <v>70</v>
      </c>
      <c r="M253" s="770" t="s">
        <v>45</v>
      </c>
    </row>
    <row r="254" spans="1:13" ht="23.15" customHeight="1">
      <c r="A254" s="707" t="s">
        <v>56</v>
      </c>
      <c r="B254" s="3026" t="s">
        <v>5349</v>
      </c>
      <c r="C254" s="710" t="s">
        <v>5044</v>
      </c>
      <c r="D254" s="710" t="s">
        <v>362</v>
      </c>
      <c r="E254" s="730" t="s">
        <v>4946</v>
      </c>
      <c r="F254" s="728" t="s">
        <v>5350</v>
      </c>
      <c r="G254" s="887">
        <v>45505</v>
      </c>
      <c r="H254" s="707">
        <v>48</v>
      </c>
      <c r="I254" s="707" t="s">
        <v>1808</v>
      </c>
      <c r="J254" s="3010">
        <v>60000</v>
      </c>
      <c r="K254" s="772">
        <f t="shared" si="11"/>
        <v>72000</v>
      </c>
      <c r="L254" s="707" t="s">
        <v>38</v>
      </c>
      <c r="M254" s="707" t="s">
        <v>71</v>
      </c>
    </row>
    <row r="255" spans="1:13" ht="23.15" customHeight="1">
      <c r="A255" s="707" t="s">
        <v>44</v>
      </c>
      <c r="B255" s="707" t="s">
        <v>45</v>
      </c>
      <c r="C255" s="710" t="s">
        <v>415</v>
      </c>
      <c r="D255" s="710" t="s">
        <v>5078</v>
      </c>
      <c r="E255" s="710" t="s">
        <v>4949</v>
      </c>
      <c r="F255" s="709" t="s">
        <v>5135</v>
      </c>
      <c r="G255" s="711">
        <v>45505</v>
      </c>
      <c r="H255" s="710" t="s">
        <v>45</v>
      </c>
      <c r="I255" s="710" t="s">
        <v>45</v>
      </c>
      <c r="J255" s="710" t="s">
        <v>45</v>
      </c>
      <c r="K255" s="772"/>
      <c r="L255" s="710" t="s">
        <v>45</v>
      </c>
      <c r="M255" s="710" t="s">
        <v>45</v>
      </c>
    </row>
    <row r="256" spans="1:13" ht="23.15" customHeight="1">
      <c r="A256" s="707" t="s">
        <v>44</v>
      </c>
      <c r="B256" s="738">
        <v>57882</v>
      </c>
      <c r="C256" s="710" t="s">
        <v>5044</v>
      </c>
      <c r="D256" s="710" t="s">
        <v>569</v>
      </c>
      <c r="E256" s="710" t="s">
        <v>33</v>
      </c>
      <c r="F256" s="709" t="s">
        <v>7035</v>
      </c>
      <c r="G256" s="947">
        <v>45505</v>
      </c>
      <c r="H256" s="738">
        <v>48</v>
      </c>
      <c r="I256" s="738" t="s">
        <v>7036</v>
      </c>
      <c r="J256" s="772">
        <v>751406.25</v>
      </c>
      <c r="K256" s="772">
        <f t="shared" ref="K256:K315" si="12">IF(ISNUMBER(J256),SUM(J256*20%)+J256,"")</f>
        <v>901687.5</v>
      </c>
      <c r="L256" s="710" t="s">
        <v>70</v>
      </c>
      <c r="M256" s="770">
        <v>44733</v>
      </c>
    </row>
    <row r="257" spans="1:13" ht="23.15" customHeight="1">
      <c r="A257" s="707" t="s">
        <v>100</v>
      </c>
      <c r="B257" s="707" t="s">
        <v>45</v>
      </c>
      <c r="C257" s="710" t="s">
        <v>122</v>
      </c>
      <c r="D257" s="710" t="s">
        <v>5069</v>
      </c>
      <c r="E257" s="710" t="s">
        <v>3410</v>
      </c>
      <c r="F257" s="709" t="s">
        <v>5343</v>
      </c>
      <c r="G257" s="713">
        <v>45505</v>
      </c>
      <c r="H257" s="707">
        <v>72</v>
      </c>
      <c r="I257" s="777" t="s">
        <v>552</v>
      </c>
      <c r="J257" s="772">
        <v>9000000</v>
      </c>
      <c r="K257" s="772">
        <f t="shared" si="12"/>
        <v>10800000</v>
      </c>
      <c r="L257" s="710" t="s">
        <v>70</v>
      </c>
      <c r="M257" s="713">
        <v>45265</v>
      </c>
    </row>
    <row r="258" spans="1:13" ht="23.15" customHeight="1">
      <c r="A258" s="707" t="s">
        <v>100</v>
      </c>
      <c r="B258" s="707" t="s">
        <v>45</v>
      </c>
      <c r="C258" s="710" t="s">
        <v>122</v>
      </c>
      <c r="D258" s="710" t="s">
        <v>5069</v>
      </c>
      <c r="E258" s="710" t="s">
        <v>3410</v>
      </c>
      <c r="F258" s="709" t="s">
        <v>5342</v>
      </c>
      <c r="G258" s="713">
        <v>45505</v>
      </c>
      <c r="H258" s="707">
        <v>72</v>
      </c>
      <c r="I258" s="777" t="s">
        <v>552</v>
      </c>
      <c r="J258" s="772">
        <v>4320000</v>
      </c>
      <c r="K258" s="772">
        <f t="shared" si="12"/>
        <v>5184000</v>
      </c>
      <c r="L258" s="710" t="s">
        <v>70</v>
      </c>
      <c r="M258" s="713">
        <v>45265</v>
      </c>
    </row>
    <row r="259" spans="1:13" ht="23.15" customHeight="1">
      <c r="A259" s="707" t="s">
        <v>44</v>
      </c>
      <c r="B259" s="707" t="s">
        <v>45</v>
      </c>
      <c r="C259" s="710" t="s">
        <v>5044</v>
      </c>
      <c r="D259" s="730" t="s">
        <v>1440</v>
      </c>
      <c r="E259" s="710" t="s">
        <v>127</v>
      </c>
      <c r="F259" s="709" t="s">
        <v>2746</v>
      </c>
      <c r="G259" s="769">
        <v>45505</v>
      </c>
      <c r="H259" s="710" t="s">
        <v>45</v>
      </c>
      <c r="I259" s="710" t="s">
        <v>45</v>
      </c>
      <c r="J259" s="772" t="s">
        <v>45</v>
      </c>
      <c r="K259" s="772" t="str">
        <f t="shared" si="12"/>
        <v/>
      </c>
      <c r="L259" s="796" t="s">
        <v>45</v>
      </c>
      <c r="M259" s="710" t="s">
        <v>71</v>
      </c>
    </row>
    <row r="260" spans="1:13" ht="23.15" customHeight="1">
      <c r="A260" s="726" t="s">
        <v>56</v>
      </c>
      <c r="B260" s="726" t="s">
        <v>45</v>
      </c>
      <c r="C260" s="730" t="s">
        <v>630</v>
      </c>
      <c r="D260" s="710" t="s">
        <v>1360</v>
      </c>
      <c r="E260" s="730" t="s">
        <v>4946</v>
      </c>
      <c r="F260" s="729" t="s">
        <v>5277</v>
      </c>
      <c r="G260" s="759">
        <v>45505</v>
      </c>
      <c r="H260" s="578">
        <v>3</v>
      </c>
      <c r="I260" s="891">
        <v>3</v>
      </c>
      <c r="J260" s="772">
        <v>100000</v>
      </c>
      <c r="K260" s="772">
        <f t="shared" si="12"/>
        <v>120000</v>
      </c>
      <c r="L260" s="711" t="s">
        <v>62</v>
      </c>
      <c r="M260" s="711" t="s">
        <v>60</v>
      </c>
    </row>
    <row r="261" spans="1:13" ht="23.15" customHeight="1">
      <c r="A261" s="707" t="s">
        <v>100</v>
      </c>
      <c r="B261" s="707" t="s">
        <v>5346</v>
      </c>
      <c r="C261" s="710" t="s">
        <v>122</v>
      </c>
      <c r="D261" s="710" t="s">
        <v>5217</v>
      </c>
      <c r="E261" s="710" t="s">
        <v>5060</v>
      </c>
      <c r="F261" s="709" t="s">
        <v>5347</v>
      </c>
      <c r="G261" s="713">
        <v>45505</v>
      </c>
      <c r="H261" s="896">
        <v>60</v>
      </c>
      <c r="I261" s="777" t="s">
        <v>430</v>
      </c>
      <c r="J261" s="772">
        <v>190000</v>
      </c>
      <c r="K261" s="772">
        <f t="shared" si="12"/>
        <v>228000</v>
      </c>
      <c r="L261" s="777" t="s">
        <v>70</v>
      </c>
      <c r="M261" s="711">
        <v>44336</v>
      </c>
    </row>
    <row r="262" spans="1:13" s="901" customFormat="1" ht="23.15" customHeight="1">
      <c r="A262" s="707" t="s">
        <v>647</v>
      </c>
      <c r="B262" s="707" t="s">
        <v>45</v>
      </c>
      <c r="C262" s="710" t="s">
        <v>647</v>
      </c>
      <c r="D262" s="710" t="s">
        <v>647</v>
      </c>
      <c r="E262" s="710" t="s">
        <v>4946</v>
      </c>
      <c r="F262" s="709" t="s">
        <v>5101</v>
      </c>
      <c r="G262" s="713">
        <v>45505</v>
      </c>
      <c r="H262" s="777">
        <v>1</v>
      </c>
      <c r="I262" s="777" t="s">
        <v>60</v>
      </c>
      <c r="J262" s="772">
        <v>143000</v>
      </c>
      <c r="K262" s="772">
        <f t="shared" si="12"/>
        <v>171600</v>
      </c>
      <c r="L262" s="710" t="s">
        <v>45</v>
      </c>
      <c r="M262" s="710" t="s">
        <v>45</v>
      </c>
    </row>
    <row r="263" spans="1:13" ht="23.15" customHeight="1">
      <c r="A263" s="726" t="s">
        <v>56</v>
      </c>
      <c r="B263" s="726" t="s">
        <v>60</v>
      </c>
      <c r="C263" s="710" t="s">
        <v>630</v>
      </c>
      <c r="D263" s="710" t="s">
        <v>1360</v>
      </c>
      <c r="E263" s="730" t="s">
        <v>4959</v>
      </c>
      <c r="F263" s="709" t="s">
        <v>4191</v>
      </c>
      <c r="G263" s="711">
        <v>45505</v>
      </c>
      <c r="H263" s="893">
        <v>120</v>
      </c>
      <c r="I263" s="893" t="s">
        <v>195</v>
      </c>
      <c r="J263" s="772">
        <f>SUM(AVERAGE(487693.25,440762.85,296504.37))*2</f>
        <v>816640.31333333335</v>
      </c>
      <c r="K263" s="772">
        <f t="shared" si="12"/>
        <v>979968.37600000005</v>
      </c>
      <c r="L263" s="711" t="s">
        <v>310</v>
      </c>
      <c r="M263" s="711" t="s">
        <v>60</v>
      </c>
    </row>
    <row r="264" spans="1:13" ht="23.15" customHeight="1">
      <c r="A264" s="726" t="s">
        <v>56</v>
      </c>
      <c r="B264" s="726" t="s">
        <v>60</v>
      </c>
      <c r="C264" s="710" t="s">
        <v>630</v>
      </c>
      <c r="D264" s="710" t="s">
        <v>1360</v>
      </c>
      <c r="E264" s="730" t="s">
        <v>4959</v>
      </c>
      <c r="F264" s="709" t="s">
        <v>4191</v>
      </c>
      <c r="G264" s="759">
        <v>45505</v>
      </c>
      <c r="H264" s="726" t="s">
        <v>60</v>
      </c>
      <c r="I264" s="762" t="s">
        <v>60</v>
      </c>
      <c r="J264" s="772">
        <f>408320*4</f>
        <v>1633280</v>
      </c>
      <c r="K264" s="772">
        <f t="shared" si="12"/>
        <v>1959936</v>
      </c>
      <c r="L264" s="738" t="s">
        <v>60</v>
      </c>
      <c r="M264" s="711" t="s">
        <v>589</v>
      </c>
    </row>
    <row r="265" spans="1:13" ht="23.15" customHeight="1">
      <c r="A265" s="730" t="s">
        <v>56</v>
      </c>
      <c r="B265" s="730" t="s">
        <v>1424</v>
      </c>
      <c r="C265" s="710" t="s">
        <v>415</v>
      </c>
      <c r="D265" s="710" t="s">
        <v>4994</v>
      </c>
      <c r="E265" s="730" t="s">
        <v>4956</v>
      </c>
      <c r="F265" s="728" t="s">
        <v>5348</v>
      </c>
      <c r="G265" s="712">
        <v>45505</v>
      </c>
      <c r="H265" s="730">
        <v>48</v>
      </c>
      <c r="I265" s="730">
        <v>48</v>
      </c>
      <c r="J265" s="772">
        <v>600000</v>
      </c>
      <c r="K265" s="772">
        <f t="shared" si="12"/>
        <v>720000</v>
      </c>
      <c r="L265" s="730" t="s">
        <v>1170</v>
      </c>
      <c r="M265" s="730" t="s">
        <v>1170</v>
      </c>
    </row>
    <row r="266" spans="1:13" ht="23.15" customHeight="1">
      <c r="A266" s="726" t="s">
        <v>56</v>
      </c>
      <c r="B266" s="726">
        <v>78774</v>
      </c>
      <c r="C266" s="730" t="s">
        <v>5044</v>
      </c>
      <c r="D266" s="710" t="s">
        <v>362</v>
      </c>
      <c r="E266" s="730" t="s">
        <v>4946</v>
      </c>
      <c r="F266" s="729" t="s">
        <v>5609</v>
      </c>
      <c r="G266" s="759">
        <v>45509</v>
      </c>
      <c r="H266" s="738" t="s">
        <v>45</v>
      </c>
      <c r="I266" s="738" t="s">
        <v>45</v>
      </c>
      <c r="J266" s="772">
        <v>4000000</v>
      </c>
      <c r="K266" s="772">
        <f t="shared" si="12"/>
        <v>4800000</v>
      </c>
      <c r="L266" s="711" t="s">
        <v>70</v>
      </c>
      <c r="M266" s="738" t="s">
        <v>45</v>
      </c>
    </row>
    <row r="267" spans="1:13" ht="23.15" customHeight="1">
      <c r="A267" s="707" t="s">
        <v>44</v>
      </c>
      <c r="B267" s="738" t="s">
        <v>4009</v>
      </c>
      <c r="C267" s="710" t="s">
        <v>5044</v>
      </c>
      <c r="D267" s="710" t="s">
        <v>569</v>
      </c>
      <c r="E267" s="710" t="s">
        <v>33</v>
      </c>
      <c r="F267" s="709" t="s">
        <v>7037</v>
      </c>
      <c r="G267" s="769">
        <v>45436</v>
      </c>
      <c r="H267" s="738">
        <v>48</v>
      </c>
      <c r="I267" s="738" t="s">
        <v>5266</v>
      </c>
      <c r="J267" s="772">
        <v>63312</v>
      </c>
      <c r="K267" s="772">
        <f t="shared" si="12"/>
        <v>75974.399999999994</v>
      </c>
      <c r="L267" s="731" t="s">
        <v>62</v>
      </c>
      <c r="M267" s="731" t="s">
        <v>67</v>
      </c>
    </row>
    <row r="268" spans="1:13" ht="23.15" customHeight="1">
      <c r="A268" s="726" t="s">
        <v>56</v>
      </c>
      <c r="B268" s="726" t="s">
        <v>60</v>
      </c>
      <c r="C268" s="710" t="s">
        <v>630</v>
      </c>
      <c r="D268" s="710" t="s">
        <v>1360</v>
      </c>
      <c r="E268" s="730" t="s">
        <v>4959</v>
      </c>
      <c r="F268" s="729" t="s">
        <v>4958</v>
      </c>
      <c r="G268" s="759">
        <v>45514</v>
      </c>
      <c r="H268" s="891">
        <v>48</v>
      </c>
      <c r="I268" s="891" t="s">
        <v>215</v>
      </c>
      <c r="J268" s="772">
        <v>475000</v>
      </c>
      <c r="K268" s="772">
        <f t="shared" si="12"/>
        <v>570000</v>
      </c>
      <c r="L268" s="711" t="s">
        <v>589</v>
      </c>
      <c r="M268" s="711" t="s">
        <v>589</v>
      </c>
    </row>
    <row r="269" spans="1:13" ht="23.15" customHeight="1">
      <c r="A269" s="707" t="s">
        <v>44</v>
      </c>
      <c r="B269" s="738">
        <v>30219</v>
      </c>
      <c r="C269" s="710" t="s">
        <v>5044</v>
      </c>
      <c r="D269" s="710" t="s">
        <v>569</v>
      </c>
      <c r="E269" s="710" t="s">
        <v>33</v>
      </c>
      <c r="F269" s="709" t="s">
        <v>2184</v>
      </c>
      <c r="G269" s="947">
        <v>45528</v>
      </c>
      <c r="H269" s="710">
        <v>48</v>
      </c>
      <c r="I269" s="710" t="s">
        <v>5322</v>
      </c>
      <c r="J269" s="772">
        <v>100000</v>
      </c>
      <c r="K269" s="772">
        <f t="shared" si="12"/>
        <v>120000</v>
      </c>
      <c r="L269" s="710" t="s">
        <v>62</v>
      </c>
      <c r="M269" s="711" t="s">
        <v>60</v>
      </c>
    </row>
    <row r="270" spans="1:13" ht="23.15" customHeight="1">
      <c r="A270" s="726" t="s">
        <v>647</v>
      </c>
      <c r="B270" s="726" t="s">
        <v>60</v>
      </c>
      <c r="C270" s="730" t="s">
        <v>647</v>
      </c>
      <c r="D270" s="577" t="s">
        <v>647</v>
      </c>
      <c r="E270" s="730" t="s">
        <v>4946</v>
      </c>
      <c r="F270" s="709" t="s">
        <v>5358</v>
      </c>
      <c r="G270" s="711">
        <v>45536</v>
      </c>
      <c r="H270" s="893" t="s">
        <v>60</v>
      </c>
      <c r="I270" s="2990" t="s">
        <v>60</v>
      </c>
      <c r="J270" s="772">
        <v>900000</v>
      </c>
      <c r="K270" s="772">
        <f t="shared" si="12"/>
        <v>1080000</v>
      </c>
      <c r="L270" s="711" t="s">
        <v>589</v>
      </c>
      <c r="M270" s="730" t="s">
        <v>60</v>
      </c>
    </row>
    <row r="271" spans="1:13" ht="23.15" customHeight="1">
      <c r="A271" s="726" t="s">
        <v>56</v>
      </c>
      <c r="B271" s="726" t="s">
        <v>45</v>
      </c>
      <c r="C271" s="710" t="s">
        <v>630</v>
      </c>
      <c r="D271" s="710" t="s">
        <v>1315</v>
      </c>
      <c r="E271" s="2385" t="s">
        <v>279</v>
      </c>
      <c r="F271" s="729" t="s">
        <v>5360</v>
      </c>
      <c r="G271" s="759">
        <v>45536</v>
      </c>
      <c r="H271" s="891" t="s">
        <v>60</v>
      </c>
      <c r="I271" s="891" t="s">
        <v>45</v>
      </c>
      <c r="J271" s="772" t="s">
        <v>45</v>
      </c>
      <c r="K271" s="772" t="str">
        <f t="shared" si="12"/>
        <v/>
      </c>
      <c r="L271" s="711" t="s">
        <v>60</v>
      </c>
      <c r="M271" s="711" t="s">
        <v>60</v>
      </c>
    </row>
    <row r="272" spans="1:13" ht="23.15" customHeight="1">
      <c r="A272" s="707" t="s">
        <v>100</v>
      </c>
      <c r="B272" s="707" t="s">
        <v>700</v>
      </c>
      <c r="C272" s="710" t="s">
        <v>5113</v>
      </c>
      <c r="D272" s="710" t="s">
        <v>1374</v>
      </c>
      <c r="E272" s="710" t="s">
        <v>5058</v>
      </c>
      <c r="F272" s="709" t="s">
        <v>701</v>
      </c>
      <c r="G272" s="713">
        <v>45536</v>
      </c>
      <c r="H272" s="777">
        <v>24</v>
      </c>
      <c r="I272" s="777">
        <v>24</v>
      </c>
      <c r="J272" s="772">
        <v>124000</v>
      </c>
      <c r="K272" s="772">
        <f t="shared" si="12"/>
        <v>148800</v>
      </c>
      <c r="L272" s="710" t="s">
        <v>45</v>
      </c>
      <c r="M272" s="711" t="s">
        <v>45</v>
      </c>
    </row>
    <row r="273" spans="1:13" ht="23.15" customHeight="1">
      <c r="A273" s="707" t="s">
        <v>44</v>
      </c>
      <c r="B273" s="738" t="s">
        <v>45</v>
      </c>
      <c r="C273" s="710" t="s">
        <v>5044</v>
      </c>
      <c r="D273" s="710" t="s">
        <v>569</v>
      </c>
      <c r="E273" s="710" t="s">
        <v>33</v>
      </c>
      <c r="F273" s="709" t="s">
        <v>389</v>
      </c>
      <c r="G273" s="947">
        <v>45536</v>
      </c>
      <c r="H273" s="738">
        <v>24</v>
      </c>
      <c r="I273" s="884" t="s">
        <v>1345</v>
      </c>
      <c r="J273" s="772" t="s">
        <v>45</v>
      </c>
      <c r="K273" s="772" t="str">
        <f t="shared" si="12"/>
        <v/>
      </c>
      <c r="L273" s="731" t="s">
        <v>45</v>
      </c>
      <c r="M273" s="731" t="s">
        <v>71</v>
      </c>
    </row>
    <row r="274" spans="1:13" ht="23.15" customHeight="1">
      <c r="A274" s="710" t="s">
        <v>100</v>
      </c>
      <c r="B274" s="710" t="s">
        <v>71</v>
      </c>
      <c r="C274" s="710" t="s">
        <v>122</v>
      </c>
      <c r="D274" s="710" t="s">
        <v>5217</v>
      </c>
      <c r="E274" s="710" t="s">
        <v>3410</v>
      </c>
      <c r="F274" s="728" t="s">
        <v>5634</v>
      </c>
      <c r="G274" s="887">
        <v>45536</v>
      </c>
      <c r="H274" s="707" t="s">
        <v>45</v>
      </c>
      <c r="I274" s="707" t="s">
        <v>45</v>
      </c>
      <c r="J274" s="707" t="s">
        <v>45</v>
      </c>
      <c r="K274" s="772" t="str">
        <f t="shared" si="12"/>
        <v/>
      </c>
      <c r="L274" s="710" t="s">
        <v>70</v>
      </c>
      <c r="M274" s="710" t="s">
        <v>45</v>
      </c>
    </row>
    <row r="275" spans="1:13" ht="23.15" customHeight="1">
      <c r="A275" s="707" t="s">
        <v>100</v>
      </c>
      <c r="B275" s="707">
        <v>54591</v>
      </c>
      <c r="C275" s="710" t="s">
        <v>110</v>
      </c>
      <c r="D275" s="710" t="s">
        <v>450</v>
      </c>
      <c r="E275" s="710" t="s">
        <v>4980</v>
      </c>
      <c r="F275" s="709" t="s">
        <v>5233</v>
      </c>
      <c r="G275" s="713">
        <v>45536</v>
      </c>
      <c r="H275" s="710" t="s">
        <v>4912</v>
      </c>
      <c r="I275" s="884" t="s">
        <v>4912</v>
      </c>
      <c r="J275" s="772">
        <v>5243160</v>
      </c>
      <c r="K275" s="772">
        <f t="shared" si="12"/>
        <v>6291792</v>
      </c>
      <c r="L275" s="710" t="s">
        <v>200</v>
      </c>
      <c r="M275" s="710" t="s">
        <v>5235</v>
      </c>
    </row>
    <row r="276" spans="1:13" ht="23.15" customHeight="1">
      <c r="A276" s="707" t="s">
        <v>100</v>
      </c>
      <c r="B276" s="707" t="s">
        <v>45</v>
      </c>
      <c r="C276" s="710" t="s">
        <v>122</v>
      </c>
      <c r="D276" s="710" t="s">
        <v>1163</v>
      </c>
      <c r="E276" s="710" t="s">
        <v>5060</v>
      </c>
      <c r="F276" s="709" t="s">
        <v>346</v>
      </c>
      <c r="G276" s="713">
        <v>45536</v>
      </c>
      <c r="H276" s="777">
        <v>60</v>
      </c>
      <c r="I276" s="777" t="s">
        <v>187</v>
      </c>
      <c r="J276" s="772">
        <v>135000</v>
      </c>
      <c r="K276" s="772">
        <f t="shared" si="12"/>
        <v>162000</v>
      </c>
      <c r="L276" s="710" t="s">
        <v>62</v>
      </c>
      <c r="M276" s="710" t="s">
        <v>71</v>
      </c>
    </row>
    <row r="277" spans="1:13" ht="23.15" customHeight="1">
      <c r="A277" s="707" t="s">
        <v>44</v>
      </c>
      <c r="B277" s="738" t="s">
        <v>45</v>
      </c>
      <c r="C277" s="710" t="s">
        <v>5044</v>
      </c>
      <c r="D277" s="710" t="s">
        <v>569</v>
      </c>
      <c r="E277" s="710" t="s">
        <v>33</v>
      </c>
      <c r="F277" s="709" t="s">
        <v>5357</v>
      </c>
      <c r="G277" s="769">
        <v>45536</v>
      </c>
      <c r="H277" s="710">
        <v>84</v>
      </c>
      <c r="I277" s="710" t="s">
        <v>1455</v>
      </c>
      <c r="J277" s="710">
        <v>418000</v>
      </c>
      <c r="K277" s="772">
        <f t="shared" si="12"/>
        <v>501600</v>
      </c>
      <c r="L277" s="710" t="s">
        <v>70</v>
      </c>
      <c r="M277" s="711">
        <v>45273</v>
      </c>
    </row>
    <row r="278" spans="1:13" ht="23.15" customHeight="1">
      <c r="A278" s="707" t="s">
        <v>44</v>
      </c>
      <c r="B278" s="738" t="s">
        <v>45</v>
      </c>
      <c r="C278" s="710" t="s">
        <v>5044</v>
      </c>
      <c r="D278" s="710" t="s">
        <v>569</v>
      </c>
      <c r="E278" s="710" t="s">
        <v>33</v>
      </c>
      <c r="F278" s="709" t="s">
        <v>5643</v>
      </c>
      <c r="G278" s="947">
        <v>45536</v>
      </c>
      <c r="H278" s="738">
        <v>60</v>
      </c>
      <c r="I278" s="738"/>
      <c r="J278" s="772"/>
      <c r="K278" s="772" t="str">
        <f t="shared" si="12"/>
        <v/>
      </c>
      <c r="L278" s="710" t="s">
        <v>62</v>
      </c>
      <c r="M278" s="578" t="s">
        <v>71</v>
      </c>
    </row>
    <row r="279" spans="1:13" ht="23.15" customHeight="1">
      <c r="A279" s="707" t="s">
        <v>100</v>
      </c>
      <c r="B279" s="707" t="s">
        <v>45</v>
      </c>
      <c r="C279" s="710" t="s">
        <v>122</v>
      </c>
      <c r="D279" s="710" t="s">
        <v>5217</v>
      </c>
      <c r="E279" s="710" t="s">
        <v>4980</v>
      </c>
      <c r="F279" s="709" t="s">
        <v>3675</v>
      </c>
      <c r="G279" s="713">
        <v>45536</v>
      </c>
      <c r="H279" s="777" t="s">
        <v>45</v>
      </c>
      <c r="I279" s="777" t="s">
        <v>45</v>
      </c>
      <c r="J279" s="772">
        <v>400000</v>
      </c>
      <c r="K279" s="772">
        <f t="shared" si="12"/>
        <v>480000</v>
      </c>
      <c r="L279" s="710" t="s">
        <v>62</v>
      </c>
      <c r="M279" s="710" t="s">
        <v>71</v>
      </c>
    </row>
    <row r="280" spans="1:13" ht="23.15" customHeight="1">
      <c r="A280" s="707" t="s">
        <v>44</v>
      </c>
      <c r="B280" s="738" t="s">
        <v>45</v>
      </c>
      <c r="C280" s="710" t="s">
        <v>5044</v>
      </c>
      <c r="D280" s="730" t="s">
        <v>1440</v>
      </c>
      <c r="E280" s="710" t="s">
        <v>127</v>
      </c>
      <c r="F280" s="709" t="s">
        <v>423</v>
      </c>
      <c r="G280" s="947">
        <v>45536</v>
      </c>
      <c r="H280" s="738">
        <v>72</v>
      </c>
      <c r="I280" s="710" t="s">
        <v>1455</v>
      </c>
      <c r="J280" s="772">
        <v>280000</v>
      </c>
      <c r="K280" s="772">
        <f t="shared" si="12"/>
        <v>336000</v>
      </c>
      <c r="L280" s="710" t="s">
        <v>62</v>
      </c>
      <c r="M280" s="738" t="s">
        <v>38</v>
      </c>
    </row>
    <row r="281" spans="1:13" ht="23.15" customHeight="1">
      <c r="A281" s="707" t="s">
        <v>100</v>
      </c>
      <c r="B281" s="707" t="s">
        <v>45</v>
      </c>
      <c r="C281" s="710" t="s">
        <v>110</v>
      </c>
      <c r="D281" s="710" t="s">
        <v>1146</v>
      </c>
      <c r="E281" s="710" t="s">
        <v>5058</v>
      </c>
      <c r="F281" s="709" t="s">
        <v>5352</v>
      </c>
      <c r="G281" s="713">
        <v>45536</v>
      </c>
      <c r="H281" s="2999">
        <v>36</v>
      </c>
      <c r="I281" s="2999">
        <v>36</v>
      </c>
      <c r="J281" s="772">
        <v>111000</v>
      </c>
      <c r="K281" s="772">
        <f t="shared" si="12"/>
        <v>133200</v>
      </c>
      <c r="L281" s="710" t="s">
        <v>200</v>
      </c>
      <c r="M281" s="711" t="s">
        <v>5353</v>
      </c>
    </row>
    <row r="282" spans="1:13" ht="23.15" customHeight="1">
      <c r="A282" s="707" t="s">
        <v>100</v>
      </c>
      <c r="B282" s="707" t="s">
        <v>45</v>
      </c>
      <c r="C282" s="710" t="s">
        <v>110</v>
      </c>
      <c r="D282" s="710" t="s">
        <v>1146</v>
      </c>
      <c r="E282" s="710" t="s">
        <v>5058</v>
      </c>
      <c r="F282" s="709" t="s">
        <v>1462</v>
      </c>
      <c r="G282" s="731">
        <v>45536</v>
      </c>
      <c r="H282" s="738" t="s">
        <v>45</v>
      </c>
      <c r="I282" s="730" t="s">
        <v>45</v>
      </c>
      <c r="J282" s="772">
        <v>100000</v>
      </c>
      <c r="K282" s="772">
        <f t="shared" si="12"/>
        <v>120000</v>
      </c>
      <c r="L282" s="710" t="s">
        <v>62</v>
      </c>
      <c r="M282" s="710" t="s">
        <v>71</v>
      </c>
    </row>
    <row r="283" spans="1:13" ht="23.15" customHeight="1">
      <c r="A283" s="1664" t="s">
        <v>44</v>
      </c>
      <c r="B283" s="1664" t="s">
        <v>45</v>
      </c>
      <c r="C283" s="578" t="s">
        <v>630</v>
      </c>
      <c r="D283" s="710" t="s">
        <v>1315</v>
      </c>
      <c r="E283" s="710" t="s">
        <v>1595</v>
      </c>
      <c r="F283" s="728" t="s">
        <v>1213</v>
      </c>
      <c r="G283" s="887">
        <v>45474</v>
      </c>
      <c r="H283" s="1664">
        <v>36</v>
      </c>
      <c r="I283" s="1664" t="s">
        <v>5004</v>
      </c>
      <c r="J283" s="772">
        <v>338113</v>
      </c>
      <c r="K283" s="772">
        <f t="shared" si="12"/>
        <v>405735.6</v>
      </c>
      <c r="L283" s="1664" t="s">
        <v>1170</v>
      </c>
      <c r="M283" s="1664" t="s">
        <v>1170</v>
      </c>
    </row>
    <row r="284" spans="1:13" s="901" customFormat="1" ht="23.15" customHeight="1">
      <c r="A284" s="726" t="s">
        <v>56</v>
      </c>
      <c r="B284" s="726" t="s">
        <v>45</v>
      </c>
      <c r="C284" s="710" t="s">
        <v>415</v>
      </c>
      <c r="D284" s="710" t="s">
        <v>4994</v>
      </c>
      <c r="E284" s="730" t="s">
        <v>4622</v>
      </c>
      <c r="F284" s="709" t="s">
        <v>5143</v>
      </c>
      <c r="G284" s="711">
        <v>45539</v>
      </c>
      <c r="H284" s="893">
        <v>24</v>
      </c>
      <c r="I284" s="893" t="s">
        <v>6968</v>
      </c>
      <c r="J284" s="772">
        <v>300000</v>
      </c>
      <c r="K284" s="772">
        <f t="shared" si="12"/>
        <v>360000</v>
      </c>
      <c r="L284" s="711" t="s">
        <v>62</v>
      </c>
      <c r="M284" s="726" t="s">
        <v>60</v>
      </c>
    </row>
    <row r="285" spans="1:13" ht="23.15" customHeight="1">
      <c r="A285" s="730" t="s">
        <v>56</v>
      </c>
      <c r="B285" s="730">
        <v>53921</v>
      </c>
      <c r="C285" s="710" t="s">
        <v>5044</v>
      </c>
      <c r="D285" s="710" t="s">
        <v>362</v>
      </c>
      <c r="E285" s="710" t="s">
        <v>4622</v>
      </c>
      <c r="F285" s="728" t="s">
        <v>5363</v>
      </c>
      <c r="G285" s="712">
        <v>45545</v>
      </c>
      <c r="H285" s="730">
        <v>48</v>
      </c>
      <c r="I285" s="730" t="s">
        <v>215</v>
      </c>
      <c r="J285" s="3009">
        <v>59000</v>
      </c>
      <c r="K285" s="772">
        <f t="shared" si="12"/>
        <v>70800</v>
      </c>
      <c r="L285" s="730" t="s">
        <v>1170</v>
      </c>
      <c r="M285" s="730" t="s">
        <v>1170</v>
      </c>
    </row>
    <row r="286" spans="1:13" ht="23.15" customHeight="1">
      <c r="A286" s="707" t="s">
        <v>44</v>
      </c>
      <c r="B286" s="738" t="s">
        <v>45</v>
      </c>
      <c r="C286" s="710" t="s">
        <v>5044</v>
      </c>
      <c r="D286" s="710" t="s">
        <v>362</v>
      </c>
      <c r="E286" s="710" t="s">
        <v>80</v>
      </c>
      <c r="F286" s="709" t="s">
        <v>7038</v>
      </c>
      <c r="G286" s="947">
        <v>45546</v>
      </c>
      <c r="H286" s="710">
        <v>48</v>
      </c>
      <c r="I286" s="707" t="s">
        <v>215</v>
      </c>
      <c r="J286" s="772">
        <v>280000</v>
      </c>
      <c r="K286" s="772">
        <f t="shared" si="12"/>
        <v>336000</v>
      </c>
      <c r="L286" s="744" t="s">
        <v>62</v>
      </c>
      <c r="M286" s="770" t="s">
        <v>45</v>
      </c>
    </row>
    <row r="287" spans="1:13" ht="23.15" customHeight="1">
      <c r="A287" s="2385" t="s">
        <v>44</v>
      </c>
      <c r="B287" s="2385" t="s">
        <v>5364</v>
      </c>
      <c r="C287" s="710" t="s">
        <v>5044</v>
      </c>
      <c r="D287" s="710" t="s">
        <v>362</v>
      </c>
      <c r="E287" s="710" t="s">
        <v>127</v>
      </c>
      <c r="F287" s="728" t="s">
        <v>7039</v>
      </c>
      <c r="G287" s="947">
        <v>45555</v>
      </c>
      <c r="H287" s="730">
        <v>48</v>
      </c>
      <c r="I287" s="3027" t="s">
        <v>7040</v>
      </c>
      <c r="J287" s="744">
        <v>120000</v>
      </c>
      <c r="K287" s="772">
        <f t="shared" si="12"/>
        <v>144000</v>
      </c>
      <c r="L287" s="2385" t="s">
        <v>1170</v>
      </c>
      <c r="M287" s="2385" t="s">
        <v>1170</v>
      </c>
    </row>
    <row r="288" spans="1:13" ht="23.15" customHeight="1">
      <c r="A288" s="707" t="s">
        <v>44</v>
      </c>
      <c r="B288" s="707" t="s">
        <v>45</v>
      </c>
      <c r="C288" s="710" t="s">
        <v>5044</v>
      </c>
      <c r="D288" s="710" t="s">
        <v>569</v>
      </c>
      <c r="E288" s="730" t="s">
        <v>33</v>
      </c>
      <c r="F288" s="728" t="s">
        <v>5367</v>
      </c>
      <c r="G288" s="887">
        <v>45555</v>
      </c>
      <c r="H288" s="707" t="s">
        <v>45</v>
      </c>
      <c r="I288" s="707" t="s">
        <v>45</v>
      </c>
      <c r="J288" s="707" t="s">
        <v>45</v>
      </c>
      <c r="K288" s="772" t="str">
        <f t="shared" si="12"/>
        <v/>
      </c>
      <c r="L288" s="707" t="s">
        <v>45</v>
      </c>
      <c r="M288" s="707"/>
    </row>
    <row r="289" spans="1:13" ht="23.15" customHeight="1">
      <c r="A289" s="707" t="s">
        <v>100</v>
      </c>
      <c r="B289" s="707" t="s">
        <v>45</v>
      </c>
      <c r="C289" s="710" t="s">
        <v>110</v>
      </c>
      <c r="D289" s="710" t="s">
        <v>450</v>
      </c>
      <c r="E289" s="710" t="s">
        <v>5058</v>
      </c>
      <c r="F289" s="709" t="s">
        <v>5368</v>
      </c>
      <c r="G289" s="713">
        <v>45560</v>
      </c>
      <c r="H289" s="730">
        <v>48</v>
      </c>
      <c r="I289" s="777" t="s">
        <v>5378</v>
      </c>
      <c r="J289" s="772">
        <v>390000</v>
      </c>
      <c r="K289" s="772">
        <f t="shared" si="12"/>
        <v>468000</v>
      </c>
      <c r="L289" s="710" t="s">
        <v>70</v>
      </c>
      <c r="M289" s="710" t="s">
        <v>5369</v>
      </c>
    </row>
    <row r="290" spans="1:13" ht="23.15" customHeight="1">
      <c r="A290" s="707" t="s">
        <v>100</v>
      </c>
      <c r="B290" s="707" t="s">
        <v>45</v>
      </c>
      <c r="C290" s="710" t="s">
        <v>110</v>
      </c>
      <c r="D290" s="710" t="s">
        <v>450</v>
      </c>
      <c r="E290" s="710" t="s">
        <v>5058</v>
      </c>
      <c r="F290" s="709" t="s">
        <v>820</v>
      </c>
      <c r="G290" s="769">
        <v>45748</v>
      </c>
      <c r="H290" s="710" t="s">
        <v>45</v>
      </c>
      <c r="I290" s="710" t="s">
        <v>45</v>
      </c>
      <c r="J290" s="772">
        <v>390000</v>
      </c>
      <c r="K290" s="772">
        <f t="shared" si="12"/>
        <v>468000</v>
      </c>
      <c r="L290" s="710" t="s">
        <v>200</v>
      </c>
      <c r="M290" s="710" t="s">
        <v>7041</v>
      </c>
    </row>
    <row r="291" spans="1:13" ht="23.15" customHeight="1">
      <c r="A291" s="707" t="s">
        <v>100</v>
      </c>
      <c r="B291" s="707" t="s">
        <v>45</v>
      </c>
      <c r="C291" s="710" t="s">
        <v>110</v>
      </c>
      <c r="D291" s="710" t="s">
        <v>1146</v>
      </c>
      <c r="E291" s="710" t="s">
        <v>5058</v>
      </c>
      <c r="F291" s="709" t="s">
        <v>4335</v>
      </c>
      <c r="G291" s="713">
        <v>45566</v>
      </c>
      <c r="H291" s="896">
        <v>48</v>
      </c>
      <c r="I291" s="777" t="s">
        <v>330</v>
      </c>
      <c r="J291" s="772">
        <v>1939200</v>
      </c>
      <c r="K291" s="772">
        <f t="shared" si="12"/>
        <v>2327040</v>
      </c>
      <c r="L291" s="710" t="s">
        <v>70</v>
      </c>
      <c r="M291" s="711">
        <v>43840</v>
      </c>
    </row>
    <row r="292" spans="1:13" ht="23.15" customHeight="1">
      <c r="A292" s="2995" t="s">
        <v>100</v>
      </c>
      <c r="B292" s="578" t="s">
        <v>5371</v>
      </c>
      <c r="C292" s="710" t="s">
        <v>415</v>
      </c>
      <c r="D292" s="710" t="s">
        <v>4994</v>
      </c>
      <c r="E292" s="578" t="s">
        <v>5058</v>
      </c>
      <c r="F292" s="2996" t="s">
        <v>7042</v>
      </c>
      <c r="G292" s="2997">
        <v>45566</v>
      </c>
      <c r="H292" s="578">
        <v>24</v>
      </c>
      <c r="I292" s="578">
        <v>24</v>
      </c>
      <c r="J292" s="2501">
        <v>63000</v>
      </c>
      <c r="K292" s="772">
        <f t="shared" si="12"/>
        <v>75600</v>
      </c>
      <c r="L292" s="710" t="s">
        <v>62</v>
      </c>
      <c r="M292" s="710" t="s">
        <v>71</v>
      </c>
    </row>
    <row r="293" spans="1:13" ht="23.15" customHeight="1">
      <c r="A293" s="707" t="s">
        <v>44</v>
      </c>
      <c r="B293" s="707" t="s">
        <v>45</v>
      </c>
      <c r="C293" s="710" t="s">
        <v>630</v>
      </c>
      <c r="D293" s="710" t="s">
        <v>1121</v>
      </c>
      <c r="E293" s="710" t="s">
        <v>1486</v>
      </c>
      <c r="F293" s="709" t="s">
        <v>5370</v>
      </c>
      <c r="G293" s="711">
        <v>45383</v>
      </c>
      <c r="H293" s="777">
        <v>12</v>
      </c>
      <c r="I293" s="777">
        <v>12</v>
      </c>
      <c r="J293" s="772">
        <v>3003903</v>
      </c>
      <c r="K293" s="772">
        <f t="shared" si="12"/>
        <v>3604683.6</v>
      </c>
      <c r="L293" s="710" t="s">
        <v>45</v>
      </c>
      <c r="M293" s="710" t="s">
        <v>45</v>
      </c>
    </row>
    <row r="294" spans="1:13" ht="23.15" customHeight="1">
      <c r="A294" s="707" t="s">
        <v>100</v>
      </c>
      <c r="B294" s="707" t="s">
        <v>45</v>
      </c>
      <c r="C294" s="710" t="s">
        <v>5113</v>
      </c>
      <c r="D294" s="710" t="s">
        <v>1374</v>
      </c>
      <c r="E294" s="710" t="s">
        <v>5060</v>
      </c>
      <c r="F294" s="709" t="s">
        <v>5381</v>
      </c>
      <c r="G294" s="713">
        <v>45566</v>
      </c>
      <c r="H294" s="710">
        <v>36</v>
      </c>
      <c r="I294" s="710" t="s">
        <v>5222</v>
      </c>
      <c r="J294" s="772">
        <v>240000</v>
      </c>
      <c r="K294" s="772">
        <f t="shared" si="12"/>
        <v>288000</v>
      </c>
      <c r="L294" s="710" t="s">
        <v>62</v>
      </c>
      <c r="M294" s="711" t="s">
        <v>67</v>
      </c>
    </row>
    <row r="295" spans="1:13" ht="63.65" customHeight="1">
      <c r="A295" s="707" t="s">
        <v>100</v>
      </c>
      <c r="B295" s="707" t="s">
        <v>486</v>
      </c>
      <c r="C295" s="710" t="s">
        <v>110</v>
      </c>
      <c r="D295" s="710" t="s">
        <v>450</v>
      </c>
      <c r="E295" s="710" t="s">
        <v>5058</v>
      </c>
      <c r="F295" s="709" t="s">
        <v>5059</v>
      </c>
      <c r="G295" s="713">
        <v>45566</v>
      </c>
      <c r="H295" s="707">
        <v>120</v>
      </c>
      <c r="I295" s="777" t="s">
        <v>5372</v>
      </c>
      <c r="J295" s="772">
        <v>38547674.5</v>
      </c>
      <c r="K295" s="772">
        <f t="shared" si="12"/>
        <v>46257209.399999999</v>
      </c>
      <c r="L295" s="710" t="s">
        <v>38</v>
      </c>
      <c r="M295" s="710" t="s">
        <v>67</v>
      </c>
    </row>
    <row r="296" spans="1:13" ht="23.15" customHeight="1">
      <c r="A296" s="707" t="s">
        <v>100</v>
      </c>
      <c r="B296" s="707">
        <v>50483</v>
      </c>
      <c r="C296" s="710" t="s">
        <v>110</v>
      </c>
      <c r="D296" s="710" t="s">
        <v>1146</v>
      </c>
      <c r="E296" s="710" t="s">
        <v>5058</v>
      </c>
      <c r="F296" s="709" t="s">
        <v>185</v>
      </c>
      <c r="G296" s="711">
        <v>45566</v>
      </c>
      <c r="H296" s="710" t="s">
        <v>45</v>
      </c>
      <c r="I296" s="884" t="s">
        <v>45</v>
      </c>
      <c r="J296" s="772">
        <v>10000000</v>
      </c>
      <c r="K296" s="772">
        <f t="shared" si="12"/>
        <v>12000000</v>
      </c>
      <c r="L296" s="710" t="s">
        <v>200</v>
      </c>
      <c r="M296" s="710">
        <v>2015</v>
      </c>
    </row>
    <row r="297" spans="1:13" ht="23.15" customHeight="1">
      <c r="A297" s="726" t="s">
        <v>56</v>
      </c>
      <c r="B297" s="726" t="s">
        <v>45</v>
      </c>
      <c r="C297" s="710" t="s">
        <v>415</v>
      </c>
      <c r="D297" s="710" t="s">
        <v>4981</v>
      </c>
      <c r="E297" s="2385" t="s">
        <v>5198</v>
      </c>
      <c r="F297" s="729" t="s">
        <v>5199</v>
      </c>
      <c r="G297" s="759">
        <v>45566</v>
      </c>
      <c r="H297" s="891">
        <v>3</v>
      </c>
      <c r="I297" s="891">
        <v>3</v>
      </c>
      <c r="J297" s="772">
        <v>100000</v>
      </c>
      <c r="K297" s="772">
        <f t="shared" si="12"/>
        <v>120000</v>
      </c>
      <c r="L297" s="711" t="s">
        <v>589</v>
      </c>
      <c r="M297" s="711"/>
    </row>
    <row r="298" spans="1:13" ht="23.15" customHeight="1">
      <c r="A298" s="707" t="s">
        <v>56</v>
      </c>
      <c r="B298" s="738"/>
      <c r="C298" s="710" t="s">
        <v>5044</v>
      </c>
      <c r="D298" s="710" t="s">
        <v>362</v>
      </c>
      <c r="E298" s="710" t="s">
        <v>4946</v>
      </c>
      <c r="F298" s="709" t="s">
        <v>5380</v>
      </c>
      <c r="G298" s="947">
        <v>45566</v>
      </c>
      <c r="H298" s="738" t="s">
        <v>45</v>
      </c>
      <c r="I298" s="884" t="s">
        <v>45</v>
      </c>
      <c r="J298" s="772">
        <v>1800000</v>
      </c>
      <c r="K298" s="772">
        <f t="shared" si="12"/>
        <v>2160000</v>
      </c>
      <c r="L298" s="738" t="s">
        <v>45</v>
      </c>
      <c r="M298" s="738" t="s">
        <v>45</v>
      </c>
    </row>
    <row r="299" spans="1:13" ht="23.15" customHeight="1">
      <c r="A299" s="707" t="s">
        <v>100</v>
      </c>
      <c r="B299" s="707" t="s">
        <v>45</v>
      </c>
      <c r="C299" s="710" t="s">
        <v>110</v>
      </c>
      <c r="D299" s="710" t="s">
        <v>1146</v>
      </c>
      <c r="E299" s="710" t="s">
        <v>5058</v>
      </c>
      <c r="F299" s="709" t="s">
        <v>5157</v>
      </c>
      <c r="G299" s="713">
        <v>45566</v>
      </c>
      <c r="H299" s="707">
        <v>48</v>
      </c>
      <c r="I299" s="707" t="s">
        <v>1427</v>
      </c>
      <c r="J299" s="772">
        <v>1991673.12</v>
      </c>
      <c r="K299" s="772">
        <f t="shared" si="12"/>
        <v>2390007.7439999999</v>
      </c>
      <c r="L299" s="710" t="s">
        <v>70</v>
      </c>
      <c r="M299" s="710" t="s">
        <v>5376</v>
      </c>
    </row>
    <row r="300" spans="1:13" ht="23.15" customHeight="1">
      <c r="A300" s="707" t="s">
        <v>44</v>
      </c>
      <c r="B300" s="738" t="s">
        <v>45</v>
      </c>
      <c r="C300" s="710" t="s">
        <v>5044</v>
      </c>
      <c r="D300" s="710" t="s">
        <v>569</v>
      </c>
      <c r="E300" s="710" t="s">
        <v>33</v>
      </c>
      <c r="F300" s="709" t="s">
        <v>3492</v>
      </c>
      <c r="G300" s="947">
        <v>45566</v>
      </c>
      <c r="H300" s="738" t="s">
        <v>45</v>
      </c>
      <c r="I300" s="738" t="s">
        <v>45</v>
      </c>
      <c r="J300" s="772" t="s">
        <v>45</v>
      </c>
      <c r="K300" s="772" t="str">
        <f t="shared" si="12"/>
        <v/>
      </c>
      <c r="L300" s="710" t="s">
        <v>45</v>
      </c>
      <c r="M300" s="738" t="s">
        <v>45</v>
      </c>
    </row>
    <row r="301" spans="1:13" ht="23.15" customHeight="1">
      <c r="A301" s="726" t="s">
        <v>56</v>
      </c>
      <c r="B301" s="726" t="s">
        <v>60</v>
      </c>
      <c r="C301" s="730" t="s">
        <v>5044</v>
      </c>
      <c r="D301" s="710" t="s">
        <v>362</v>
      </c>
      <c r="E301" s="730" t="s">
        <v>4946</v>
      </c>
      <c r="F301" s="729" t="s">
        <v>5382</v>
      </c>
      <c r="G301" s="759">
        <v>45566</v>
      </c>
      <c r="H301" s="891">
        <v>12</v>
      </c>
      <c r="I301" s="891">
        <v>12</v>
      </c>
      <c r="J301" s="772">
        <v>5000000</v>
      </c>
      <c r="K301" s="772">
        <f t="shared" si="12"/>
        <v>6000000</v>
      </c>
      <c r="L301" s="711" t="s">
        <v>70</v>
      </c>
      <c r="M301" s="738" t="s">
        <v>45</v>
      </c>
    </row>
    <row r="302" spans="1:13" ht="23.15" customHeight="1">
      <c r="A302" s="707" t="s">
        <v>100</v>
      </c>
      <c r="B302" s="707" t="s">
        <v>45</v>
      </c>
      <c r="C302" s="710" t="s">
        <v>110</v>
      </c>
      <c r="D302" s="710" t="s">
        <v>1146</v>
      </c>
      <c r="E302" s="710" t="s">
        <v>5058</v>
      </c>
      <c r="F302" s="709" t="s">
        <v>186</v>
      </c>
      <c r="G302" s="713">
        <v>45566</v>
      </c>
      <c r="H302" s="777">
        <v>60</v>
      </c>
      <c r="I302" s="777" t="s">
        <v>187</v>
      </c>
      <c r="J302" s="3028">
        <v>433889</v>
      </c>
      <c r="K302" s="772">
        <f t="shared" si="12"/>
        <v>520666.8</v>
      </c>
      <c r="L302" s="710" t="s">
        <v>200</v>
      </c>
      <c r="M302" s="3019" t="s">
        <v>7043</v>
      </c>
    </row>
    <row r="303" spans="1:13" ht="23.15" customHeight="1">
      <c r="A303" s="2995" t="s">
        <v>44</v>
      </c>
      <c r="B303" s="578" t="s">
        <v>45</v>
      </c>
      <c r="C303" s="710" t="s">
        <v>630</v>
      </c>
      <c r="D303" s="710" t="s">
        <v>1315</v>
      </c>
      <c r="E303" s="710" t="s">
        <v>4622</v>
      </c>
      <c r="F303" s="2996" t="s">
        <v>5166</v>
      </c>
      <c r="G303" s="2997">
        <v>45566</v>
      </c>
      <c r="H303" s="578" t="s">
        <v>45</v>
      </c>
      <c r="I303" s="578" t="s">
        <v>45</v>
      </c>
      <c r="J303" s="2501" t="s">
        <v>45</v>
      </c>
      <c r="K303" s="772" t="str">
        <f t="shared" si="12"/>
        <v/>
      </c>
      <c r="L303" s="578" t="s">
        <v>62</v>
      </c>
      <c r="M303" s="578" t="s">
        <v>71</v>
      </c>
    </row>
    <row r="304" spans="1:13" ht="23.15" customHeight="1">
      <c r="A304" s="707" t="s">
        <v>44</v>
      </c>
      <c r="B304" s="738"/>
      <c r="C304" s="710" t="s">
        <v>5044</v>
      </c>
      <c r="D304" s="710" t="s">
        <v>569</v>
      </c>
      <c r="E304" s="710" t="s">
        <v>33</v>
      </c>
      <c r="F304" s="709" t="s">
        <v>7044</v>
      </c>
      <c r="G304" s="769">
        <v>45566</v>
      </c>
      <c r="H304" s="710">
        <v>36</v>
      </c>
      <c r="I304" s="884" t="s">
        <v>5164</v>
      </c>
      <c r="J304" s="772">
        <v>37044</v>
      </c>
      <c r="K304" s="772">
        <f t="shared" si="12"/>
        <v>44452.800000000003</v>
      </c>
      <c r="L304" s="710" t="s">
        <v>38</v>
      </c>
      <c r="M304" s="578" t="s">
        <v>71</v>
      </c>
    </row>
    <row r="305" spans="1:13" ht="23.15" customHeight="1">
      <c r="A305" s="707" t="s">
        <v>100</v>
      </c>
      <c r="B305" s="707" t="s">
        <v>45</v>
      </c>
      <c r="C305" s="710" t="s">
        <v>110</v>
      </c>
      <c r="D305" s="710" t="s">
        <v>1146</v>
      </c>
      <c r="E305" s="710" t="s">
        <v>5058</v>
      </c>
      <c r="F305" s="709" t="s">
        <v>5236</v>
      </c>
      <c r="G305" s="769">
        <v>45566</v>
      </c>
      <c r="H305" s="738" t="s">
        <v>45</v>
      </c>
      <c r="I305" s="707" t="s">
        <v>160</v>
      </c>
      <c r="J305" s="772" t="s">
        <v>45</v>
      </c>
      <c r="K305" s="772" t="str">
        <f t="shared" si="12"/>
        <v/>
      </c>
      <c r="L305" s="710" t="s">
        <v>70</v>
      </c>
      <c r="M305" s="710" t="s">
        <v>5238</v>
      </c>
    </row>
    <row r="306" spans="1:13" ht="23.15" customHeight="1">
      <c r="A306" s="707" t="s">
        <v>100</v>
      </c>
      <c r="B306" s="730" t="s">
        <v>45</v>
      </c>
      <c r="C306" s="710" t="s">
        <v>415</v>
      </c>
      <c r="D306" s="710" t="s">
        <v>4994</v>
      </c>
      <c r="E306" s="710" t="s">
        <v>5058</v>
      </c>
      <c r="F306" s="728" t="s">
        <v>5373</v>
      </c>
      <c r="G306" s="712">
        <v>45566</v>
      </c>
      <c r="H306" s="730" t="s">
        <v>45</v>
      </c>
      <c r="I306" s="730" t="s">
        <v>45</v>
      </c>
      <c r="J306" s="3009" t="s">
        <v>45</v>
      </c>
      <c r="K306" s="772" t="str">
        <f t="shared" si="12"/>
        <v/>
      </c>
      <c r="L306" s="711" t="s">
        <v>45</v>
      </c>
      <c r="M306" s="711" t="s">
        <v>45</v>
      </c>
    </row>
    <row r="307" spans="1:13" ht="23.15" customHeight="1">
      <c r="A307" s="726" t="s">
        <v>56</v>
      </c>
      <c r="B307" s="726" t="s">
        <v>60</v>
      </c>
      <c r="C307" s="710" t="s">
        <v>630</v>
      </c>
      <c r="D307" s="710" t="s">
        <v>1360</v>
      </c>
      <c r="E307" s="730" t="s">
        <v>4959</v>
      </c>
      <c r="F307" s="709" t="s">
        <v>3502</v>
      </c>
      <c r="G307" s="711">
        <v>45566</v>
      </c>
      <c r="H307" s="893" t="s">
        <v>45</v>
      </c>
      <c r="I307" s="893" t="s">
        <v>45</v>
      </c>
      <c r="J307" s="772">
        <v>480000</v>
      </c>
      <c r="K307" s="772">
        <f t="shared" si="12"/>
        <v>576000</v>
      </c>
      <c r="L307" s="711" t="s">
        <v>62</v>
      </c>
      <c r="M307" s="711" t="s">
        <v>60</v>
      </c>
    </row>
    <row r="308" spans="1:13" ht="23.15" customHeight="1">
      <c r="A308" s="707" t="s">
        <v>44</v>
      </c>
      <c r="B308" s="710" t="s">
        <v>45</v>
      </c>
      <c r="C308" s="710" t="s">
        <v>5044</v>
      </c>
      <c r="D308" s="710" t="s">
        <v>569</v>
      </c>
      <c r="E308" s="710" t="s">
        <v>33</v>
      </c>
      <c r="F308" s="709" t="s">
        <v>5383</v>
      </c>
      <c r="G308" s="947">
        <v>45569</v>
      </c>
      <c r="H308" s="710">
        <v>24</v>
      </c>
      <c r="I308" s="707" t="s">
        <v>1345</v>
      </c>
      <c r="J308" s="772">
        <v>178972</v>
      </c>
      <c r="K308" s="772">
        <f t="shared" si="12"/>
        <v>214766.4</v>
      </c>
      <c r="L308" s="744" t="s">
        <v>62</v>
      </c>
      <c r="M308" s="738" t="s">
        <v>67</v>
      </c>
    </row>
    <row r="309" spans="1:13" ht="23.15" customHeight="1">
      <c r="A309" s="707" t="s">
        <v>44</v>
      </c>
      <c r="B309" s="710" t="s">
        <v>45</v>
      </c>
      <c r="C309" s="710" t="s">
        <v>5044</v>
      </c>
      <c r="D309" s="710" t="s">
        <v>569</v>
      </c>
      <c r="E309" s="710" t="s">
        <v>33</v>
      </c>
      <c r="F309" s="709" t="s">
        <v>1029</v>
      </c>
      <c r="G309" s="947">
        <v>45569</v>
      </c>
      <c r="H309" s="710">
        <v>12</v>
      </c>
      <c r="I309" s="710">
        <v>12</v>
      </c>
      <c r="J309" s="772"/>
      <c r="K309" s="772" t="str">
        <f t="shared" si="12"/>
        <v/>
      </c>
      <c r="L309" s="711" t="s">
        <v>45</v>
      </c>
      <c r="M309" s="578" t="s">
        <v>45</v>
      </c>
    </row>
    <row r="310" spans="1:13" ht="23.15" customHeight="1">
      <c r="A310" s="707" t="s">
        <v>44</v>
      </c>
      <c r="B310" s="738" t="s">
        <v>45</v>
      </c>
      <c r="C310" s="730" t="s">
        <v>5044</v>
      </c>
      <c r="D310" s="710" t="s">
        <v>569</v>
      </c>
      <c r="E310" s="710" t="s">
        <v>33</v>
      </c>
      <c r="F310" s="728" t="s">
        <v>432</v>
      </c>
      <c r="G310" s="1242">
        <v>45595</v>
      </c>
      <c r="H310" s="707" t="s">
        <v>45</v>
      </c>
      <c r="I310" s="730" t="s">
        <v>45</v>
      </c>
      <c r="J310" s="772" t="s">
        <v>45</v>
      </c>
      <c r="K310" s="772" t="str">
        <f t="shared" si="12"/>
        <v/>
      </c>
      <c r="L310" s="710" t="s">
        <v>70</v>
      </c>
      <c r="M310" s="738" t="s">
        <v>45</v>
      </c>
    </row>
    <row r="311" spans="1:13" ht="23.15" customHeight="1">
      <c r="A311" s="707" t="s">
        <v>44</v>
      </c>
      <c r="B311" s="738">
        <v>36463</v>
      </c>
      <c r="C311" s="710" t="s">
        <v>5123</v>
      </c>
      <c r="D311" s="710" t="s">
        <v>502</v>
      </c>
      <c r="E311" s="710" t="s">
        <v>514</v>
      </c>
      <c r="F311" s="709" t="s">
        <v>507</v>
      </c>
      <c r="G311" s="947">
        <v>45597</v>
      </c>
      <c r="H311" s="738">
        <v>48</v>
      </c>
      <c r="I311" s="884" t="s">
        <v>5388</v>
      </c>
      <c r="J311" s="772">
        <v>16000000</v>
      </c>
      <c r="K311" s="772">
        <f t="shared" si="12"/>
        <v>19200000</v>
      </c>
      <c r="L311" s="710" t="s">
        <v>70</v>
      </c>
      <c r="M311" s="770">
        <v>44711</v>
      </c>
    </row>
    <row r="312" spans="1:13" ht="23.15" customHeight="1">
      <c r="A312" s="707" t="s">
        <v>100</v>
      </c>
      <c r="B312" s="707" t="s">
        <v>45</v>
      </c>
      <c r="C312" s="710" t="s">
        <v>110</v>
      </c>
      <c r="D312" s="710" t="s">
        <v>1146</v>
      </c>
      <c r="E312" s="710" t="s">
        <v>5058</v>
      </c>
      <c r="F312" s="709" t="s">
        <v>5386</v>
      </c>
      <c r="G312" s="769">
        <v>45597</v>
      </c>
      <c r="H312" s="710">
        <v>60</v>
      </c>
      <c r="I312" s="884" t="s">
        <v>171</v>
      </c>
      <c r="J312" s="772" t="s">
        <v>45</v>
      </c>
      <c r="K312" s="772" t="str">
        <f t="shared" si="12"/>
        <v/>
      </c>
      <c r="L312" s="710" t="s">
        <v>200</v>
      </c>
      <c r="M312" s="710" t="s">
        <v>5356</v>
      </c>
    </row>
    <row r="313" spans="1:13" ht="23.15" customHeight="1">
      <c r="A313" s="707" t="s">
        <v>44</v>
      </c>
      <c r="B313" s="738">
        <v>53588</v>
      </c>
      <c r="C313" s="710" t="s">
        <v>5044</v>
      </c>
      <c r="D313" s="710" t="s">
        <v>362</v>
      </c>
      <c r="E313" s="710" t="s">
        <v>4962</v>
      </c>
      <c r="F313" s="709" t="s">
        <v>364</v>
      </c>
      <c r="G313" s="947">
        <v>45597</v>
      </c>
      <c r="H313" s="738">
        <v>48</v>
      </c>
      <c r="I313" s="738" t="s">
        <v>7045</v>
      </c>
      <c r="J313" s="772">
        <v>135599</v>
      </c>
      <c r="K313" s="772">
        <f t="shared" si="12"/>
        <v>162718.79999999999</v>
      </c>
      <c r="L313" s="710" t="s">
        <v>62</v>
      </c>
      <c r="M313" s="738" t="s">
        <v>71</v>
      </c>
    </row>
    <row r="314" spans="1:13" ht="23.15" customHeight="1">
      <c r="A314" s="707" t="s">
        <v>44</v>
      </c>
      <c r="B314" s="738" t="s">
        <v>45</v>
      </c>
      <c r="C314" s="710" t="s">
        <v>5044</v>
      </c>
      <c r="D314" s="710" t="s">
        <v>362</v>
      </c>
      <c r="E314" s="710" t="s">
        <v>4622</v>
      </c>
      <c r="F314" s="709" t="s">
        <v>934</v>
      </c>
      <c r="G314" s="1236">
        <v>45510</v>
      </c>
      <c r="H314" s="1253">
        <v>120</v>
      </c>
      <c r="I314" s="1254" t="s">
        <v>45</v>
      </c>
      <c r="J314" s="772" t="s">
        <v>45</v>
      </c>
      <c r="K314" s="772" t="str">
        <f t="shared" si="12"/>
        <v/>
      </c>
      <c r="L314" s="710" t="s">
        <v>62</v>
      </c>
      <c r="M314" s="738" t="s">
        <v>70</v>
      </c>
    </row>
    <row r="315" spans="1:13" ht="23.15" customHeight="1">
      <c r="A315" s="707" t="s">
        <v>44</v>
      </c>
      <c r="B315" s="707" t="s">
        <v>45</v>
      </c>
      <c r="C315" s="710" t="s">
        <v>5044</v>
      </c>
      <c r="D315" s="710" t="s">
        <v>569</v>
      </c>
      <c r="E315" s="710" t="s">
        <v>33</v>
      </c>
      <c r="F315" s="709" t="s">
        <v>7046</v>
      </c>
      <c r="G315" s="947">
        <v>46327</v>
      </c>
      <c r="H315" s="738">
        <v>36</v>
      </c>
      <c r="I315" s="884" t="s">
        <v>98</v>
      </c>
      <c r="J315" s="772">
        <v>351733.98</v>
      </c>
      <c r="K315" s="772">
        <f t="shared" si="12"/>
        <v>422080.77599999995</v>
      </c>
      <c r="L315" s="744" t="s">
        <v>45</v>
      </c>
      <c r="M315" s="738" t="s">
        <v>45</v>
      </c>
    </row>
    <row r="316" spans="1:13" s="901" customFormat="1" ht="23.15" customHeight="1">
      <c r="A316" s="707" t="s">
        <v>44</v>
      </c>
      <c r="B316" s="738">
        <v>51363</v>
      </c>
      <c r="C316" s="710" t="s">
        <v>5044</v>
      </c>
      <c r="D316" s="710" t="s">
        <v>569</v>
      </c>
      <c r="E316" s="710" t="s">
        <v>33</v>
      </c>
      <c r="F316" s="709" t="s">
        <v>2557</v>
      </c>
      <c r="G316" s="947">
        <v>45597</v>
      </c>
      <c r="H316" s="738">
        <v>60</v>
      </c>
      <c r="I316" s="707" t="s">
        <v>7047</v>
      </c>
      <c r="J316" s="772">
        <f>SUM(11500.22)*5</f>
        <v>57501.1</v>
      </c>
      <c r="K316" s="772">
        <f t="shared" ref="K316:K339" si="13">IF(ISNUMBER(J316),SUM(J316*20%)+J316,"")</f>
        <v>69001.320000000007</v>
      </c>
      <c r="L316" s="744" t="s">
        <v>38</v>
      </c>
      <c r="M316" s="738" t="s">
        <v>71</v>
      </c>
    </row>
    <row r="317" spans="1:13" ht="23.15" customHeight="1">
      <c r="A317" s="3022" t="s">
        <v>44</v>
      </c>
      <c r="B317" s="2385" t="s">
        <v>5390</v>
      </c>
      <c r="C317" s="730" t="s">
        <v>5044</v>
      </c>
      <c r="D317" s="710" t="s">
        <v>569</v>
      </c>
      <c r="E317" s="730" t="s">
        <v>33</v>
      </c>
      <c r="F317" s="728" t="s">
        <v>5391</v>
      </c>
      <c r="G317" s="712">
        <v>45600</v>
      </c>
      <c r="H317" s="710">
        <v>48</v>
      </c>
      <c r="I317" s="710" t="s">
        <v>215</v>
      </c>
      <c r="J317" s="3009">
        <v>45610</v>
      </c>
      <c r="K317" s="772">
        <f t="shared" si="13"/>
        <v>54732</v>
      </c>
      <c r="L317" s="2385"/>
      <c r="M317" s="2385"/>
    </row>
    <row r="318" spans="1:13" ht="23.15" customHeight="1">
      <c r="A318" s="707" t="s">
        <v>44</v>
      </c>
      <c r="B318" s="710">
        <v>34436</v>
      </c>
      <c r="C318" s="710" t="s">
        <v>5044</v>
      </c>
      <c r="D318" s="710" t="s">
        <v>569</v>
      </c>
      <c r="E318" s="710" t="s">
        <v>33</v>
      </c>
      <c r="F318" s="709" t="s">
        <v>7048</v>
      </c>
      <c r="G318" s="947">
        <v>45601</v>
      </c>
      <c r="H318" s="710">
        <v>48</v>
      </c>
      <c r="I318" s="710" t="s">
        <v>7036</v>
      </c>
      <c r="J318" s="772">
        <v>136000</v>
      </c>
      <c r="K318" s="772">
        <f t="shared" si="13"/>
        <v>163200</v>
      </c>
      <c r="L318" s="710" t="s">
        <v>62</v>
      </c>
      <c r="M318" s="738" t="s">
        <v>71</v>
      </c>
    </row>
    <row r="319" spans="1:13" ht="23.15" customHeight="1">
      <c r="A319" s="707" t="s">
        <v>44</v>
      </c>
      <c r="B319" s="738" t="s">
        <v>1152</v>
      </c>
      <c r="C319" s="710" t="s">
        <v>5044</v>
      </c>
      <c r="D319" s="710" t="s">
        <v>569</v>
      </c>
      <c r="E319" s="710" t="s">
        <v>33</v>
      </c>
      <c r="F319" s="709" t="s">
        <v>7049</v>
      </c>
      <c r="G319" s="947">
        <v>45607</v>
      </c>
      <c r="H319" s="738">
        <v>120</v>
      </c>
      <c r="I319" s="884" t="s">
        <v>7050</v>
      </c>
      <c r="J319" s="772">
        <v>734797</v>
      </c>
      <c r="K319" s="772">
        <f t="shared" si="13"/>
        <v>881756.4</v>
      </c>
      <c r="L319" s="769" t="s">
        <v>70</v>
      </c>
      <c r="M319" s="738" t="s">
        <v>71</v>
      </c>
    </row>
    <row r="320" spans="1:13" s="901" customFormat="1" ht="23.15" customHeight="1">
      <c r="A320" s="726" t="s">
        <v>56</v>
      </c>
      <c r="B320" s="726" t="s">
        <v>45</v>
      </c>
      <c r="C320" s="710" t="s">
        <v>5044</v>
      </c>
      <c r="D320" s="710" t="s">
        <v>362</v>
      </c>
      <c r="E320" s="730" t="s">
        <v>4946</v>
      </c>
      <c r="F320" s="729" t="s">
        <v>5168</v>
      </c>
      <c r="G320" s="759">
        <v>45616</v>
      </c>
      <c r="H320" s="578">
        <v>2</v>
      </c>
      <c r="I320" s="891">
        <v>2</v>
      </c>
      <c r="J320" s="772">
        <v>83000</v>
      </c>
      <c r="K320" s="772">
        <f t="shared" si="13"/>
        <v>99600</v>
      </c>
      <c r="L320" s="711" t="s">
        <v>38</v>
      </c>
      <c r="M320" s="711"/>
    </row>
    <row r="321" spans="1:13" ht="23.15" customHeight="1">
      <c r="A321" s="707" t="s">
        <v>44</v>
      </c>
      <c r="B321" s="707" t="s">
        <v>4493</v>
      </c>
      <c r="C321" s="710" t="s">
        <v>5044</v>
      </c>
      <c r="D321" s="730" t="s">
        <v>1440</v>
      </c>
      <c r="E321" s="710" t="s">
        <v>127</v>
      </c>
      <c r="F321" s="709" t="s">
        <v>2374</v>
      </c>
      <c r="G321" s="947">
        <v>45621</v>
      </c>
      <c r="H321" s="738">
        <v>84</v>
      </c>
      <c r="I321" s="738" t="s">
        <v>4495</v>
      </c>
      <c r="J321" s="772">
        <v>65000</v>
      </c>
      <c r="K321" s="772">
        <f t="shared" si="13"/>
        <v>78000</v>
      </c>
      <c r="L321" s="710" t="s">
        <v>62</v>
      </c>
      <c r="M321" s="738" t="s">
        <v>71</v>
      </c>
    </row>
    <row r="322" spans="1:13" ht="23.15" customHeight="1">
      <c r="A322" s="707" t="s">
        <v>44</v>
      </c>
      <c r="B322" s="738"/>
      <c r="C322" s="710" t="s">
        <v>5044</v>
      </c>
      <c r="D322" s="710" t="s">
        <v>569</v>
      </c>
      <c r="E322" s="710" t="s">
        <v>33</v>
      </c>
      <c r="F322" s="709" t="s">
        <v>4417</v>
      </c>
      <c r="G322" s="947">
        <v>45626</v>
      </c>
      <c r="H322" s="738" t="s">
        <v>45</v>
      </c>
      <c r="I322" s="738" t="s">
        <v>45</v>
      </c>
      <c r="J322" s="772" t="s">
        <v>45</v>
      </c>
      <c r="K322" s="772" t="str">
        <f t="shared" si="13"/>
        <v/>
      </c>
      <c r="L322" s="738" t="s">
        <v>45</v>
      </c>
      <c r="M322" s="738" t="s">
        <v>45</v>
      </c>
    </row>
    <row r="323" spans="1:13" ht="23.15" customHeight="1">
      <c r="A323" s="707" t="s">
        <v>44</v>
      </c>
      <c r="B323" s="738" t="s">
        <v>45</v>
      </c>
      <c r="C323" s="710" t="s">
        <v>5044</v>
      </c>
      <c r="D323" s="710" t="s">
        <v>569</v>
      </c>
      <c r="E323" s="710" t="s">
        <v>33</v>
      </c>
      <c r="F323" s="709" t="s">
        <v>2988</v>
      </c>
      <c r="G323" s="947">
        <v>45626</v>
      </c>
      <c r="H323" s="738" t="s">
        <v>45</v>
      </c>
      <c r="I323" s="903" t="s">
        <v>45</v>
      </c>
      <c r="J323" s="772" t="s">
        <v>45</v>
      </c>
      <c r="K323" s="772" t="str">
        <f t="shared" si="13"/>
        <v/>
      </c>
      <c r="L323" s="796" t="s">
        <v>45</v>
      </c>
      <c r="M323" s="738" t="s">
        <v>71</v>
      </c>
    </row>
    <row r="324" spans="1:13" ht="23.15" customHeight="1">
      <c r="A324" s="707" t="s">
        <v>44</v>
      </c>
      <c r="B324" s="738" t="s">
        <v>2670</v>
      </c>
      <c r="C324" s="710" t="s">
        <v>5044</v>
      </c>
      <c r="D324" s="710" t="s">
        <v>569</v>
      </c>
      <c r="E324" s="710" t="s">
        <v>33</v>
      </c>
      <c r="F324" s="709" t="s">
        <v>2359</v>
      </c>
      <c r="G324" s="947">
        <v>45626</v>
      </c>
      <c r="H324" s="738" t="s">
        <v>45</v>
      </c>
      <c r="I324" s="884" t="s">
        <v>45</v>
      </c>
      <c r="J324" s="772"/>
      <c r="K324" s="772" t="str">
        <f t="shared" si="13"/>
        <v/>
      </c>
      <c r="L324" s="710" t="s">
        <v>62</v>
      </c>
      <c r="M324" s="738" t="s">
        <v>45</v>
      </c>
    </row>
    <row r="325" spans="1:13" ht="23.15" customHeight="1">
      <c r="A325" s="707" t="s">
        <v>44</v>
      </c>
      <c r="B325" s="707" t="s">
        <v>45</v>
      </c>
      <c r="C325" s="710" t="s">
        <v>5123</v>
      </c>
      <c r="D325" s="710" t="s">
        <v>502</v>
      </c>
      <c r="E325" s="710" t="s">
        <v>514</v>
      </c>
      <c r="F325" s="709" t="s">
        <v>4455</v>
      </c>
      <c r="G325" s="947">
        <v>45627</v>
      </c>
      <c r="H325" s="738">
        <v>48</v>
      </c>
      <c r="I325" s="884" t="s">
        <v>83</v>
      </c>
      <c r="J325" s="772" t="s">
        <v>45</v>
      </c>
      <c r="K325" s="772" t="str">
        <f t="shared" si="13"/>
        <v/>
      </c>
      <c r="L325" s="710" t="s">
        <v>70</v>
      </c>
      <c r="M325" s="738" t="s">
        <v>45</v>
      </c>
    </row>
    <row r="326" spans="1:13" ht="23.15" customHeight="1">
      <c r="A326" s="2995" t="s">
        <v>44</v>
      </c>
      <c r="B326" s="578">
        <v>48604</v>
      </c>
      <c r="C326" s="710" t="s">
        <v>5044</v>
      </c>
      <c r="D326" s="710" t="s">
        <v>362</v>
      </c>
      <c r="E326" s="578" t="s">
        <v>4978</v>
      </c>
      <c r="F326" s="2996" t="s">
        <v>5404</v>
      </c>
      <c r="G326" s="2997">
        <v>45627</v>
      </c>
      <c r="H326" s="578">
        <v>48</v>
      </c>
      <c r="I326" s="578" t="s">
        <v>5405</v>
      </c>
      <c r="J326" s="3029" t="s">
        <v>5406</v>
      </c>
      <c r="K326" s="772" t="str">
        <f t="shared" si="13"/>
        <v/>
      </c>
      <c r="L326" s="578"/>
      <c r="M326" s="578"/>
    </row>
    <row r="327" spans="1:13" ht="23.15" customHeight="1">
      <c r="A327" s="707" t="s">
        <v>44</v>
      </c>
      <c r="B327" s="738" t="s">
        <v>4480</v>
      </c>
      <c r="C327" s="710" t="s">
        <v>5044</v>
      </c>
      <c r="D327" s="710" t="s">
        <v>569</v>
      </c>
      <c r="E327" s="710" t="s">
        <v>33</v>
      </c>
      <c r="F327" s="780" t="s">
        <v>5389</v>
      </c>
      <c r="G327" s="1236">
        <v>45627</v>
      </c>
      <c r="H327" s="1253" t="s">
        <v>45</v>
      </c>
      <c r="I327" s="1254" t="s">
        <v>45</v>
      </c>
      <c r="J327" s="772" t="s">
        <v>45</v>
      </c>
      <c r="K327" s="772" t="str">
        <f t="shared" si="13"/>
        <v/>
      </c>
      <c r="L327" s="769" t="s">
        <v>70</v>
      </c>
      <c r="M327" s="769" t="s">
        <v>45</v>
      </c>
    </row>
    <row r="328" spans="1:13" ht="23.15" customHeight="1">
      <c r="A328" s="707" t="s">
        <v>44</v>
      </c>
      <c r="B328" s="738" t="s">
        <v>45</v>
      </c>
      <c r="C328" s="710" t="s">
        <v>5044</v>
      </c>
      <c r="D328" s="710" t="s">
        <v>569</v>
      </c>
      <c r="E328" s="710" t="s">
        <v>33</v>
      </c>
      <c r="F328" s="709" t="s">
        <v>5394</v>
      </c>
      <c r="G328" s="947">
        <v>45645</v>
      </c>
      <c r="H328" s="738">
        <v>60</v>
      </c>
      <c r="I328" s="884" t="s">
        <v>1871</v>
      </c>
      <c r="J328" s="772">
        <v>86306.16</v>
      </c>
      <c r="K328" s="772">
        <f t="shared" si="13"/>
        <v>103567.39200000001</v>
      </c>
      <c r="L328" s="731" t="s">
        <v>62</v>
      </c>
      <c r="M328" s="731" t="s">
        <v>67</v>
      </c>
    </row>
    <row r="329" spans="1:13" ht="23.15" customHeight="1">
      <c r="A329" s="707" t="s">
        <v>44</v>
      </c>
      <c r="B329" s="738" t="s">
        <v>45</v>
      </c>
      <c r="C329" s="710" t="s">
        <v>5044</v>
      </c>
      <c r="D329" s="710" t="s">
        <v>569</v>
      </c>
      <c r="E329" s="710" t="s">
        <v>33</v>
      </c>
      <c r="F329" s="780" t="s">
        <v>5395</v>
      </c>
      <c r="G329" s="947">
        <v>45646</v>
      </c>
      <c r="H329" s="738" t="s">
        <v>45</v>
      </c>
      <c r="I329" s="884" t="s">
        <v>45</v>
      </c>
      <c r="J329" s="772">
        <v>86306</v>
      </c>
      <c r="K329" s="772">
        <f t="shared" si="13"/>
        <v>103567.2</v>
      </c>
      <c r="L329" s="710" t="s">
        <v>45</v>
      </c>
      <c r="M329" s="738" t="s">
        <v>71</v>
      </c>
    </row>
    <row r="330" spans="1:13" ht="23.15" customHeight="1">
      <c r="A330" s="707" t="s">
        <v>100</v>
      </c>
      <c r="B330" s="707" t="s">
        <v>45</v>
      </c>
      <c r="C330" s="710" t="s">
        <v>110</v>
      </c>
      <c r="D330" s="710" t="s">
        <v>450</v>
      </c>
      <c r="E330" s="710" t="s">
        <v>4980</v>
      </c>
      <c r="F330" s="709" t="s">
        <v>572</v>
      </c>
      <c r="G330" s="711">
        <v>45648</v>
      </c>
      <c r="H330" s="777" t="s">
        <v>45</v>
      </c>
      <c r="I330" s="777" t="s">
        <v>45</v>
      </c>
      <c r="J330" s="772" t="s">
        <v>45</v>
      </c>
      <c r="K330" s="772" t="str">
        <f t="shared" si="13"/>
        <v/>
      </c>
      <c r="L330" s="710" t="s">
        <v>200</v>
      </c>
      <c r="M330" s="710" t="s">
        <v>5316</v>
      </c>
    </row>
    <row r="331" spans="1:13" ht="23.15" customHeight="1">
      <c r="A331" s="726" t="s">
        <v>56</v>
      </c>
      <c r="B331" s="726" t="s">
        <v>60</v>
      </c>
      <c r="C331" s="710" t="s">
        <v>5044</v>
      </c>
      <c r="D331" s="710" t="s">
        <v>362</v>
      </c>
      <c r="E331" s="730" t="s">
        <v>4946</v>
      </c>
      <c r="F331" s="709" t="s">
        <v>5206</v>
      </c>
      <c r="G331" s="711">
        <v>45657</v>
      </c>
      <c r="H331" s="2997" t="s">
        <v>45</v>
      </c>
      <c r="I331" s="2997" t="s">
        <v>45</v>
      </c>
      <c r="J331" s="772" t="s">
        <v>45</v>
      </c>
      <c r="K331" s="772" t="str">
        <f t="shared" si="13"/>
        <v/>
      </c>
      <c r="L331" s="711" t="s">
        <v>310</v>
      </c>
      <c r="M331" s="726" t="s">
        <v>60</v>
      </c>
    </row>
    <row r="332" spans="1:13" ht="23.15" customHeight="1">
      <c r="A332" s="707" t="s">
        <v>44</v>
      </c>
      <c r="B332" s="738" t="s">
        <v>45</v>
      </c>
      <c r="C332" s="710" t="s">
        <v>5044</v>
      </c>
      <c r="D332" s="710" t="s">
        <v>569</v>
      </c>
      <c r="E332" s="710" t="s">
        <v>33</v>
      </c>
      <c r="F332" s="709" t="s">
        <v>5397</v>
      </c>
      <c r="G332" s="769">
        <v>45657</v>
      </c>
      <c r="H332" s="710" t="s">
        <v>45</v>
      </c>
      <c r="I332" s="710" t="s">
        <v>45</v>
      </c>
      <c r="J332" s="772" t="s">
        <v>45</v>
      </c>
      <c r="K332" s="772" t="str">
        <f t="shared" si="13"/>
        <v/>
      </c>
      <c r="L332" s="710" t="s">
        <v>70</v>
      </c>
      <c r="M332" s="738" t="s">
        <v>45</v>
      </c>
    </row>
    <row r="333" spans="1:13" ht="23.15" customHeight="1">
      <c r="A333" s="707" t="s">
        <v>44</v>
      </c>
      <c r="B333" s="738">
        <v>38914</v>
      </c>
      <c r="C333" s="710" t="s">
        <v>5044</v>
      </c>
      <c r="D333" s="710" t="s">
        <v>569</v>
      </c>
      <c r="E333" s="710" t="s">
        <v>33</v>
      </c>
      <c r="F333" s="709" t="s">
        <v>546</v>
      </c>
      <c r="G333" s="947">
        <v>45658</v>
      </c>
      <c r="H333" s="738" t="s">
        <v>45</v>
      </c>
      <c r="I333" s="884" t="s">
        <v>45</v>
      </c>
      <c r="J333" s="772" t="s">
        <v>45</v>
      </c>
      <c r="K333" s="772" t="str">
        <f t="shared" si="13"/>
        <v/>
      </c>
      <c r="L333" s="710" t="s">
        <v>70</v>
      </c>
      <c r="M333" s="770" t="s">
        <v>45</v>
      </c>
    </row>
    <row r="334" spans="1:13" ht="23.15" customHeight="1">
      <c r="A334" s="707" t="s">
        <v>44</v>
      </c>
      <c r="B334" s="738" t="s">
        <v>45</v>
      </c>
      <c r="C334" s="710" t="s">
        <v>5044</v>
      </c>
      <c r="D334" s="710" t="s">
        <v>569</v>
      </c>
      <c r="E334" s="710" t="s">
        <v>33</v>
      </c>
      <c r="F334" s="709" t="s">
        <v>2484</v>
      </c>
      <c r="G334" s="947">
        <v>45658</v>
      </c>
      <c r="H334" s="738" t="s">
        <v>45</v>
      </c>
      <c r="I334" s="738" t="s">
        <v>45</v>
      </c>
      <c r="J334" s="772">
        <v>4000000</v>
      </c>
      <c r="K334" s="772">
        <f t="shared" si="13"/>
        <v>4800000</v>
      </c>
      <c r="L334" s="710" t="s">
        <v>45</v>
      </c>
      <c r="M334" s="738" t="s">
        <v>45</v>
      </c>
    </row>
    <row r="335" spans="1:13" ht="23.15" customHeight="1">
      <c r="A335" s="730" t="s">
        <v>44</v>
      </c>
      <c r="B335" s="707" t="s">
        <v>45</v>
      </c>
      <c r="C335" s="730" t="s">
        <v>630</v>
      </c>
      <c r="D335" s="710" t="s">
        <v>1315</v>
      </c>
      <c r="E335" s="730" t="s">
        <v>1471</v>
      </c>
      <c r="F335" s="728" t="s">
        <v>5402</v>
      </c>
      <c r="G335" s="712">
        <v>45659</v>
      </c>
      <c r="H335" s="730" t="s">
        <v>45</v>
      </c>
      <c r="I335" s="730" t="s">
        <v>45</v>
      </c>
      <c r="J335" s="3009" t="s">
        <v>45</v>
      </c>
      <c r="K335" s="772" t="str">
        <f t="shared" si="13"/>
        <v/>
      </c>
      <c r="L335" s="730" t="s">
        <v>70</v>
      </c>
      <c r="M335" s="730" t="s">
        <v>45</v>
      </c>
    </row>
    <row r="336" spans="1:13" ht="23.15" customHeight="1">
      <c r="A336" s="707" t="s">
        <v>44</v>
      </c>
      <c r="B336" s="738" t="s">
        <v>45</v>
      </c>
      <c r="C336" s="710" t="s">
        <v>5113</v>
      </c>
      <c r="D336" s="710" t="s">
        <v>890</v>
      </c>
      <c r="E336" s="710" t="s">
        <v>514</v>
      </c>
      <c r="F336" s="709" t="s">
        <v>4522</v>
      </c>
      <c r="G336" s="947">
        <v>45659</v>
      </c>
      <c r="H336" s="738" t="s">
        <v>45</v>
      </c>
      <c r="I336" s="884" t="s">
        <v>45</v>
      </c>
      <c r="J336" s="772" t="s">
        <v>45</v>
      </c>
      <c r="K336" s="772" t="str">
        <f t="shared" si="13"/>
        <v/>
      </c>
      <c r="L336" s="796" t="s">
        <v>62</v>
      </c>
      <c r="M336" s="738" t="s">
        <v>67</v>
      </c>
    </row>
    <row r="337" spans="1:13" ht="23.15" customHeight="1">
      <c r="A337" s="707" t="s">
        <v>44</v>
      </c>
      <c r="B337" s="738"/>
      <c r="C337" s="710" t="s">
        <v>5044</v>
      </c>
      <c r="D337" s="710" t="s">
        <v>569</v>
      </c>
      <c r="E337" s="710" t="s">
        <v>33</v>
      </c>
      <c r="F337" s="709" t="s">
        <v>4538</v>
      </c>
      <c r="G337" s="769">
        <v>45667</v>
      </c>
      <c r="H337" s="710" t="s">
        <v>45</v>
      </c>
      <c r="I337" s="710" t="s">
        <v>45</v>
      </c>
      <c r="J337" s="772" t="s">
        <v>45</v>
      </c>
      <c r="K337" s="772" t="str">
        <f t="shared" si="13"/>
        <v/>
      </c>
      <c r="L337" s="710" t="s">
        <v>62</v>
      </c>
      <c r="M337" s="738" t="s">
        <v>45</v>
      </c>
    </row>
    <row r="338" spans="1:13" ht="23.15" customHeight="1">
      <c r="A338" s="707" t="s">
        <v>44</v>
      </c>
      <c r="B338" s="738" t="s">
        <v>4508</v>
      </c>
      <c r="C338" s="710" t="s">
        <v>5123</v>
      </c>
      <c r="D338" s="710" t="s">
        <v>862</v>
      </c>
      <c r="E338" s="710" t="s">
        <v>1837</v>
      </c>
      <c r="F338" s="709" t="s">
        <v>4509</v>
      </c>
      <c r="G338" s="947">
        <v>45671</v>
      </c>
      <c r="H338" s="738">
        <v>48</v>
      </c>
      <c r="I338" s="884" t="s">
        <v>4967</v>
      </c>
      <c r="J338" s="772">
        <v>582000</v>
      </c>
      <c r="K338" s="772">
        <f t="shared" si="13"/>
        <v>698400</v>
      </c>
      <c r="L338" s="710" t="s">
        <v>62</v>
      </c>
      <c r="M338" s="578" t="s">
        <v>71</v>
      </c>
    </row>
    <row r="339" spans="1:13" ht="23.15" customHeight="1">
      <c r="A339" s="2995" t="s">
        <v>56</v>
      </c>
      <c r="B339" s="578" t="s">
        <v>5489</v>
      </c>
      <c r="C339" s="710" t="s">
        <v>5044</v>
      </c>
      <c r="D339" s="710" t="s">
        <v>362</v>
      </c>
      <c r="E339" s="578" t="s">
        <v>4946</v>
      </c>
      <c r="F339" s="2996" t="s">
        <v>7051</v>
      </c>
      <c r="G339" s="2997">
        <v>45674</v>
      </c>
      <c r="H339" s="578">
        <v>48</v>
      </c>
      <c r="I339" s="578" t="s">
        <v>5220</v>
      </c>
      <c r="J339" s="2501">
        <v>1000000</v>
      </c>
      <c r="K339" s="772">
        <f t="shared" si="13"/>
        <v>1200000</v>
      </c>
      <c r="L339" s="578" t="s">
        <v>70</v>
      </c>
      <c r="M339" s="578"/>
    </row>
    <row r="340" spans="1:13" ht="23.15" customHeight="1">
      <c r="A340" s="707" t="s">
        <v>44</v>
      </c>
      <c r="B340" s="738" t="s">
        <v>45</v>
      </c>
      <c r="C340" s="710" t="s">
        <v>5044</v>
      </c>
      <c r="D340" s="710" t="s">
        <v>569</v>
      </c>
      <c r="E340" s="730" t="s">
        <v>33</v>
      </c>
      <c r="F340" s="709" t="s">
        <v>7052</v>
      </c>
      <c r="G340" s="769">
        <v>45689</v>
      </c>
      <c r="H340" s="710" t="s">
        <v>45</v>
      </c>
      <c r="I340" s="710" t="s">
        <v>45</v>
      </c>
      <c r="J340" s="772" t="s">
        <v>45</v>
      </c>
      <c r="K340" s="772"/>
      <c r="L340" s="710" t="s">
        <v>45</v>
      </c>
      <c r="M340" s="738" t="s">
        <v>45</v>
      </c>
    </row>
    <row r="341" spans="1:13" ht="23.15" customHeight="1">
      <c r="A341" s="726" t="s">
        <v>56</v>
      </c>
      <c r="B341" s="726" t="s">
        <v>60</v>
      </c>
      <c r="C341" s="710" t="s">
        <v>5044</v>
      </c>
      <c r="D341" s="710" t="s">
        <v>362</v>
      </c>
      <c r="E341" s="730" t="s">
        <v>4946</v>
      </c>
      <c r="F341" s="709" t="s">
        <v>5490</v>
      </c>
      <c r="G341" s="711">
        <v>45689</v>
      </c>
      <c r="H341" s="2997" t="s">
        <v>45</v>
      </c>
      <c r="I341" s="2997" t="s">
        <v>45</v>
      </c>
      <c r="J341" s="2997" t="s">
        <v>45</v>
      </c>
      <c r="K341" s="772" t="str">
        <f t="shared" ref="K341:K372" si="14">IF(ISNUMBER(J341),SUM(J341*20%)+J341,"")</f>
        <v/>
      </c>
      <c r="L341" s="711" t="s">
        <v>310</v>
      </c>
      <c r="M341" s="726" t="s">
        <v>60</v>
      </c>
    </row>
    <row r="342" spans="1:13" ht="23.15" customHeight="1">
      <c r="A342" s="726" t="s">
        <v>56</v>
      </c>
      <c r="B342" s="726" t="s">
        <v>60</v>
      </c>
      <c r="C342" s="710" t="s">
        <v>5044</v>
      </c>
      <c r="D342" s="710" t="s">
        <v>362</v>
      </c>
      <c r="E342" s="730" t="s">
        <v>4946</v>
      </c>
      <c r="F342" s="709" t="s">
        <v>5202</v>
      </c>
      <c r="G342" s="711">
        <v>45689</v>
      </c>
      <c r="H342" s="2997" t="s">
        <v>45</v>
      </c>
      <c r="I342" s="2997" t="s">
        <v>45</v>
      </c>
      <c r="J342" s="772" t="s">
        <v>45</v>
      </c>
      <c r="K342" s="772" t="str">
        <f t="shared" si="14"/>
        <v/>
      </c>
      <c r="L342" s="711" t="s">
        <v>310</v>
      </c>
      <c r="M342" s="726" t="s">
        <v>60</v>
      </c>
    </row>
    <row r="343" spans="1:13" ht="23.15" customHeight="1">
      <c r="A343" s="707" t="s">
        <v>44</v>
      </c>
      <c r="B343" s="738" t="s">
        <v>45</v>
      </c>
      <c r="C343" s="710" t="s">
        <v>5044</v>
      </c>
      <c r="D343" s="710" t="s">
        <v>569</v>
      </c>
      <c r="E343" s="710" t="s">
        <v>33</v>
      </c>
      <c r="F343" s="709" t="s">
        <v>5408</v>
      </c>
      <c r="G343" s="769">
        <v>45689</v>
      </c>
      <c r="H343" s="710">
        <v>48</v>
      </c>
      <c r="I343" s="884" t="s">
        <v>258</v>
      </c>
      <c r="J343" s="772">
        <v>2867525</v>
      </c>
      <c r="K343" s="772">
        <f t="shared" si="14"/>
        <v>3441030</v>
      </c>
      <c r="L343" s="710" t="s">
        <v>70</v>
      </c>
      <c r="M343" s="770">
        <v>45252</v>
      </c>
    </row>
    <row r="344" spans="1:13" ht="23.15" customHeight="1">
      <c r="A344" s="2995" t="s">
        <v>44</v>
      </c>
      <c r="B344" s="578">
        <v>36520</v>
      </c>
      <c r="C344" s="578" t="s">
        <v>630</v>
      </c>
      <c r="D344" s="710" t="s">
        <v>1315</v>
      </c>
      <c r="E344" s="578" t="s">
        <v>1595</v>
      </c>
      <c r="F344" s="2996" t="s">
        <v>5410</v>
      </c>
      <c r="G344" s="2995">
        <v>45689</v>
      </c>
      <c r="H344" s="578"/>
      <c r="I344" s="578"/>
      <c r="J344" s="2501"/>
      <c r="K344" s="772" t="str">
        <f t="shared" si="14"/>
        <v/>
      </c>
      <c r="L344" s="744" t="s">
        <v>45</v>
      </c>
      <c r="M344" s="707" t="s">
        <v>45</v>
      </c>
    </row>
    <row r="345" spans="1:13" ht="23.15" customHeight="1">
      <c r="A345" s="707" t="s">
        <v>100</v>
      </c>
      <c r="B345" s="707">
        <v>68123</v>
      </c>
      <c r="C345" s="710" t="s">
        <v>122</v>
      </c>
      <c r="D345" s="710" t="s">
        <v>1163</v>
      </c>
      <c r="E345" s="710" t="s">
        <v>5060</v>
      </c>
      <c r="F345" s="709" t="s">
        <v>5156</v>
      </c>
      <c r="G345" s="713">
        <v>45689</v>
      </c>
      <c r="H345" s="707">
        <v>26</v>
      </c>
      <c r="I345" s="707" t="s">
        <v>5155</v>
      </c>
      <c r="J345" s="2977">
        <v>469614.79</v>
      </c>
      <c r="K345" s="772">
        <f t="shared" si="14"/>
        <v>563537.74800000002</v>
      </c>
      <c r="L345" s="710" t="s">
        <v>70</v>
      </c>
      <c r="M345" s="711">
        <v>44959</v>
      </c>
    </row>
    <row r="346" spans="1:13" ht="23.15" customHeight="1">
      <c r="A346" s="707" t="s">
        <v>100</v>
      </c>
      <c r="B346" s="707">
        <v>68123</v>
      </c>
      <c r="C346" s="710" t="s">
        <v>122</v>
      </c>
      <c r="D346" s="710" t="s">
        <v>1163</v>
      </c>
      <c r="E346" s="710" t="s">
        <v>5060</v>
      </c>
      <c r="F346" s="709" t="s">
        <v>5154</v>
      </c>
      <c r="G346" s="713">
        <v>45689</v>
      </c>
      <c r="H346" s="707">
        <v>26</v>
      </c>
      <c r="I346" s="707" t="s">
        <v>5155</v>
      </c>
      <c r="J346" s="772">
        <v>3066972</v>
      </c>
      <c r="K346" s="772">
        <f t="shared" si="14"/>
        <v>3680366.4</v>
      </c>
      <c r="L346" s="710" t="s">
        <v>70</v>
      </c>
      <c r="M346" s="711">
        <v>44959</v>
      </c>
    </row>
    <row r="347" spans="1:13" ht="23.15" customHeight="1">
      <c r="A347" s="707" t="s">
        <v>100</v>
      </c>
      <c r="B347" s="707" t="s">
        <v>45</v>
      </c>
      <c r="C347" s="710" t="s">
        <v>122</v>
      </c>
      <c r="D347" s="710" t="s">
        <v>1163</v>
      </c>
      <c r="E347" s="710" t="s">
        <v>5060</v>
      </c>
      <c r="F347" s="728" t="s">
        <v>5398</v>
      </c>
      <c r="G347" s="947">
        <v>45689</v>
      </c>
      <c r="H347" s="707" t="s">
        <v>45</v>
      </c>
      <c r="I347" s="707" t="s">
        <v>45</v>
      </c>
      <c r="J347" s="772" t="s">
        <v>45</v>
      </c>
      <c r="K347" s="772" t="str">
        <f t="shared" si="14"/>
        <v/>
      </c>
      <c r="L347" s="710" t="s">
        <v>70</v>
      </c>
      <c r="M347" s="711" t="s">
        <v>45</v>
      </c>
    </row>
    <row r="348" spans="1:13" ht="23.15" customHeight="1">
      <c r="A348" s="707" t="s">
        <v>44</v>
      </c>
      <c r="B348" s="738"/>
      <c r="C348" s="710" t="s">
        <v>5123</v>
      </c>
      <c r="D348" s="710" t="s">
        <v>862</v>
      </c>
      <c r="E348" s="710" t="s">
        <v>4622</v>
      </c>
      <c r="F348" s="709" t="s">
        <v>655</v>
      </c>
      <c r="G348" s="769">
        <v>45717</v>
      </c>
      <c r="H348" s="710" t="s">
        <v>45</v>
      </c>
      <c r="I348" s="710" t="s">
        <v>45</v>
      </c>
      <c r="J348" s="772" t="s">
        <v>45</v>
      </c>
      <c r="K348" s="772" t="str">
        <f t="shared" si="14"/>
        <v/>
      </c>
      <c r="L348" s="731" t="s">
        <v>70</v>
      </c>
      <c r="M348" s="731" t="s">
        <v>45</v>
      </c>
    </row>
    <row r="349" spans="1:13" ht="23.15" customHeight="1">
      <c r="A349" s="707" t="s">
        <v>100</v>
      </c>
      <c r="B349" s="707" t="s">
        <v>1162</v>
      </c>
      <c r="C349" s="710" t="s">
        <v>122</v>
      </c>
      <c r="D349" s="710" t="s">
        <v>1163</v>
      </c>
      <c r="E349" s="710" t="s">
        <v>5060</v>
      </c>
      <c r="F349" s="709" t="s">
        <v>1164</v>
      </c>
      <c r="G349" s="713">
        <v>45717</v>
      </c>
      <c r="H349" s="707">
        <v>60</v>
      </c>
      <c r="I349" s="707" t="s">
        <v>7053</v>
      </c>
      <c r="J349" s="772">
        <v>100000</v>
      </c>
      <c r="K349" s="772">
        <f t="shared" si="14"/>
        <v>120000</v>
      </c>
      <c r="L349" s="777" t="s">
        <v>62</v>
      </c>
      <c r="M349" s="710" t="s">
        <v>71</v>
      </c>
    </row>
    <row r="350" spans="1:13" ht="23.15" customHeight="1">
      <c r="A350" s="2995" t="s">
        <v>56</v>
      </c>
      <c r="B350" s="578" t="s">
        <v>5543</v>
      </c>
      <c r="C350" s="710" t="s">
        <v>415</v>
      </c>
      <c r="D350" s="710" t="s">
        <v>4994</v>
      </c>
      <c r="E350" s="578" t="s">
        <v>4956</v>
      </c>
      <c r="F350" s="2996" t="s">
        <v>5544</v>
      </c>
      <c r="G350" s="2997">
        <v>45717</v>
      </c>
      <c r="H350" s="578">
        <v>60</v>
      </c>
      <c r="I350" s="578" t="s">
        <v>187</v>
      </c>
      <c r="J350" s="2501">
        <v>929890</v>
      </c>
      <c r="K350" s="772">
        <f t="shared" si="14"/>
        <v>1115868</v>
      </c>
      <c r="L350" s="578" t="s">
        <v>70</v>
      </c>
      <c r="M350" s="578"/>
    </row>
    <row r="351" spans="1:13" ht="23.15" customHeight="1">
      <c r="A351" s="707" t="s">
        <v>44</v>
      </c>
      <c r="B351" s="738" t="s">
        <v>3696</v>
      </c>
      <c r="C351" s="710" t="s">
        <v>5044</v>
      </c>
      <c r="D351" s="710" t="s">
        <v>569</v>
      </c>
      <c r="E351" s="710" t="s">
        <v>33</v>
      </c>
      <c r="F351" s="709" t="s">
        <v>1925</v>
      </c>
      <c r="G351" s="947">
        <v>45717</v>
      </c>
      <c r="H351" s="738">
        <v>96</v>
      </c>
      <c r="I351" s="884" t="s">
        <v>7054</v>
      </c>
      <c r="J351" s="772">
        <v>75750</v>
      </c>
      <c r="K351" s="772">
        <f t="shared" si="14"/>
        <v>90900</v>
      </c>
      <c r="L351" s="710" t="s">
        <v>62</v>
      </c>
      <c r="M351" s="738" t="s">
        <v>67</v>
      </c>
    </row>
    <row r="352" spans="1:13" ht="23.15" customHeight="1">
      <c r="A352" s="707" t="s">
        <v>44</v>
      </c>
      <c r="B352" s="707" t="s">
        <v>557</v>
      </c>
      <c r="C352" s="710" t="s">
        <v>5044</v>
      </c>
      <c r="D352" s="710" t="s">
        <v>569</v>
      </c>
      <c r="E352" s="710" t="s">
        <v>33</v>
      </c>
      <c r="F352" s="709" t="s">
        <v>558</v>
      </c>
      <c r="G352" s="769">
        <v>45724</v>
      </c>
      <c r="H352" s="738">
        <v>96</v>
      </c>
      <c r="I352" s="884" t="s">
        <v>7055</v>
      </c>
      <c r="J352" s="772">
        <v>177098</v>
      </c>
      <c r="K352" s="772">
        <f t="shared" si="14"/>
        <v>212517.6</v>
      </c>
      <c r="L352" s="710" t="s">
        <v>62</v>
      </c>
      <c r="M352" s="738" t="s">
        <v>67</v>
      </c>
    </row>
    <row r="353" spans="1:13" ht="23.15" customHeight="1">
      <c r="A353" s="2995" t="s">
        <v>44</v>
      </c>
      <c r="B353" s="578" t="s">
        <v>5413</v>
      </c>
      <c r="C353" s="710" t="s">
        <v>5044</v>
      </c>
      <c r="D353" s="710" t="s">
        <v>569</v>
      </c>
      <c r="E353" s="578" t="s">
        <v>33</v>
      </c>
      <c r="F353" s="2996" t="s">
        <v>5414</v>
      </c>
      <c r="G353" s="2997">
        <v>45747</v>
      </c>
      <c r="H353" s="578"/>
      <c r="I353" s="578"/>
      <c r="J353" s="2501">
        <v>60250</v>
      </c>
      <c r="K353" s="772">
        <f t="shared" si="14"/>
        <v>72300</v>
      </c>
      <c r="L353" s="744" t="s">
        <v>45</v>
      </c>
      <c r="M353" s="707" t="s">
        <v>45</v>
      </c>
    </row>
    <row r="354" spans="1:13" ht="23.15" customHeight="1">
      <c r="A354" s="707" t="s">
        <v>100</v>
      </c>
      <c r="B354" s="707" t="s">
        <v>101</v>
      </c>
      <c r="C354" s="710" t="s">
        <v>110</v>
      </c>
      <c r="D354" s="710" t="s">
        <v>1146</v>
      </c>
      <c r="E354" s="710" t="s">
        <v>4995</v>
      </c>
      <c r="F354" s="709" t="s">
        <v>5436</v>
      </c>
      <c r="G354" s="713">
        <v>45748</v>
      </c>
      <c r="H354" s="777">
        <v>84</v>
      </c>
      <c r="I354" s="777" t="s">
        <v>7056</v>
      </c>
      <c r="J354" s="772">
        <v>5618000</v>
      </c>
      <c r="K354" s="772">
        <f t="shared" si="14"/>
        <v>6741600</v>
      </c>
      <c r="L354" s="710" t="s">
        <v>70</v>
      </c>
      <c r="M354" s="710" t="s">
        <v>106</v>
      </c>
    </row>
    <row r="355" spans="1:13" ht="23.15" customHeight="1">
      <c r="A355" s="707" t="s">
        <v>44</v>
      </c>
      <c r="B355" s="738" t="s">
        <v>45</v>
      </c>
      <c r="C355" s="730" t="s">
        <v>5044</v>
      </c>
      <c r="D355" s="710" t="s">
        <v>569</v>
      </c>
      <c r="E355" s="710" t="s">
        <v>33</v>
      </c>
      <c r="F355" s="709" t="s">
        <v>97</v>
      </c>
      <c r="G355" s="947">
        <v>45748</v>
      </c>
      <c r="H355" s="710" t="s">
        <v>45</v>
      </c>
      <c r="I355" s="884" t="s">
        <v>45</v>
      </c>
      <c r="J355" s="772" t="s">
        <v>45</v>
      </c>
      <c r="K355" s="772" t="str">
        <f t="shared" si="14"/>
        <v/>
      </c>
      <c r="L355" s="710" t="s">
        <v>45</v>
      </c>
      <c r="M355" s="710" t="s">
        <v>45</v>
      </c>
    </row>
    <row r="356" spans="1:13" ht="23.15" customHeight="1">
      <c r="A356" s="707" t="s">
        <v>100</v>
      </c>
      <c r="B356" s="707" t="s">
        <v>45</v>
      </c>
      <c r="C356" s="710" t="s">
        <v>122</v>
      </c>
      <c r="D356" s="710" t="s">
        <v>1163</v>
      </c>
      <c r="E356" s="710" t="s">
        <v>5060</v>
      </c>
      <c r="F356" s="709" t="s">
        <v>3172</v>
      </c>
      <c r="G356" s="769">
        <v>45748</v>
      </c>
      <c r="H356" s="738" t="s">
        <v>45</v>
      </c>
      <c r="I356" s="707" t="s">
        <v>45</v>
      </c>
      <c r="J356" s="707" t="s">
        <v>45</v>
      </c>
      <c r="K356" s="772" t="str">
        <f t="shared" si="14"/>
        <v/>
      </c>
      <c r="L356" s="710" t="s">
        <v>70</v>
      </c>
      <c r="M356" s="710" t="s">
        <v>45</v>
      </c>
    </row>
    <row r="357" spans="1:13" ht="23.15" customHeight="1">
      <c r="A357" s="707" t="s">
        <v>44</v>
      </c>
      <c r="B357" s="710" t="s">
        <v>45</v>
      </c>
      <c r="C357" s="710" t="s">
        <v>5044</v>
      </c>
      <c r="D357" s="710" t="s">
        <v>569</v>
      </c>
      <c r="E357" s="710" t="s">
        <v>33</v>
      </c>
      <c r="F357" s="709" t="s">
        <v>5435</v>
      </c>
      <c r="G357" s="769">
        <v>45748</v>
      </c>
      <c r="H357" s="710" t="s">
        <v>45</v>
      </c>
      <c r="I357" s="884" t="s">
        <v>45</v>
      </c>
      <c r="J357" s="772" t="s">
        <v>45</v>
      </c>
      <c r="K357" s="772" t="str">
        <f t="shared" si="14"/>
        <v/>
      </c>
      <c r="L357" s="710" t="s">
        <v>45</v>
      </c>
      <c r="M357" s="738" t="s">
        <v>71</v>
      </c>
    </row>
    <row r="358" spans="1:13" ht="23.15" customHeight="1">
      <c r="A358" s="707" t="s">
        <v>100</v>
      </c>
      <c r="B358" s="707" t="s">
        <v>5430</v>
      </c>
      <c r="C358" s="710" t="s">
        <v>110</v>
      </c>
      <c r="D358" s="710" t="s">
        <v>1146</v>
      </c>
      <c r="E358" s="710" t="s">
        <v>5058</v>
      </c>
      <c r="F358" s="709" t="s">
        <v>5431</v>
      </c>
      <c r="G358" s="713">
        <v>45748</v>
      </c>
      <c r="H358" s="707">
        <v>120</v>
      </c>
      <c r="I358" s="707" t="s">
        <v>7057</v>
      </c>
      <c r="J358" s="772">
        <v>2574075</v>
      </c>
      <c r="K358" s="772">
        <f t="shared" si="14"/>
        <v>3088890</v>
      </c>
      <c r="L358" s="710" t="s">
        <v>200</v>
      </c>
      <c r="M358" s="710" t="s">
        <v>5433</v>
      </c>
    </row>
    <row r="359" spans="1:13" ht="23.15" customHeight="1">
      <c r="A359" s="707" t="s">
        <v>100</v>
      </c>
      <c r="B359" s="707" t="s">
        <v>45</v>
      </c>
      <c r="C359" s="710" t="s">
        <v>110</v>
      </c>
      <c r="D359" s="710" t="s">
        <v>1146</v>
      </c>
      <c r="E359" s="710" t="s">
        <v>5058</v>
      </c>
      <c r="F359" s="709" t="s">
        <v>5415</v>
      </c>
      <c r="G359" s="713">
        <v>45748</v>
      </c>
      <c r="H359" s="777" t="s">
        <v>45</v>
      </c>
      <c r="I359" s="777" t="s">
        <v>45</v>
      </c>
      <c r="J359" s="772" t="s">
        <v>45</v>
      </c>
      <c r="K359" s="772" t="str">
        <f t="shared" si="14"/>
        <v/>
      </c>
      <c r="L359" s="710" t="s">
        <v>70</v>
      </c>
      <c r="M359" s="3019" t="s">
        <v>7058</v>
      </c>
    </row>
    <row r="360" spans="1:13" ht="23.15" customHeight="1">
      <c r="A360" s="707" t="s">
        <v>44</v>
      </c>
      <c r="B360" s="738"/>
      <c r="C360" s="710" t="s">
        <v>5044</v>
      </c>
      <c r="D360" s="710" t="s">
        <v>569</v>
      </c>
      <c r="E360" s="710" t="s">
        <v>33</v>
      </c>
      <c r="F360" s="709" t="s">
        <v>74</v>
      </c>
      <c r="G360" s="769">
        <v>45748</v>
      </c>
      <c r="H360" s="738">
        <v>24</v>
      </c>
      <c r="I360" s="710">
        <v>24</v>
      </c>
      <c r="J360" s="772">
        <v>187400</v>
      </c>
      <c r="K360" s="772">
        <f t="shared" si="14"/>
        <v>224880</v>
      </c>
      <c r="L360" s="710" t="s">
        <v>62</v>
      </c>
      <c r="M360" s="738" t="s">
        <v>67</v>
      </c>
    </row>
    <row r="361" spans="1:13" ht="23.15" customHeight="1">
      <c r="A361" s="707" t="s">
        <v>44</v>
      </c>
      <c r="B361" s="738">
        <v>36492</v>
      </c>
      <c r="C361" s="710" t="s">
        <v>630</v>
      </c>
      <c r="D361" s="710" t="s">
        <v>1360</v>
      </c>
      <c r="E361" s="710" t="s">
        <v>4622</v>
      </c>
      <c r="F361" s="709" t="s">
        <v>403</v>
      </c>
      <c r="G361" s="947">
        <v>45748</v>
      </c>
      <c r="H361" s="738">
        <v>42</v>
      </c>
      <c r="I361" s="710" t="s">
        <v>7059</v>
      </c>
      <c r="J361" s="772" t="s">
        <v>406</v>
      </c>
      <c r="K361" s="772" t="str">
        <f t="shared" si="14"/>
        <v/>
      </c>
      <c r="L361" s="731" t="s">
        <v>200</v>
      </c>
      <c r="M361" s="731">
        <v>44748</v>
      </c>
    </row>
    <row r="362" spans="1:13" ht="23.15" customHeight="1">
      <c r="A362" s="707" t="s">
        <v>100</v>
      </c>
      <c r="B362" s="707" t="s">
        <v>45</v>
      </c>
      <c r="C362" s="710" t="s">
        <v>122</v>
      </c>
      <c r="D362" s="710" t="s">
        <v>5069</v>
      </c>
      <c r="E362" s="710" t="s">
        <v>3410</v>
      </c>
      <c r="F362" s="709" t="s">
        <v>5070</v>
      </c>
      <c r="G362" s="713">
        <v>45748</v>
      </c>
      <c r="H362" s="777" t="s">
        <v>45</v>
      </c>
      <c r="I362" s="707" t="s">
        <v>45</v>
      </c>
      <c r="J362" s="772" t="s">
        <v>45</v>
      </c>
      <c r="K362" s="772" t="str">
        <f t="shared" si="14"/>
        <v/>
      </c>
      <c r="L362" s="710" t="s">
        <v>70</v>
      </c>
      <c r="M362" s="710" t="s">
        <v>45</v>
      </c>
    </row>
    <row r="363" spans="1:13" ht="23.15" customHeight="1">
      <c r="A363" s="707" t="s">
        <v>100</v>
      </c>
      <c r="B363" s="774" t="s">
        <v>45</v>
      </c>
      <c r="C363" s="710" t="s">
        <v>415</v>
      </c>
      <c r="D363" s="710" t="s">
        <v>1271</v>
      </c>
      <c r="E363" s="710" t="s">
        <v>5060</v>
      </c>
      <c r="F363" s="709" t="s">
        <v>410</v>
      </c>
      <c r="G363" s="713">
        <v>45748</v>
      </c>
      <c r="H363" s="896" t="s">
        <v>45</v>
      </c>
      <c r="I363" s="896">
        <v>36</v>
      </c>
      <c r="J363" s="772">
        <v>585000</v>
      </c>
      <c r="K363" s="772">
        <f t="shared" si="14"/>
        <v>702000</v>
      </c>
      <c r="L363" s="710" t="s">
        <v>45</v>
      </c>
      <c r="M363" s="887" t="s">
        <v>45</v>
      </c>
    </row>
    <row r="364" spans="1:13" ht="23.15" customHeight="1">
      <c r="A364" s="707" t="s">
        <v>100</v>
      </c>
      <c r="B364" s="707">
        <v>54591</v>
      </c>
      <c r="C364" s="710" t="s">
        <v>110</v>
      </c>
      <c r="D364" s="710" t="s">
        <v>450</v>
      </c>
      <c r="E364" s="710" t="s">
        <v>4980</v>
      </c>
      <c r="F364" s="709" t="s">
        <v>5233</v>
      </c>
      <c r="G364" s="711">
        <v>45748</v>
      </c>
      <c r="H364" s="710" t="s">
        <v>45</v>
      </c>
      <c r="I364" s="884" t="s">
        <v>45</v>
      </c>
      <c r="J364" s="772">
        <v>524316</v>
      </c>
      <c r="K364" s="772">
        <f t="shared" si="14"/>
        <v>629179.19999999995</v>
      </c>
      <c r="L364" s="710" t="s">
        <v>200</v>
      </c>
      <c r="M364" s="710" t="s">
        <v>5235</v>
      </c>
    </row>
    <row r="365" spans="1:13" ht="23.15" customHeight="1">
      <c r="A365" s="707" t="s">
        <v>44</v>
      </c>
      <c r="B365" s="738"/>
      <c r="C365" s="710" t="s">
        <v>5044</v>
      </c>
      <c r="D365" s="710" t="s">
        <v>569</v>
      </c>
      <c r="E365" s="710" t="s">
        <v>33</v>
      </c>
      <c r="F365" s="709" t="s">
        <v>237</v>
      </c>
      <c r="G365" s="769">
        <v>45748</v>
      </c>
      <c r="H365" s="710">
        <v>36</v>
      </c>
      <c r="I365" s="884" t="s">
        <v>98</v>
      </c>
      <c r="J365" s="772">
        <v>470000</v>
      </c>
      <c r="K365" s="772">
        <f t="shared" si="14"/>
        <v>564000</v>
      </c>
      <c r="L365" s="769" t="s">
        <v>70</v>
      </c>
      <c r="M365" s="769" t="s">
        <v>45</v>
      </c>
    </row>
    <row r="366" spans="1:13" ht="23.15" customHeight="1">
      <c r="A366" s="707" t="s">
        <v>100</v>
      </c>
      <c r="B366" s="707" t="s">
        <v>45</v>
      </c>
      <c r="C366" s="710" t="s">
        <v>415</v>
      </c>
      <c r="D366" s="710" t="s">
        <v>4981</v>
      </c>
      <c r="E366" s="730" t="s">
        <v>4982</v>
      </c>
      <c r="F366" s="728" t="s">
        <v>5428</v>
      </c>
      <c r="G366" s="887">
        <v>45748</v>
      </c>
      <c r="H366" s="707">
        <v>186</v>
      </c>
      <c r="I366" s="707" t="s">
        <v>5429</v>
      </c>
      <c r="J366" s="772">
        <v>1352000</v>
      </c>
      <c r="K366" s="772">
        <f t="shared" si="14"/>
        <v>1622400</v>
      </c>
      <c r="L366" s="710" t="s">
        <v>45</v>
      </c>
      <c r="M366" s="710" t="s">
        <v>45</v>
      </c>
    </row>
    <row r="367" spans="1:13" ht="23.15" customHeight="1">
      <c r="A367" s="707" t="s">
        <v>44</v>
      </c>
      <c r="B367" s="738" t="s">
        <v>265</v>
      </c>
      <c r="C367" s="710" t="s">
        <v>5044</v>
      </c>
      <c r="D367" s="710" t="s">
        <v>569</v>
      </c>
      <c r="E367" s="710" t="s">
        <v>33</v>
      </c>
      <c r="F367" s="709" t="s">
        <v>266</v>
      </c>
      <c r="G367" s="769">
        <v>45748</v>
      </c>
      <c r="H367" s="710">
        <v>36</v>
      </c>
      <c r="I367" s="707" t="s">
        <v>5261</v>
      </c>
      <c r="J367" s="772">
        <v>169776</v>
      </c>
      <c r="K367" s="772">
        <f t="shared" si="14"/>
        <v>203731.20000000001</v>
      </c>
      <c r="L367" s="710" t="s">
        <v>45</v>
      </c>
      <c r="M367" s="738" t="s">
        <v>67</v>
      </c>
    </row>
    <row r="368" spans="1:13" ht="23.15" customHeight="1">
      <c r="A368" s="726" t="s">
        <v>56</v>
      </c>
      <c r="B368" s="726" t="s">
        <v>60</v>
      </c>
      <c r="C368" s="730" t="s">
        <v>5044</v>
      </c>
      <c r="D368" s="710" t="s">
        <v>362</v>
      </c>
      <c r="E368" s="730" t="s">
        <v>4946</v>
      </c>
      <c r="F368" s="728" t="s">
        <v>5438</v>
      </c>
      <c r="G368" s="759">
        <v>45748</v>
      </c>
      <c r="H368" s="891">
        <v>12</v>
      </c>
      <c r="I368" s="891">
        <v>12</v>
      </c>
      <c r="J368" s="772">
        <v>5517000</v>
      </c>
      <c r="K368" s="772">
        <f t="shared" si="14"/>
        <v>6620400</v>
      </c>
      <c r="L368" s="711" t="s">
        <v>70</v>
      </c>
      <c r="M368" s="738" t="s">
        <v>45</v>
      </c>
    </row>
    <row r="369" spans="1:13" ht="23.15" customHeight="1">
      <c r="A369" s="707" t="s">
        <v>100</v>
      </c>
      <c r="B369" s="707" t="s">
        <v>5416</v>
      </c>
      <c r="C369" s="710" t="s">
        <v>122</v>
      </c>
      <c r="D369" s="710" t="s">
        <v>1163</v>
      </c>
      <c r="E369" s="710" t="s">
        <v>5060</v>
      </c>
      <c r="F369" s="709" t="s">
        <v>5417</v>
      </c>
      <c r="G369" s="713">
        <v>45748</v>
      </c>
      <c r="H369" s="777">
        <v>84</v>
      </c>
      <c r="I369" s="707" t="s">
        <v>7060</v>
      </c>
      <c r="J369" s="772">
        <v>350000</v>
      </c>
      <c r="K369" s="772">
        <f t="shared" si="14"/>
        <v>420000</v>
      </c>
      <c r="L369" s="710" t="s">
        <v>38</v>
      </c>
      <c r="M369" s="710" t="s">
        <v>71</v>
      </c>
    </row>
    <row r="370" spans="1:13" ht="23.15" customHeight="1">
      <c r="A370" s="707" t="s">
        <v>44</v>
      </c>
      <c r="B370" s="738" t="s">
        <v>45</v>
      </c>
      <c r="C370" s="710" t="s">
        <v>5044</v>
      </c>
      <c r="D370" s="730" t="s">
        <v>1440</v>
      </c>
      <c r="E370" s="710" t="s">
        <v>127</v>
      </c>
      <c r="F370" s="709" t="s">
        <v>1441</v>
      </c>
      <c r="G370" s="769">
        <v>45748</v>
      </c>
      <c r="H370" s="710" t="s">
        <v>45</v>
      </c>
      <c r="I370" s="710" t="s">
        <v>45</v>
      </c>
      <c r="J370" s="772" t="s">
        <v>45</v>
      </c>
      <c r="K370" s="772" t="str">
        <f t="shared" si="14"/>
        <v/>
      </c>
      <c r="L370" s="769" t="s">
        <v>45</v>
      </c>
      <c r="M370" s="738" t="s">
        <v>71</v>
      </c>
    </row>
    <row r="371" spans="1:13" ht="23.15" customHeight="1">
      <c r="A371" s="707" t="s">
        <v>44</v>
      </c>
      <c r="B371" s="738" t="s">
        <v>45</v>
      </c>
      <c r="C371" s="710" t="s">
        <v>5044</v>
      </c>
      <c r="D371" s="730" t="s">
        <v>1440</v>
      </c>
      <c r="E371" s="710" t="s">
        <v>127</v>
      </c>
      <c r="F371" s="709" t="s">
        <v>641</v>
      </c>
      <c r="G371" s="769">
        <v>45748</v>
      </c>
      <c r="H371" s="710" t="s">
        <v>45</v>
      </c>
      <c r="I371" s="710" t="s">
        <v>45</v>
      </c>
      <c r="J371" s="772" t="s">
        <v>45</v>
      </c>
      <c r="K371" s="772" t="str">
        <f t="shared" si="14"/>
        <v/>
      </c>
      <c r="L371" s="710" t="s">
        <v>62</v>
      </c>
      <c r="M371" s="738" t="s">
        <v>67</v>
      </c>
    </row>
    <row r="372" spans="1:13" ht="23.15" customHeight="1">
      <c r="A372" s="707" t="s">
        <v>100</v>
      </c>
      <c r="B372" s="707" t="s">
        <v>71</v>
      </c>
      <c r="C372" s="710" t="s">
        <v>110</v>
      </c>
      <c r="D372" s="710" t="s">
        <v>1146</v>
      </c>
      <c r="E372" s="710" t="s">
        <v>5058</v>
      </c>
      <c r="F372" s="709" t="s">
        <v>551</v>
      </c>
      <c r="G372" s="713">
        <v>45748</v>
      </c>
      <c r="H372" s="710" t="s">
        <v>45</v>
      </c>
      <c r="I372" s="710" t="s">
        <v>45</v>
      </c>
      <c r="J372" s="772">
        <v>2606235.6</v>
      </c>
      <c r="K372" s="772">
        <f t="shared" si="14"/>
        <v>3127482.72</v>
      </c>
      <c r="L372" s="710" t="s">
        <v>70</v>
      </c>
      <c r="M372" s="710" t="s">
        <v>45</v>
      </c>
    </row>
    <row r="373" spans="1:13" ht="23.15" customHeight="1">
      <c r="A373" s="707" t="s">
        <v>44</v>
      </c>
      <c r="B373" s="707" t="s">
        <v>45</v>
      </c>
      <c r="C373" s="710" t="s">
        <v>5044</v>
      </c>
      <c r="D373" s="710" t="s">
        <v>569</v>
      </c>
      <c r="E373" s="710" t="s">
        <v>33</v>
      </c>
      <c r="F373" s="728" t="s">
        <v>7007</v>
      </c>
      <c r="G373" s="712">
        <v>45748</v>
      </c>
      <c r="H373" s="758" t="s">
        <v>45</v>
      </c>
      <c r="I373" s="758" t="s">
        <v>45</v>
      </c>
      <c r="J373" s="772" t="s">
        <v>45</v>
      </c>
      <c r="K373" s="772" t="s">
        <v>45</v>
      </c>
      <c r="L373" s="710" t="s">
        <v>45</v>
      </c>
      <c r="M373" s="710" t="s">
        <v>45</v>
      </c>
    </row>
    <row r="374" spans="1:13" ht="23.15" customHeight="1">
      <c r="A374" s="707" t="s">
        <v>100</v>
      </c>
      <c r="B374" s="707" t="s">
        <v>208</v>
      </c>
      <c r="C374" s="710" t="s">
        <v>122</v>
      </c>
      <c r="D374" s="710" t="s">
        <v>5217</v>
      </c>
      <c r="E374" s="710" t="s">
        <v>5060</v>
      </c>
      <c r="F374" s="709" t="s">
        <v>210</v>
      </c>
      <c r="G374" s="713">
        <v>45748</v>
      </c>
      <c r="H374" s="777">
        <v>60</v>
      </c>
      <c r="I374" s="777" t="s">
        <v>211</v>
      </c>
      <c r="J374" s="772">
        <v>165600</v>
      </c>
      <c r="K374" s="772">
        <f t="shared" ref="K374:K395" si="15">IF(ISNUMBER(J374),SUM(J374*20%)+J374,"")</f>
        <v>198720</v>
      </c>
      <c r="L374" s="777" t="s">
        <v>62</v>
      </c>
      <c r="M374" s="710" t="s">
        <v>71</v>
      </c>
    </row>
    <row r="375" spans="1:13" ht="23.15" customHeight="1">
      <c r="A375" s="707" t="s">
        <v>100</v>
      </c>
      <c r="B375" s="707" t="s">
        <v>45</v>
      </c>
      <c r="C375" s="710" t="s">
        <v>110</v>
      </c>
      <c r="D375" s="710" t="s">
        <v>450</v>
      </c>
      <c r="E375" s="710" t="s">
        <v>4980</v>
      </c>
      <c r="F375" s="709" t="s">
        <v>5425</v>
      </c>
      <c r="G375" s="713">
        <v>45748</v>
      </c>
      <c r="H375" s="730">
        <v>60</v>
      </c>
      <c r="I375" s="2979">
        <v>60</v>
      </c>
      <c r="J375" s="772">
        <v>7247000</v>
      </c>
      <c r="K375" s="772">
        <f t="shared" si="15"/>
        <v>8696400</v>
      </c>
      <c r="L375" s="710" t="s">
        <v>200</v>
      </c>
      <c r="M375" s="710" t="s">
        <v>5426</v>
      </c>
    </row>
    <row r="376" spans="1:13" ht="23.15" customHeight="1">
      <c r="A376" s="707" t="s">
        <v>100</v>
      </c>
      <c r="B376" s="707" t="s">
        <v>45</v>
      </c>
      <c r="C376" s="710" t="s">
        <v>110</v>
      </c>
      <c r="D376" s="710" t="s">
        <v>450</v>
      </c>
      <c r="E376" s="710" t="s">
        <v>4980</v>
      </c>
      <c r="F376" s="709" t="s">
        <v>5427</v>
      </c>
      <c r="G376" s="713">
        <v>45748</v>
      </c>
      <c r="H376" s="730">
        <v>60</v>
      </c>
      <c r="I376" s="2979">
        <v>60</v>
      </c>
      <c r="J376" s="772">
        <v>1536250</v>
      </c>
      <c r="K376" s="772">
        <f t="shared" si="15"/>
        <v>1843500</v>
      </c>
      <c r="L376" s="710" t="s">
        <v>200</v>
      </c>
      <c r="M376" s="710" t="s">
        <v>5426</v>
      </c>
    </row>
    <row r="377" spans="1:13" ht="23.15" customHeight="1">
      <c r="A377" s="726" t="s">
        <v>56</v>
      </c>
      <c r="B377" s="707" t="s">
        <v>60</v>
      </c>
      <c r="C377" s="710" t="s">
        <v>5044</v>
      </c>
      <c r="D377" s="710" t="s">
        <v>362</v>
      </c>
      <c r="E377" s="730" t="s">
        <v>279</v>
      </c>
      <c r="F377" s="728" t="s">
        <v>3871</v>
      </c>
      <c r="G377" s="712">
        <v>45748</v>
      </c>
      <c r="H377" s="2997" t="s">
        <v>45</v>
      </c>
      <c r="I377" s="2997" t="s">
        <v>45</v>
      </c>
      <c r="J377" s="2997" t="s">
        <v>45</v>
      </c>
      <c r="K377" s="772" t="str">
        <f t="shared" si="15"/>
        <v/>
      </c>
      <c r="L377" s="730" t="s">
        <v>474</v>
      </c>
      <c r="M377" s="712">
        <v>45232</v>
      </c>
    </row>
    <row r="378" spans="1:13" s="908" customFormat="1" ht="23.15" customHeight="1">
      <c r="A378" s="726" t="s">
        <v>56</v>
      </c>
      <c r="B378" s="726" t="s">
        <v>60</v>
      </c>
      <c r="C378" s="710" t="s">
        <v>5044</v>
      </c>
      <c r="D378" s="710" t="s">
        <v>362</v>
      </c>
      <c r="E378" s="730" t="s">
        <v>4946</v>
      </c>
      <c r="F378" s="728" t="s">
        <v>5286</v>
      </c>
      <c r="G378" s="759">
        <v>45748</v>
      </c>
      <c r="H378" s="2997" t="s">
        <v>45</v>
      </c>
      <c r="I378" s="2997" t="s">
        <v>45</v>
      </c>
      <c r="J378" s="772">
        <v>1500000</v>
      </c>
      <c r="K378" s="772">
        <f t="shared" si="15"/>
        <v>1800000</v>
      </c>
      <c r="L378" s="711" t="s">
        <v>70</v>
      </c>
      <c r="M378" s="738" t="s">
        <v>45</v>
      </c>
    </row>
    <row r="379" spans="1:13" ht="23.15" customHeight="1">
      <c r="A379" s="707" t="s">
        <v>44</v>
      </c>
      <c r="B379" s="738"/>
      <c r="C379" s="710" t="s">
        <v>630</v>
      </c>
      <c r="D379" s="710" t="s">
        <v>1360</v>
      </c>
      <c r="E379" s="710" t="s">
        <v>4622</v>
      </c>
      <c r="F379" s="709" t="s">
        <v>7061</v>
      </c>
      <c r="G379" s="947">
        <v>45748</v>
      </c>
      <c r="H379" s="738" t="s">
        <v>45</v>
      </c>
      <c r="I379" s="884" t="s">
        <v>45</v>
      </c>
      <c r="J379" s="772">
        <v>100000</v>
      </c>
      <c r="K379" s="772">
        <f t="shared" si="15"/>
        <v>120000</v>
      </c>
      <c r="L379" s="710" t="s">
        <v>45</v>
      </c>
      <c r="M379" s="738" t="s">
        <v>45</v>
      </c>
    </row>
    <row r="380" spans="1:13" ht="23.15" customHeight="1">
      <c r="A380" s="707" t="s">
        <v>100</v>
      </c>
      <c r="B380" s="707" t="s">
        <v>7062</v>
      </c>
      <c r="C380" s="710" t="s">
        <v>110</v>
      </c>
      <c r="D380" s="710" t="s">
        <v>450</v>
      </c>
      <c r="E380" s="710" t="s">
        <v>4980</v>
      </c>
      <c r="F380" s="709" t="s">
        <v>1157</v>
      </c>
      <c r="G380" s="713">
        <v>45748</v>
      </c>
      <c r="H380" s="777">
        <v>120</v>
      </c>
      <c r="I380" s="777" t="s">
        <v>7063</v>
      </c>
      <c r="J380" s="772">
        <v>25252489</v>
      </c>
      <c r="K380" s="772">
        <f t="shared" si="15"/>
        <v>30302986.800000001</v>
      </c>
      <c r="L380" s="710" t="s">
        <v>70</v>
      </c>
      <c r="M380" s="711" t="s">
        <v>1159</v>
      </c>
    </row>
    <row r="381" spans="1:13" ht="23.15" customHeight="1">
      <c r="A381" s="726" t="s">
        <v>56</v>
      </c>
      <c r="B381" s="707" t="s">
        <v>60</v>
      </c>
      <c r="C381" s="710" t="s">
        <v>630</v>
      </c>
      <c r="D381" s="710" t="s">
        <v>1360</v>
      </c>
      <c r="E381" s="730" t="s">
        <v>4959</v>
      </c>
      <c r="F381" s="728" t="s">
        <v>5142</v>
      </c>
      <c r="G381" s="712">
        <v>45748</v>
      </c>
      <c r="H381" s="858" t="s">
        <v>60</v>
      </c>
      <c r="I381" s="858" t="s">
        <v>60</v>
      </c>
      <c r="J381" s="772">
        <v>15000000</v>
      </c>
      <c r="K381" s="772">
        <f t="shared" si="15"/>
        <v>18000000</v>
      </c>
      <c r="L381" s="730" t="s">
        <v>310</v>
      </c>
      <c r="M381" s="712" t="s">
        <v>60</v>
      </c>
    </row>
    <row r="382" spans="1:13" ht="23.15" customHeight="1">
      <c r="A382" s="707" t="s">
        <v>100</v>
      </c>
      <c r="B382" s="707" t="s">
        <v>45</v>
      </c>
      <c r="C382" s="710" t="s">
        <v>110</v>
      </c>
      <c r="D382" s="710" t="s">
        <v>1146</v>
      </c>
      <c r="E382" s="710" t="s">
        <v>5058</v>
      </c>
      <c r="F382" s="728" t="s">
        <v>5419</v>
      </c>
      <c r="G382" s="711">
        <v>45748</v>
      </c>
      <c r="H382" s="707" t="s">
        <v>45</v>
      </c>
      <c r="I382" s="707" t="s">
        <v>45</v>
      </c>
      <c r="J382" s="707" t="s">
        <v>45</v>
      </c>
      <c r="K382" s="772" t="str">
        <f t="shared" si="15"/>
        <v/>
      </c>
      <c r="L382" s="707" t="s">
        <v>200</v>
      </c>
      <c r="M382" s="707" t="s">
        <v>5420</v>
      </c>
    </row>
    <row r="383" spans="1:13" ht="23.15" customHeight="1">
      <c r="A383" s="707" t="s">
        <v>100</v>
      </c>
      <c r="B383" s="707" t="s">
        <v>45</v>
      </c>
      <c r="C383" s="710" t="s">
        <v>110</v>
      </c>
      <c r="D383" s="710" t="s">
        <v>450</v>
      </c>
      <c r="E383" s="710" t="s">
        <v>5060</v>
      </c>
      <c r="F383" s="709" t="s">
        <v>194</v>
      </c>
      <c r="G383" s="713">
        <v>45748</v>
      </c>
      <c r="H383" s="777">
        <v>60</v>
      </c>
      <c r="I383" s="777" t="s">
        <v>5228</v>
      </c>
      <c r="J383" s="772">
        <v>3180000</v>
      </c>
      <c r="K383" s="772">
        <f t="shared" si="15"/>
        <v>3816000</v>
      </c>
      <c r="L383" s="710" t="s">
        <v>70</v>
      </c>
      <c r="M383" s="711">
        <v>43805</v>
      </c>
    </row>
    <row r="384" spans="1:13" s="1" customFormat="1" ht="23.15" customHeight="1">
      <c r="A384" s="707" t="s">
        <v>44</v>
      </c>
      <c r="B384" s="738">
        <v>48922</v>
      </c>
      <c r="C384" s="710" t="s">
        <v>5044</v>
      </c>
      <c r="D384" s="710" t="s">
        <v>569</v>
      </c>
      <c r="E384" s="710" t="s">
        <v>33</v>
      </c>
      <c r="F384" s="709" t="s">
        <v>170</v>
      </c>
      <c r="G384" s="947">
        <v>45748</v>
      </c>
      <c r="H384" s="738">
        <v>60</v>
      </c>
      <c r="I384" s="707" t="s">
        <v>5387</v>
      </c>
      <c r="J384" s="772">
        <v>79000</v>
      </c>
      <c r="K384" s="772">
        <f t="shared" si="15"/>
        <v>94800</v>
      </c>
      <c r="L384" s="710" t="s">
        <v>62</v>
      </c>
      <c r="M384" s="738" t="s">
        <v>67</v>
      </c>
    </row>
    <row r="385" spans="1:13" s="1" customFormat="1" ht="23.15" customHeight="1">
      <c r="A385" s="707" t="s">
        <v>100</v>
      </c>
      <c r="B385" s="738" t="s">
        <v>3143</v>
      </c>
      <c r="C385" s="710" t="s">
        <v>5113</v>
      </c>
      <c r="D385" s="710" t="s">
        <v>5001</v>
      </c>
      <c r="E385" s="710" t="s">
        <v>5058</v>
      </c>
      <c r="F385" s="709" t="s">
        <v>3144</v>
      </c>
      <c r="G385" s="947">
        <v>45748</v>
      </c>
      <c r="H385" s="738" t="s">
        <v>45</v>
      </c>
      <c r="I385" s="884" t="s">
        <v>45</v>
      </c>
      <c r="J385" s="772" t="s">
        <v>45</v>
      </c>
      <c r="K385" s="772" t="str">
        <f t="shared" si="15"/>
        <v/>
      </c>
      <c r="L385" s="769" t="s">
        <v>70</v>
      </c>
      <c r="M385" s="769" t="s">
        <v>45</v>
      </c>
    </row>
    <row r="386" spans="1:13" ht="23.15" customHeight="1">
      <c r="A386" s="730" t="s">
        <v>44</v>
      </c>
      <c r="B386" s="707" t="s">
        <v>45</v>
      </c>
      <c r="C386" s="710" t="s">
        <v>5044</v>
      </c>
      <c r="D386" s="710" t="s">
        <v>569</v>
      </c>
      <c r="E386" s="730" t="s">
        <v>1471</v>
      </c>
      <c r="F386" s="728" t="s">
        <v>7064</v>
      </c>
      <c r="G386" s="887">
        <v>46113</v>
      </c>
      <c r="H386" s="710" t="s">
        <v>45</v>
      </c>
      <c r="I386" s="707" t="s">
        <v>589</v>
      </c>
      <c r="J386" s="3010">
        <f>58053+100270</f>
        <v>158323</v>
      </c>
      <c r="K386" s="772">
        <f t="shared" si="15"/>
        <v>189987.6</v>
      </c>
      <c r="L386" s="744" t="s">
        <v>45</v>
      </c>
      <c r="M386" s="707" t="s">
        <v>45</v>
      </c>
    </row>
    <row r="387" spans="1:13" ht="23.15" customHeight="1">
      <c r="A387" s="726" t="s">
        <v>56</v>
      </c>
      <c r="B387" s="726" t="s">
        <v>60</v>
      </c>
      <c r="C387" s="710" t="s">
        <v>5044</v>
      </c>
      <c r="D387" s="710" t="s">
        <v>362</v>
      </c>
      <c r="E387" s="730" t="s">
        <v>279</v>
      </c>
      <c r="F387" s="709" t="s">
        <v>2571</v>
      </c>
      <c r="G387" s="711">
        <v>45748</v>
      </c>
      <c r="H387" s="893">
        <v>48</v>
      </c>
      <c r="I387" s="2997" t="s">
        <v>45</v>
      </c>
      <c r="J387" s="772">
        <f>4*1400000</f>
        <v>5600000</v>
      </c>
      <c r="K387" s="772">
        <f t="shared" si="15"/>
        <v>6720000</v>
      </c>
      <c r="L387" s="711" t="s">
        <v>310</v>
      </c>
      <c r="M387" s="711" t="s">
        <v>60</v>
      </c>
    </row>
    <row r="388" spans="1:13" ht="23.15" customHeight="1">
      <c r="A388" s="707" t="s">
        <v>44</v>
      </c>
      <c r="B388" s="738" t="s">
        <v>45</v>
      </c>
      <c r="C388" s="710" t="s">
        <v>5044</v>
      </c>
      <c r="D388" s="710" t="s">
        <v>569</v>
      </c>
      <c r="E388" s="710" t="s">
        <v>33</v>
      </c>
      <c r="F388" s="709" t="s">
        <v>607</v>
      </c>
      <c r="G388" s="769">
        <v>45748</v>
      </c>
      <c r="H388" s="710" t="s">
        <v>45</v>
      </c>
      <c r="I388" s="710" t="s">
        <v>45</v>
      </c>
      <c r="J388" s="772"/>
      <c r="K388" s="772" t="str">
        <f t="shared" si="15"/>
        <v/>
      </c>
      <c r="L388" s="710" t="s">
        <v>70</v>
      </c>
      <c r="M388" s="738" t="s">
        <v>45</v>
      </c>
    </row>
    <row r="389" spans="1:13" ht="23.15" customHeight="1">
      <c r="A389" s="707" t="s">
        <v>100</v>
      </c>
      <c r="B389" s="707">
        <v>48908</v>
      </c>
      <c r="C389" s="710" t="s">
        <v>415</v>
      </c>
      <c r="D389" s="710" t="s">
        <v>4981</v>
      </c>
      <c r="E389" s="710" t="s">
        <v>3410</v>
      </c>
      <c r="F389" s="709" t="s">
        <v>5439</v>
      </c>
      <c r="G389" s="713">
        <v>45769</v>
      </c>
      <c r="H389" s="3030">
        <v>60</v>
      </c>
      <c r="I389" s="777" t="s">
        <v>5228</v>
      </c>
      <c r="J389" s="772">
        <v>300000</v>
      </c>
      <c r="K389" s="772">
        <f t="shared" si="15"/>
        <v>360000</v>
      </c>
      <c r="L389" s="777" t="s">
        <v>62</v>
      </c>
      <c r="M389" s="710" t="s">
        <v>71</v>
      </c>
    </row>
    <row r="390" spans="1:13" ht="23.15" customHeight="1">
      <c r="A390" s="707" t="s">
        <v>56</v>
      </c>
      <c r="B390" s="738">
        <v>54027</v>
      </c>
      <c r="C390" s="710" t="s">
        <v>630</v>
      </c>
      <c r="D390" s="710" t="s">
        <v>1121</v>
      </c>
      <c r="E390" s="710" t="s">
        <v>1486</v>
      </c>
      <c r="F390" s="709" t="s">
        <v>5440</v>
      </c>
      <c r="G390" s="769">
        <v>45772</v>
      </c>
      <c r="H390" s="738" t="s">
        <v>5441</v>
      </c>
      <c r="I390" s="2980" t="s">
        <v>5442</v>
      </c>
      <c r="J390" s="772">
        <v>13463780</v>
      </c>
      <c r="K390" s="772">
        <f t="shared" si="15"/>
        <v>16156536</v>
      </c>
      <c r="L390" s="710" t="s">
        <v>70</v>
      </c>
      <c r="M390" s="770" t="s">
        <v>5443</v>
      </c>
    </row>
    <row r="391" spans="1:13" ht="23.15" customHeight="1">
      <c r="A391" s="2995" t="s">
        <v>56</v>
      </c>
      <c r="B391" s="578" t="s">
        <v>5444</v>
      </c>
      <c r="C391" s="710" t="s">
        <v>5044</v>
      </c>
      <c r="D391" s="710" t="s">
        <v>362</v>
      </c>
      <c r="E391" s="578" t="s">
        <v>4946</v>
      </c>
      <c r="F391" s="2996" t="s">
        <v>5445</v>
      </c>
      <c r="G391" s="2997">
        <v>45777</v>
      </c>
      <c r="H391" s="578">
        <v>60</v>
      </c>
      <c r="I391" s="578"/>
      <c r="J391" s="2501" t="s">
        <v>5446</v>
      </c>
      <c r="K391" s="772" t="str">
        <f t="shared" si="15"/>
        <v/>
      </c>
      <c r="L391" s="578"/>
      <c r="M391" s="578"/>
    </row>
    <row r="392" spans="1:13" ht="23.15" customHeight="1">
      <c r="A392" s="2995" t="s">
        <v>56</v>
      </c>
      <c r="B392" s="578" t="s">
        <v>5447</v>
      </c>
      <c r="C392" s="710" t="s">
        <v>5044</v>
      </c>
      <c r="D392" s="710" t="s">
        <v>362</v>
      </c>
      <c r="E392" s="578" t="s">
        <v>4946</v>
      </c>
      <c r="F392" s="2996" t="s">
        <v>5445</v>
      </c>
      <c r="G392" s="2997">
        <v>45777</v>
      </c>
      <c r="H392" s="578">
        <v>60</v>
      </c>
      <c r="I392" s="578"/>
      <c r="J392" s="2501" t="s">
        <v>5446</v>
      </c>
      <c r="K392" s="772" t="str">
        <f t="shared" si="15"/>
        <v/>
      </c>
      <c r="L392" s="578"/>
      <c r="M392" s="578"/>
    </row>
    <row r="393" spans="1:13" ht="23.15" customHeight="1">
      <c r="A393" s="707" t="s">
        <v>44</v>
      </c>
      <c r="B393" s="738" t="s">
        <v>623</v>
      </c>
      <c r="C393" s="710" t="s">
        <v>5044</v>
      </c>
      <c r="D393" s="710" t="s">
        <v>569</v>
      </c>
      <c r="E393" s="710" t="s">
        <v>33</v>
      </c>
      <c r="F393" s="709" t="s">
        <v>3972</v>
      </c>
      <c r="G393" s="947">
        <v>45778</v>
      </c>
      <c r="H393" s="738" t="s">
        <v>45</v>
      </c>
      <c r="I393" s="710" t="s">
        <v>45</v>
      </c>
      <c r="J393" s="772" t="s">
        <v>45</v>
      </c>
      <c r="K393" s="772" t="str">
        <f t="shared" si="15"/>
        <v/>
      </c>
      <c r="L393" s="731" t="s">
        <v>62</v>
      </c>
      <c r="M393" s="731" t="s">
        <v>67</v>
      </c>
    </row>
    <row r="394" spans="1:13" ht="23.15" customHeight="1">
      <c r="A394" s="707" t="s">
        <v>44</v>
      </c>
      <c r="B394" s="738" t="s">
        <v>45</v>
      </c>
      <c r="C394" s="710" t="s">
        <v>5044</v>
      </c>
      <c r="D394" s="710" t="s">
        <v>569</v>
      </c>
      <c r="E394" s="710" t="s">
        <v>33</v>
      </c>
      <c r="F394" s="709" t="s">
        <v>5229</v>
      </c>
      <c r="G394" s="769">
        <v>45778</v>
      </c>
      <c r="H394" s="710">
        <v>48</v>
      </c>
      <c r="I394" s="710" t="s">
        <v>258</v>
      </c>
      <c r="J394" s="772">
        <v>440000</v>
      </c>
      <c r="K394" s="772">
        <f t="shared" si="15"/>
        <v>528000</v>
      </c>
      <c r="L394" s="769" t="s">
        <v>70</v>
      </c>
      <c r="M394" s="769" t="s">
        <v>45</v>
      </c>
    </row>
    <row r="395" spans="1:13" ht="23.15" customHeight="1">
      <c r="A395" s="707" t="s">
        <v>44</v>
      </c>
      <c r="B395" s="738">
        <v>48806</v>
      </c>
      <c r="C395" s="710" t="s">
        <v>5113</v>
      </c>
      <c r="D395" s="710" t="s">
        <v>569</v>
      </c>
      <c r="E395" s="710" t="s">
        <v>33</v>
      </c>
      <c r="F395" s="709" t="s">
        <v>5450</v>
      </c>
      <c r="G395" s="947">
        <v>45778</v>
      </c>
      <c r="H395" s="738">
        <v>36</v>
      </c>
      <c r="I395" s="738" t="s">
        <v>5004</v>
      </c>
      <c r="J395" s="772">
        <v>60000</v>
      </c>
      <c r="K395" s="772">
        <f t="shared" si="15"/>
        <v>72000</v>
      </c>
      <c r="L395" s="710" t="s">
        <v>62</v>
      </c>
      <c r="M395" s="738" t="s">
        <v>70</v>
      </c>
    </row>
    <row r="396" spans="1:13" ht="23.15" customHeight="1">
      <c r="A396" s="726" t="s">
        <v>647</v>
      </c>
      <c r="B396" s="726" t="s">
        <v>60</v>
      </c>
      <c r="C396" s="710" t="s">
        <v>647</v>
      </c>
      <c r="D396" s="710" t="s">
        <v>647</v>
      </c>
      <c r="E396" s="730" t="s">
        <v>4950</v>
      </c>
      <c r="F396" s="729" t="s">
        <v>5298</v>
      </c>
      <c r="G396" s="759">
        <v>45778</v>
      </c>
      <c r="H396" s="891">
        <v>48</v>
      </c>
      <c r="I396" s="891" t="s">
        <v>215</v>
      </c>
      <c r="J396" s="772">
        <v>240000</v>
      </c>
      <c r="K396" s="772">
        <v>240000</v>
      </c>
      <c r="L396" s="711" t="s">
        <v>589</v>
      </c>
      <c r="M396" s="711" t="s">
        <v>589</v>
      </c>
    </row>
    <row r="397" spans="1:13" ht="23.15" customHeight="1">
      <c r="A397" s="577" t="s">
        <v>647</v>
      </c>
      <c r="B397" s="707" t="s">
        <v>45</v>
      </c>
      <c r="C397" s="710" t="s">
        <v>647</v>
      </c>
      <c r="D397" s="577" t="s">
        <v>647</v>
      </c>
      <c r="E397" s="730" t="s">
        <v>4959</v>
      </c>
      <c r="F397" s="709" t="s">
        <v>5448</v>
      </c>
      <c r="G397" s="146">
        <v>45778</v>
      </c>
      <c r="H397" s="71">
        <v>120</v>
      </c>
      <c r="I397" s="772" t="s">
        <v>721</v>
      </c>
      <c r="J397" s="768">
        <v>2000000</v>
      </c>
      <c r="K397" s="772">
        <f t="shared" ref="K397:K435" si="16">IF(ISNUMBER(J397),SUM(J397*20%)+J397,"")</f>
        <v>2400000</v>
      </c>
      <c r="L397" s="71" t="s">
        <v>71</v>
      </c>
      <c r="M397" s="5"/>
    </row>
    <row r="398" spans="1:13" ht="23.15" customHeight="1">
      <c r="A398" s="707" t="s">
        <v>44</v>
      </c>
      <c r="B398" s="707" t="s">
        <v>45</v>
      </c>
      <c r="C398" s="710" t="s">
        <v>5044</v>
      </c>
      <c r="D398" s="730" t="s">
        <v>1440</v>
      </c>
      <c r="E398" s="710" t="s">
        <v>127</v>
      </c>
      <c r="F398" s="709" t="s">
        <v>2041</v>
      </c>
      <c r="G398" s="769">
        <v>45798</v>
      </c>
      <c r="H398" s="710">
        <v>120</v>
      </c>
      <c r="I398" s="710" t="s">
        <v>7065</v>
      </c>
      <c r="J398" s="772">
        <v>6140000</v>
      </c>
      <c r="K398" s="772">
        <f t="shared" si="16"/>
        <v>7368000</v>
      </c>
      <c r="L398" s="769" t="s">
        <v>70</v>
      </c>
      <c r="M398" s="769" t="s">
        <v>45</v>
      </c>
    </row>
    <row r="399" spans="1:13" ht="23.15" customHeight="1">
      <c r="A399" s="707" t="s">
        <v>44</v>
      </c>
      <c r="B399" s="738">
        <v>48221</v>
      </c>
      <c r="C399" s="710" t="s">
        <v>5044</v>
      </c>
      <c r="D399" s="710" t="s">
        <v>569</v>
      </c>
      <c r="E399" s="710" t="s">
        <v>33</v>
      </c>
      <c r="F399" s="709" t="s">
        <v>5454</v>
      </c>
      <c r="G399" s="947">
        <v>45798</v>
      </c>
      <c r="H399" s="738">
        <v>36</v>
      </c>
      <c r="I399" s="903" t="s">
        <v>5004</v>
      </c>
      <c r="J399" s="772">
        <v>350000</v>
      </c>
      <c r="K399" s="772">
        <f t="shared" si="16"/>
        <v>420000</v>
      </c>
      <c r="L399" s="769" t="s">
        <v>62</v>
      </c>
      <c r="M399" s="710" t="s">
        <v>70</v>
      </c>
    </row>
    <row r="400" spans="1:13" ht="23.15" customHeight="1">
      <c r="A400" s="707" t="s">
        <v>44</v>
      </c>
      <c r="B400" s="738" t="s">
        <v>45</v>
      </c>
      <c r="C400" s="710" t="s">
        <v>5044</v>
      </c>
      <c r="D400" s="710" t="s">
        <v>569</v>
      </c>
      <c r="E400" s="710" t="s">
        <v>33</v>
      </c>
      <c r="F400" s="709" t="s">
        <v>4010</v>
      </c>
      <c r="G400" s="769">
        <v>45801</v>
      </c>
      <c r="H400" s="738" t="s">
        <v>45</v>
      </c>
      <c r="I400" s="738" t="s">
        <v>45</v>
      </c>
      <c r="J400" s="772" t="s">
        <v>45</v>
      </c>
      <c r="K400" s="772" t="str">
        <f t="shared" si="16"/>
        <v/>
      </c>
      <c r="L400" s="731" t="s">
        <v>45</v>
      </c>
      <c r="M400" s="731" t="s">
        <v>45</v>
      </c>
    </row>
    <row r="401" spans="1:13" ht="23.15" customHeight="1">
      <c r="A401" s="707" t="s">
        <v>44</v>
      </c>
      <c r="B401" s="738" t="s">
        <v>45</v>
      </c>
      <c r="C401" s="707" t="s">
        <v>5219</v>
      </c>
      <c r="D401" s="710" t="s">
        <v>4998</v>
      </c>
      <c r="E401" s="710" t="s">
        <v>399</v>
      </c>
      <c r="F401" s="709" t="s">
        <v>1644</v>
      </c>
      <c r="G401" s="769">
        <v>45809</v>
      </c>
      <c r="H401" s="710">
        <v>60</v>
      </c>
      <c r="I401" s="884" t="s">
        <v>171</v>
      </c>
      <c r="J401" s="772">
        <v>2649410</v>
      </c>
      <c r="K401" s="772">
        <f t="shared" si="16"/>
        <v>3179292</v>
      </c>
      <c r="L401" s="710" t="s">
        <v>70</v>
      </c>
      <c r="M401" s="738" t="s">
        <v>45</v>
      </c>
    </row>
    <row r="402" spans="1:13" ht="23.15" customHeight="1">
      <c r="A402" s="726" t="s">
        <v>56</v>
      </c>
      <c r="B402" s="726" t="s">
        <v>60</v>
      </c>
      <c r="C402" s="710" t="s">
        <v>630</v>
      </c>
      <c r="D402" s="710" t="s">
        <v>1360</v>
      </c>
      <c r="E402" s="730" t="s">
        <v>4946</v>
      </c>
      <c r="F402" s="729" t="s">
        <v>5456</v>
      </c>
      <c r="G402" s="759">
        <v>45809</v>
      </c>
      <c r="H402" s="891">
        <v>1</v>
      </c>
      <c r="I402" s="891">
        <v>1</v>
      </c>
      <c r="J402" s="772">
        <v>450000</v>
      </c>
      <c r="K402" s="772">
        <f t="shared" si="16"/>
        <v>540000</v>
      </c>
      <c r="L402" s="711" t="s">
        <v>62</v>
      </c>
      <c r="M402" s="711" t="s">
        <v>60</v>
      </c>
    </row>
    <row r="403" spans="1:13" ht="23.15" customHeight="1">
      <c r="A403" s="707" t="s">
        <v>44</v>
      </c>
      <c r="B403" s="738" t="s">
        <v>45</v>
      </c>
      <c r="C403" s="710" t="s">
        <v>5044</v>
      </c>
      <c r="D403" s="710" t="s">
        <v>569</v>
      </c>
      <c r="E403" s="710" t="s">
        <v>33</v>
      </c>
      <c r="F403" s="709" t="s">
        <v>286</v>
      </c>
      <c r="G403" s="769">
        <v>45823</v>
      </c>
      <c r="H403" s="710" t="s">
        <v>45</v>
      </c>
      <c r="I403" s="710" t="s">
        <v>45</v>
      </c>
      <c r="J403" s="772" t="s">
        <v>45</v>
      </c>
      <c r="K403" s="772" t="str">
        <f t="shared" si="16"/>
        <v/>
      </c>
      <c r="L403" s="710" t="s">
        <v>45</v>
      </c>
      <c r="M403" s="738" t="s">
        <v>45</v>
      </c>
    </row>
    <row r="404" spans="1:13" ht="23.15" customHeight="1">
      <c r="A404" s="707" t="s">
        <v>100</v>
      </c>
      <c r="B404" s="738" t="s">
        <v>45</v>
      </c>
      <c r="C404" s="710" t="s">
        <v>415</v>
      </c>
      <c r="D404" s="710" t="s">
        <v>4981</v>
      </c>
      <c r="E404" s="710" t="s">
        <v>127</v>
      </c>
      <c r="F404" s="709" t="s">
        <v>5458</v>
      </c>
      <c r="G404" s="769">
        <v>45824</v>
      </c>
      <c r="H404" s="710" t="s">
        <v>45</v>
      </c>
      <c r="I404" s="884" t="s">
        <v>45</v>
      </c>
      <c r="J404" s="772" t="s">
        <v>45</v>
      </c>
      <c r="K404" s="772" t="str">
        <f t="shared" si="16"/>
        <v/>
      </c>
      <c r="L404" s="796" t="s">
        <v>38</v>
      </c>
      <c r="M404" s="738" t="s">
        <v>67</v>
      </c>
    </row>
    <row r="405" spans="1:13" ht="23.15" customHeight="1">
      <c r="A405" s="707" t="s">
        <v>100</v>
      </c>
      <c r="B405" s="707" t="s">
        <v>245</v>
      </c>
      <c r="C405" s="710" t="s">
        <v>110</v>
      </c>
      <c r="D405" s="710" t="s">
        <v>1146</v>
      </c>
      <c r="E405" s="710" t="s">
        <v>4995</v>
      </c>
      <c r="F405" s="709" t="s">
        <v>247</v>
      </c>
      <c r="G405" s="713">
        <v>45839</v>
      </c>
      <c r="H405" s="777">
        <v>60</v>
      </c>
      <c r="I405" s="777" t="s">
        <v>7056</v>
      </c>
      <c r="J405" s="772">
        <v>2300000</v>
      </c>
      <c r="K405" s="772">
        <f t="shared" si="16"/>
        <v>2760000</v>
      </c>
      <c r="L405" s="710" t="s">
        <v>70</v>
      </c>
      <c r="M405" s="710" t="s">
        <v>249</v>
      </c>
    </row>
    <row r="406" spans="1:13" ht="23.15" customHeight="1">
      <c r="A406" s="726" t="s">
        <v>56</v>
      </c>
      <c r="B406" s="726" t="s">
        <v>60</v>
      </c>
      <c r="C406" s="710" t="s">
        <v>630</v>
      </c>
      <c r="D406" s="710" t="s">
        <v>1360</v>
      </c>
      <c r="E406" s="730" t="s">
        <v>4946</v>
      </c>
      <c r="F406" s="728" t="s">
        <v>7066</v>
      </c>
      <c r="G406" s="711">
        <v>45839</v>
      </c>
      <c r="H406" s="893" t="s">
        <v>60</v>
      </c>
      <c r="I406" s="893" t="s">
        <v>60</v>
      </c>
      <c r="J406" s="772">
        <v>6000000</v>
      </c>
      <c r="K406" s="772">
        <f t="shared" si="16"/>
        <v>7200000</v>
      </c>
      <c r="L406" s="711" t="s">
        <v>310</v>
      </c>
      <c r="M406" s="711" t="s">
        <v>60</v>
      </c>
    </row>
    <row r="407" spans="1:13" ht="23.15" customHeight="1">
      <c r="A407" s="707" t="s">
        <v>56</v>
      </c>
      <c r="B407" s="707" t="s">
        <v>45</v>
      </c>
      <c r="C407" s="710" t="s">
        <v>630</v>
      </c>
      <c r="D407" s="710" t="s">
        <v>1360</v>
      </c>
      <c r="E407" s="710" t="s">
        <v>4946</v>
      </c>
      <c r="F407" s="709" t="s">
        <v>5459</v>
      </c>
      <c r="G407" s="713">
        <v>45839</v>
      </c>
      <c r="H407" s="777" t="s">
        <v>991</v>
      </c>
      <c r="I407" s="777" t="s">
        <v>991</v>
      </c>
      <c r="J407" s="772">
        <v>500000</v>
      </c>
      <c r="K407" s="772">
        <f t="shared" si="16"/>
        <v>600000</v>
      </c>
      <c r="L407" s="710" t="s">
        <v>45</v>
      </c>
      <c r="M407" s="710" t="s">
        <v>45</v>
      </c>
    </row>
    <row r="408" spans="1:13" ht="23.15" customHeight="1">
      <c r="A408" s="707" t="s">
        <v>100</v>
      </c>
      <c r="B408" s="707" t="s">
        <v>45</v>
      </c>
      <c r="C408" s="710" t="s">
        <v>122</v>
      </c>
      <c r="D408" s="710" t="s">
        <v>5069</v>
      </c>
      <c r="E408" s="710" t="s">
        <v>3410</v>
      </c>
      <c r="F408" s="709" t="s">
        <v>698</v>
      </c>
      <c r="G408" s="713">
        <v>45839</v>
      </c>
      <c r="H408" s="777">
        <v>36</v>
      </c>
      <c r="I408" s="777" t="s">
        <v>1538</v>
      </c>
      <c r="J408" s="772">
        <v>96000</v>
      </c>
      <c r="K408" s="772">
        <f t="shared" si="16"/>
        <v>115200</v>
      </c>
      <c r="L408" s="710" t="s">
        <v>62</v>
      </c>
      <c r="M408" s="710" t="s">
        <v>71</v>
      </c>
    </row>
    <row r="409" spans="1:13" ht="23.15" customHeight="1">
      <c r="A409" s="707" t="s">
        <v>100</v>
      </c>
      <c r="B409" s="1359">
        <v>66032</v>
      </c>
      <c r="C409" s="710" t="s">
        <v>110</v>
      </c>
      <c r="D409" s="710" t="s">
        <v>450</v>
      </c>
      <c r="E409" s="710" t="s">
        <v>4980</v>
      </c>
      <c r="F409" s="709" t="s">
        <v>5460</v>
      </c>
      <c r="G409" s="713">
        <v>45841</v>
      </c>
      <c r="H409" s="896">
        <v>36</v>
      </c>
      <c r="I409" s="896" t="s">
        <v>160</v>
      </c>
      <c r="J409" s="772">
        <v>75000</v>
      </c>
      <c r="K409" s="772">
        <f t="shared" si="16"/>
        <v>90000</v>
      </c>
      <c r="L409" s="710" t="s">
        <v>70</v>
      </c>
      <c r="M409" s="711" t="s">
        <v>5461</v>
      </c>
    </row>
    <row r="410" spans="1:13" ht="23.15" customHeight="1">
      <c r="A410" s="726" t="s">
        <v>56</v>
      </c>
      <c r="B410" s="726" t="s">
        <v>60</v>
      </c>
      <c r="C410" s="710" t="s">
        <v>630</v>
      </c>
      <c r="D410" s="710" t="s">
        <v>1360</v>
      </c>
      <c r="E410" s="730" t="s">
        <v>4959</v>
      </c>
      <c r="F410" s="729" t="s">
        <v>5464</v>
      </c>
      <c r="G410" s="759">
        <v>45843</v>
      </c>
      <c r="H410" s="891" t="s">
        <v>60</v>
      </c>
      <c r="I410" s="891" t="s">
        <v>60</v>
      </c>
      <c r="J410" s="772" t="s">
        <v>60</v>
      </c>
      <c r="K410" s="772" t="str">
        <f t="shared" si="16"/>
        <v/>
      </c>
      <c r="L410" s="711" t="s">
        <v>310</v>
      </c>
      <c r="M410" s="711" t="s">
        <v>60</v>
      </c>
    </row>
    <row r="411" spans="1:13" ht="23.15" customHeight="1">
      <c r="A411" s="726" t="s">
        <v>56</v>
      </c>
      <c r="B411" s="726" t="s">
        <v>60</v>
      </c>
      <c r="C411" s="730" t="s">
        <v>630</v>
      </c>
      <c r="D411" s="710" t="s">
        <v>1360</v>
      </c>
      <c r="E411" s="730" t="s">
        <v>4959</v>
      </c>
      <c r="F411" s="2996" t="s">
        <v>5463</v>
      </c>
      <c r="G411" s="759">
        <v>45843</v>
      </c>
      <c r="H411" s="891">
        <v>84</v>
      </c>
      <c r="I411" s="891" t="s">
        <v>1455</v>
      </c>
      <c r="J411" s="772">
        <f>150000*7</f>
        <v>1050000</v>
      </c>
      <c r="K411" s="772">
        <f t="shared" si="16"/>
        <v>1260000</v>
      </c>
      <c r="L411" s="711" t="s">
        <v>310</v>
      </c>
      <c r="M411" s="711" t="s">
        <v>60</v>
      </c>
    </row>
    <row r="412" spans="1:13" ht="23.15" customHeight="1">
      <c r="A412" s="707" t="s">
        <v>44</v>
      </c>
      <c r="B412" s="738"/>
      <c r="C412" s="710" t="s">
        <v>5123</v>
      </c>
      <c r="D412" s="710" t="s">
        <v>862</v>
      </c>
      <c r="E412" s="730" t="s">
        <v>661</v>
      </c>
      <c r="F412" s="709" t="s">
        <v>5337</v>
      </c>
      <c r="G412" s="769">
        <v>45857</v>
      </c>
      <c r="H412" s="738"/>
      <c r="I412" s="710"/>
      <c r="J412" s="772"/>
      <c r="K412" s="772" t="str">
        <f t="shared" si="16"/>
        <v/>
      </c>
      <c r="L412" s="744" t="s">
        <v>45</v>
      </c>
      <c r="M412" s="707" t="s">
        <v>45</v>
      </c>
    </row>
    <row r="413" spans="1:13" ht="23.15" customHeight="1">
      <c r="A413" s="707" t="s">
        <v>44</v>
      </c>
      <c r="B413" s="738" t="s">
        <v>45</v>
      </c>
      <c r="C413" s="710" t="s">
        <v>110</v>
      </c>
      <c r="D413" s="710" t="s">
        <v>1146</v>
      </c>
      <c r="E413" s="710" t="s">
        <v>127</v>
      </c>
      <c r="F413" s="709" t="s">
        <v>601</v>
      </c>
      <c r="G413" s="947">
        <v>45863</v>
      </c>
      <c r="H413" s="738">
        <v>36</v>
      </c>
      <c r="I413" s="707" t="s">
        <v>45</v>
      </c>
      <c r="J413" s="772"/>
      <c r="K413" s="772" t="str">
        <f t="shared" si="16"/>
        <v/>
      </c>
      <c r="L413" s="710" t="s">
        <v>45</v>
      </c>
      <c r="M413" s="738" t="s">
        <v>71</v>
      </c>
    </row>
    <row r="414" spans="1:13" ht="23.15" customHeight="1">
      <c r="A414" s="707" t="s">
        <v>56</v>
      </c>
      <c r="B414" s="707" t="s">
        <v>45</v>
      </c>
      <c r="C414" s="710" t="s">
        <v>630</v>
      </c>
      <c r="D414" s="710" t="s">
        <v>1360</v>
      </c>
      <c r="E414" s="710" t="s">
        <v>4946</v>
      </c>
      <c r="F414" s="709" t="s">
        <v>5299</v>
      </c>
      <c r="G414" s="713">
        <v>45870</v>
      </c>
      <c r="H414" s="777" t="s">
        <v>991</v>
      </c>
      <c r="I414" s="777" t="s">
        <v>991</v>
      </c>
      <c r="J414" s="772">
        <v>85000</v>
      </c>
      <c r="K414" s="772">
        <f t="shared" si="16"/>
        <v>102000</v>
      </c>
      <c r="L414" s="710" t="s">
        <v>45</v>
      </c>
      <c r="M414" s="710" t="s">
        <v>45</v>
      </c>
    </row>
    <row r="415" spans="1:13" ht="23.15" customHeight="1">
      <c r="A415" s="726" t="s">
        <v>56</v>
      </c>
      <c r="B415" s="730" t="s">
        <v>60</v>
      </c>
      <c r="C415" s="730" t="s">
        <v>5044</v>
      </c>
      <c r="D415" s="710" t="s">
        <v>362</v>
      </c>
      <c r="E415" s="730" t="s">
        <v>4946</v>
      </c>
      <c r="F415" s="709" t="s">
        <v>5469</v>
      </c>
      <c r="G415" s="711">
        <v>45870</v>
      </c>
      <c r="H415" s="893">
        <v>12</v>
      </c>
      <c r="I415" s="710">
        <v>12</v>
      </c>
      <c r="J415" s="772">
        <v>12000000</v>
      </c>
      <c r="K415" s="772">
        <f t="shared" si="16"/>
        <v>14400000</v>
      </c>
      <c r="L415" s="711" t="s">
        <v>70</v>
      </c>
      <c r="M415" s="738" t="s">
        <v>45</v>
      </c>
    </row>
    <row r="416" spans="1:13" ht="23.15" customHeight="1">
      <c r="A416" s="707" t="s">
        <v>56</v>
      </c>
      <c r="B416" s="707" t="s">
        <v>45</v>
      </c>
      <c r="C416" s="710" t="s">
        <v>630</v>
      </c>
      <c r="D416" s="710" t="s">
        <v>1360</v>
      </c>
      <c r="E416" s="710" t="s">
        <v>4946</v>
      </c>
      <c r="F416" s="709" t="s">
        <v>5313</v>
      </c>
      <c r="G416" s="713">
        <v>45870</v>
      </c>
      <c r="H416" s="777" t="s">
        <v>991</v>
      </c>
      <c r="I416" s="777" t="s">
        <v>991</v>
      </c>
      <c r="J416" s="772">
        <v>80000</v>
      </c>
      <c r="K416" s="772">
        <f t="shared" si="16"/>
        <v>96000</v>
      </c>
      <c r="L416" s="710" t="s">
        <v>45</v>
      </c>
      <c r="M416" s="710" t="s">
        <v>45</v>
      </c>
    </row>
    <row r="417" spans="1:13" ht="23.15" customHeight="1">
      <c r="A417" s="707" t="s">
        <v>56</v>
      </c>
      <c r="B417" s="707" t="s">
        <v>45</v>
      </c>
      <c r="C417" s="710" t="s">
        <v>630</v>
      </c>
      <c r="D417" s="710" t="s">
        <v>1360</v>
      </c>
      <c r="E417" s="710" t="s">
        <v>4946</v>
      </c>
      <c r="F417" s="709" t="s">
        <v>5300</v>
      </c>
      <c r="G417" s="713">
        <v>45870</v>
      </c>
      <c r="H417" s="777" t="s">
        <v>991</v>
      </c>
      <c r="I417" s="777" t="s">
        <v>991</v>
      </c>
      <c r="J417" s="772">
        <v>50000</v>
      </c>
      <c r="K417" s="772">
        <f t="shared" si="16"/>
        <v>60000</v>
      </c>
      <c r="L417" s="710" t="s">
        <v>45</v>
      </c>
      <c r="M417" s="710" t="s">
        <v>45</v>
      </c>
    </row>
    <row r="418" spans="1:13" ht="23.15" customHeight="1">
      <c r="A418" s="726" t="s">
        <v>56</v>
      </c>
      <c r="B418" s="730" t="s">
        <v>60</v>
      </c>
      <c r="C418" s="730" t="s">
        <v>5044</v>
      </c>
      <c r="D418" s="710" t="s">
        <v>362</v>
      </c>
      <c r="E418" s="730" t="s">
        <v>4946</v>
      </c>
      <c r="F418" s="709" t="s">
        <v>5465</v>
      </c>
      <c r="G418" s="711">
        <v>45870</v>
      </c>
      <c r="H418" s="893">
        <v>12</v>
      </c>
      <c r="I418" s="710">
        <v>12</v>
      </c>
      <c r="J418" s="772">
        <v>6000000</v>
      </c>
      <c r="K418" s="772">
        <f t="shared" si="16"/>
        <v>7200000</v>
      </c>
      <c r="L418" s="711" t="s">
        <v>70</v>
      </c>
      <c r="M418" s="738" t="s">
        <v>45</v>
      </c>
    </row>
    <row r="419" spans="1:13" ht="23.15" customHeight="1">
      <c r="A419" s="707" t="s">
        <v>44</v>
      </c>
      <c r="B419" s="738"/>
      <c r="C419" s="710" t="s">
        <v>5123</v>
      </c>
      <c r="D419" s="710" t="s">
        <v>862</v>
      </c>
      <c r="E419" s="710" t="s">
        <v>1837</v>
      </c>
      <c r="F419" s="709" t="s">
        <v>1074</v>
      </c>
      <c r="G419" s="947">
        <v>45870</v>
      </c>
      <c r="H419" s="738"/>
      <c r="I419" s="707"/>
      <c r="J419" s="772"/>
      <c r="K419" s="772" t="str">
        <f t="shared" si="16"/>
        <v/>
      </c>
      <c r="L419" s="710" t="s">
        <v>62</v>
      </c>
      <c r="M419" s="796" t="s">
        <v>45</v>
      </c>
    </row>
    <row r="420" spans="1:13" ht="23.15" customHeight="1">
      <c r="A420" s="726" t="s">
        <v>56</v>
      </c>
      <c r="B420" s="726" t="s">
        <v>60</v>
      </c>
      <c r="C420" s="710" t="s">
        <v>5044</v>
      </c>
      <c r="D420" s="710" t="s">
        <v>362</v>
      </c>
      <c r="E420" s="730" t="s">
        <v>4946</v>
      </c>
      <c r="F420" s="709" t="s">
        <v>5344</v>
      </c>
      <c r="G420" s="711">
        <v>45870</v>
      </c>
      <c r="H420" s="2997" t="s">
        <v>45</v>
      </c>
      <c r="I420" s="2997" t="s">
        <v>45</v>
      </c>
      <c r="J420" s="772">
        <v>2600000</v>
      </c>
      <c r="K420" s="772">
        <f t="shared" si="16"/>
        <v>3120000</v>
      </c>
      <c r="L420" s="711" t="s">
        <v>70</v>
      </c>
      <c r="M420" s="738" t="s">
        <v>45</v>
      </c>
    </row>
    <row r="421" spans="1:13" s="908" customFormat="1" ht="23.15" customHeight="1">
      <c r="A421" s="577" t="s">
        <v>56</v>
      </c>
      <c r="B421" s="707" t="s">
        <v>45</v>
      </c>
      <c r="C421" s="710" t="s">
        <v>630</v>
      </c>
      <c r="D421" s="710" t="s">
        <v>1315</v>
      </c>
      <c r="E421" s="710" t="s">
        <v>1471</v>
      </c>
      <c r="F421" s="709" t="s">
        <v>5467</v>
      </c>
      <c r="G421" s="146">
        <v>45870</v>
      </c>
      <c r="H421" s="71" t="s">
        <v>60</v>
      </c>
      <c r="I421" s="71" t="s">
        <v>60</v>
      </c>
      <c r="J421" s="772">
        <v>15000000</v>
      </c>
      <c r="K421" s="772">
        <f t="shared" si="16"/>
        <v>18000000</v>
      </c>
      <c r="L421" s="71" t="s">
        <v>2569</v>
      </c>
      <c r="M421" s="2999" t="s">
        <v>5468</v>
      </c>
    </row>
    <row r="422" spans="1:13" ht="23.15" customHeight="1">
      <c r="A422" s="726" t="s">
        <v>647</v>
      </c>
      <c r="B422" s="726" t="s">
        <v>60</v>
      </c>
      <c r="C422" s="710" t="s">
        <v>647</v>
      </c>
      <c r="D422" s="577" t="s">
        <v>647</v>
      </c>
      <c r="E422" s="730" t="s">
        <v>4946</v>
      </c>
      <c r="F422" s="709" t="s">
        <v>5470</v>
      </c>
      <c r="G422" s="711">
        <v>45871</v>
      </c>
      <c r="H422" s="893" t="s">
        <v>1119</v>
      </c>
      <c r="I422" s="893" t="s">
        <v>1119</v>
      </c>
      <c r="J422" s="772">
        <v>300000000</v>
      </c>
      <c r="K422" s="772">
        <f t="shared" si="16"/>
        <v>360000000</v>
      </c>
      <c r="L422" s="711" t="s">
        <v>310</v>
      </c>
      <c r="M422" s="711" t="s">
        <v>60</v>
      </c>
    </row>
    <row r="423" spans="1:13" ht="23.15" customHeight="1">
      <c r="A423" s="707" t="s">
        <v>44</v>
      </c>
      <c r="B423" s="738" t="s">
        <v>45</v>
      </c>
      <c r="C423" s="710" t="s">
        <v>5044</v>
      </c>
      <c r="D423" s="710" t="s">
        <v>569</v>
      </c>
      <c r="E423" s="710" t="s">
        <v>33</v>
      </c>
      <c r="F423" s="709" t="s">
        <v>2184</v>
      </c>
      <c r="G423" s="947">
        <v>45893</v>
      </c>
      <c r="H423" s="710" t="s">
        <v>45</v>
      </c>
      <c r="I423" s="710" t="s">
        <v>1427</v>
      </c>
      <c r="J423" s="772">
        <v>100000</v>
      </c>
      <c r="K423" s="772">
        <f t="shared" si="16"/>
        <v>120000</v>
      </c>
      <c r="L423" s="710" t="s">
        <v>62</v>
      </c>
      <c r="M423" s="738" t="s">
        <v>45</v>
      </c>
    </row>
    <row r="424" spans="1:13" ht="23.15" customHeight="1">
      <c r="A424" s="707" t="s">
        <v>44</v>
      </c>
      <c r="B424" s="738" t="s">
        <v>338</v>
      </c>
      <c r="C424" s="730" t="s">
        <v>5044</v>
      </c>
      <c r="D424" s="710" t="s">
        <v>569</v>
      </c>
      <c r="E424" s="710" t="s">
        <v>33</v>
      </c>
      <c r="F424" s="709" t="s">
        <v>7067</v>
      </c>
      <c r="G424" s="769">
        <v>45899</v>
      </c>
      <c r="H424" s="738" t="s">
        <v>45</v>
      </c>
      <c r="I424" s="738" t="s">
        <v>45</v>
      </c>
      <c r="J424" s="772" t="s">
        <v>45</v>
      </c>
      <c r="K424" s="772" t="str">
        <f t="shared" si="16"/>
        <v/>
      </c>
      <c r="L424" s="710" t="s">
        <v>45</v>
      </c>
      <c r="M424" s="738" t="s">
        <v>71</v>
      </c>
    </row>
    <row r="425" spans="1:13" ht="23.15" customHeight="1">
      <c r="A425" s="2995" t="s">
        <v>56</v>
      </c>
      <c r="B425" s="578" t="s">
        <v>5471</v>
      </c>
      <c r="C425" s="710" t="s">
        <v>415</v>
      </c>
      <c r="D425" s="578" t="s">
        <v>4994</v>
      </c>
      <c r="E425" s="578" t="s">
        <v>4946</v>
      </c>
      <c r="F425" s="2996" t="s">
        <v>5472</v>
      </c>
      <c r="G425" s="2997">
        <v>45900</v>
      </c>
      <c r="H425" s="578">
        <v>48</v>
      </c>
      <c r="I425" s="578" t="s">
        <v>3071</v>
      </c>
      <c r="J425" s="2501"/>
      <c r="K425" s="772" t="str">
        <f t="shared" si="16"/>
        <v/>
      </c>
      <c r="L425" s="578"/>
      <c r="M425" s="578"/>
    </row>
    <row r="426" spans="1:13" ht="23.15" customHeight="1">
      <c r="A426" s="707" t="s">
        <v>100</v>
      </c>
      <c r="B426" s="707" t="s">
        <v>45</v>
      </c>
      <c r="C426" s="710" t="s">
        <v>110</v>
      </c>
      <c r="D426" s="710" t="s">
        <v>450</v>
      </c>
      <c r="E426" s="710" t="s">
        <v>5058</v>
      </c>
      <c r="F426" s="709" t="s">
        <v>5059</v>
      </c>
      <c r="G426" s="713">
        <v>45901</v>
      </c>
      <c r="H426" s="777" t="s">
        <v>45</v>
      </c>
      <c r="I426" s="777" t="s">
        <v>45</v>
      </c>
      <c r="J426" s="772">
        <v>36762000</v>
      </c>
      <c r="K426" s="772">
        <f t="shared" si="16"/>
        <v>44114400</v>
      </c>
      <c r="L426" s="710" t="s">
        <v>70</v>
      </c>
      <c r="M426" s="710" t="s">
        <v>45</v>
      </c>
    </row>
    <row r="427" spans="1:13" ht="23.15" customHeight="1">
      <c r="A427" s="707" t="s">
        <v>100</v>
      </c>
      <c r="B427" s="707" t="s">
        <v>45</v>
      </c>
      <c r="C427" s="710" t="s">
        <v>110</v>
      </c>
      <c r="D427" s="710" t="s">
        <v>450</v>
      </c>
      <c r="E427" s="710" t="s">
        <v>5060</v>
      </c>
      <c r="F427" s="709" t="s">
        <v>5061</v>
      </c>
      <c r="G427" s="713">
        <v>45901</v>
      </c>
      <c r="H427" s="777" t="s">
        <v>45</v>
      </c>
      <c r="I427" s="777" t="s">
        <v>45</v>
      </c>
      <c r="J427" s="772">
        <v>698000</v>
      </c>
      <c r="K427" s="772">
        <f t="shared" si="16"/>
        <v>837600</v>
      </c>
      <c r="L427" s="710" t="s">
        <v>200</v>
      </c>
      <c r="M427" s="710" t="s">
        <v>45</v>
      </c>
    </row>
    <row r="428" spans="1:13" ht="23.15" customHeight="1">
      <c r="A428" s="726" t="s">
        <v>56</v>
      </c>
      <c r="B428" s="726" t="s">
        <v>60</v>
      </c>
      <c r="C428" s="710" t="s">
        <v>5044</v>
      </c>
      <c r="D428" s="710" t="s">
        <v>362</v>
      </c>
      <c r="E428" s="730" t="s">
        <v>4946</v>
      </c>
      <c r="F428" s="709" t="s">
        <v>5475</v>
      </c>
      <c r="G428" s="711">
        <v>45901</v>
      </c>
      <c r="H428" s="2997" t="s">
        <v>45</v>
      </c>
      <c r="I428" s="2997" t="s">
        <v>45</v>
      </c>
      <c r="J428" s="2997" t="s">
        <v>45</v>
      </c>
      <c r="K428" s="772" t="str">
        <f t="shared" si="16"/>
        <v/>
      </c>
      <c r="L428" s="711" t="s">
        <v>310</v>
      </c>
      <c r="M428" s="726" t="s">
        <v>60</v>
      </c>
    </row>
    <row r="429" spans="1:13" ht="23.15" customHeight="1">
      <c r="A429" s="726" t="s">
        <v>56</v>
      </c>
      <c r="B429" s="726" t="s">
        <v>60</v>
      </c>
      <c r="C429" s="710" t="s">
        <v>5044</v>
      </c>
      <c r="D429" s="710" t="s">
        <v>362</v>
      </c>
      <c r="E429" s="730" t="s">
        <v>4946</v>
      </c>
      <c r="F429" s="709" t="s">
        <v>5473</v>
      </c>
      <c r="G429" s="711">
        <v>45901</v>
      </c>
      <c r="H429" s="2997" t="s">
        <v>45</v>
      </c>
      <c r="I429" s="2997" t="s">
        <v>45</v>
      </c>
      <c r="J429" s="2997" t="s">
        <v>45</v>
      </c>
      <c r="K429" s="772" t="str">
        <f t="shared" si="16"/>
        <v/>
      </c>
      <c r="L429" s="711" t="s">
        <v>310</v>
      </c>
      <c r="M429" s="726" t="s">
        <v>60</v>
      </c>
    </row>
    <row r="430" spans="1:13" ht="23.15" customHeight="1">
      <c r="A430" s="707" t="s">
        <v>44</v>
      </c>
      <c r="B430" s="707">
        <v>76600</v>
      </c>
      <c r="C430" s="710" t="s">
        <v>5044</v>
      </c>
      <c r="D430" s="710" t="s">
        <v>569</v>
      </c>
      <c r="E430" s="710" t="s">
        <v>33</v>
      </c>
      <c r="F430" s="709" t="s">
        <v>5121</v>
      </c>
      <c r="G430" s="947">
        <v>45901</v>
      </c>
      <c r="H430" s="738">
        <v>60</v>
      </c>
      <c r="I430" s="884" t="s">
        <v>5122</v>
      </c>
      <c r="J430" s="772">
        <v>5399000</v>
      </c>
      <c r="K430" s="772">
        <f t="shared" si="16"/>
        <v>6478800</v>
      </c>
      <c r="L430" s="710" t="s">
        <v>70</v>
      </c>
      <c r="M430" s="731">
        <v>45132</v>
      </c>
    </row>
    <row r="431" spans="1:13" ht="23.15" customHeight="1">
      <c r="A431" s="707" t="s">
        <v>100</v>
      </c>
      <c r="B431" s="707">
        <v>52084</v>
      </c>
      <c r="C431" s="710" t="s">
        <v>122</v>
      </c>
      <c r="D431" s="710" t="s">
        <v>5217</v>
      </c>
      <c r="E431" s="710" t="s">
        <v>5060</v>
      </c>
      <c r="F431" s="709" t="s">
        <v>353</v>
      </c>
      <c r="G431" s="713">
        <v>45901</v>
      </c>
      <c r="H431" s="777">
        <v>96</v>
      </c>
      <c r="I431" s="777" t="s">
        <v>7068</v>
      </c>
      <c r="J431" s="772">
        <v>2800000</v>
      </c>
      <c r="K431" s="772">
        <f t="shared" si="16"/>
        <v>3360000</v>
      </c>
      <c r="L431" s="710" t="s">
        <v>70</v>
      </c>
      <c r="M431" s="711" t="s">
        <v>356</v>
      </c>
    </row>
    <row r="432" spans="1:13" ht="23.15" customHeight="1">
      <c r="A432" s="2995" t="s">
        <v>56</v>
      </c>
      <c r="B432" s="578" t="s">
        <v>5477</v>
      </c>
      <c r="C432" s="710" t="s">
        <v>630</v>
      </c>
      <c r="D432" s="710" t="s">
        <v>1360</v>
      </c>
      <c r="E432" s="710" t="s">
        <v>4959</v>
      </c>
      <c r="F432" s="2996" t="s">
        <v>5478</v>
      </c>
      <c r="G432" s="2997">
        <v>45903</v>
      </c>
      <c r="H432" s="578"/>
      <c r="I432" s="578"/>
      <c r="J432" s="772">
        <v>270000</v>
      </c>
      <c r="K432" s="772">
        <f t="shared" si="16"/>
        <v>324000</v>
      </c>
      <c r="L432" s="578"/>
      <c r="M432" s="578"/>
    </row>
    <row r="433" spans="1:13" ht="23.15" customHeight="1">
      <c r="A433" s="707" t="s">
        <v>44</v>
      </c>
      <c r="B433" s="738"/>
      <c r="C433" s="710" t="s">
        <v>5044</v>
      </c>
      <c r="D433" s="710" t="s">
        <v>569</v>
      </c>
      <c r="E433" s="730" t="s">
        <v>33</v>
      </c>
      <c r="F433" s="709" t="s">
        <v>5479</v>
      </c>
      <c r="G433" s="947">
        <v>45907</v>
      </c>
      <c r="H433" s="710" t="s">
        <v>45</v>
      </c>
      <c r="I433" s="710" t="s">
        <v>45</v>
      </c>
      <c r="J433" s="772" t="s">
        <v>45</v>
      </c>
      <c r="K433" s="772" t="str">
        <f t="shared" si="16"/>
        <v/>
      </c>
      <c r="L433" s="769" t="s">
        <v>62</v>
      </c>
      <c r="M433" s="769" t="s">
        <v>67</v>
      </c>
    </row>
    <row r="434" spans="1:13" ht="23.15" customHeight="1">
      <c r="A434" s="707" t="s">
        <v>44</v>
      </c>
      <c r="B434" s="738">
        <v>74949</v>
      </c>
      <c r="C434" s="710" t="s">
        <v>5044</v>
      </c>
      <c r="D434" s="710" t="s">
        <v>362</v>
      </c>
      <c r="E434" s="710" t="s">
        <v>4622</v>
      </c>
      <c r="F434" s="709" t="s">
        <v>5145</v>
      </c>
      <c r="G434" s="769">
        <v>45918</v>
      </c>
      <c r="H434" s="710">
        <v>48</v>
      </c>
      <c r="I434" s="710" t="s">
        <v>982</v>
      </c>
      <c r="J434" s="772">
        <v>760000</v>
      </c>
      <c r="K434" s="772">
        <f t="shared" si="16"/>
        <v>912000</v>
      </c>
      <c r="L434" s="710" t="s">
        <v>92</v>
      </c>
      <c r="M434" s="2731">
        <v>45014</v>
      </c>
    </row>
    <row r="435" spans="1:13" ht="23.15" customHeight="1">
      <c r="A435" s="726" t="s">
        <v>56</v>
      </c>
      <c r="B435" s="726" t="s">
        <v>60</v>
      </c>
      <c r="C435" s="710" t="s">
        <v>630</v>
      </c>
      <c r="D435" s="710" t="s">
        <v>1315</v>
      </c>
      <c r="E435" s="730" t="s">
        <v>1471</v>
      </c>
      <c r="F435" s="729" t="s">
        <v>5482</v>
      </c>
      <c r="G435" s="759">
        <v>45918</v>
      </c>
      <c r="H435" s="891">
        <v>180</v>
      </c>
      <c r="I435" s="891" t="s">
        <v>5483</v>
      </c>
      <c r="J435" s="772">
        <v>187500000</v>
      </c>
      <c r="K435" s="772">
        <f t="shared" si="16"/>
        <v>225000000</v>
      </c>
      <c r="L435" s="711" t="s">
        <v>310</v>
      </c>
      <c r="M435" s="711" t="s">
        <v>60</v>
      </c>
    </row>
    <row r="436" spans="1:13" ht="23.15" customHeight="1">
      <c r="A436" s="726" t="s">
        <v>56</v>
      </c>
      <c r="B436" s="707" t="s">
        <v>45</v>
      </c>
      <c r="C436" s="710" t="s">
        <v>630</v>
      </c>
      <c r="D436" s="710" t="s">
        <v>1315</v>
      </c>
      <c r="E436" s="730" t="s">
        <v>1471</v>
      </c>
      <c r="F436" s="729" t="s">
        <v>5481</v>
      </c>
      <c r="G436" s="759">
        <v>45918</v>
      </c>
      <c r="H436" s="891">
        <v>120</v>
      </c>
      <c r="I436" s="891" t="s">
        <v>60</v>
      </c>
      <c r="J436" s="772" t="s">
        <v>60</v>
      </c>
      <c r="K436" s="772" t="s">
        <v>60</v>
      </c>
      <c r="L436" s="711" t="s">
        <v>310</v>
      </c>
      <c r="M436" s="711" t="s">
        <v>60</v>
      </c>
    </row>
    <row r="437" spans="1:13" ht="23.15" customHeight="1">
      <c r="A437" s="2385" t="s">
        <v>44</v>
      </c>
      <c r="B437" s="2385" t="s">
        <v>5364</v>
      </c>
      <c r="C437" s="710" t="s">
        <v>5044</v>
      </c>
      <c r="D437" s="710" t="s">
        <v>362</v>
      </c>
      <c r="E437" s="710" t="s">
        <v>127</v>
      </c>
      <c r="F437" s="728" t="s">
        <v>7039</v>
      </c>
      <c r="G437" s="947">
        <v>45920</v>
      </c>
      <c r="H437" s="2385"/>
      <c r="I437" s="2385"/>
      <c r="J437" s="744"/>
      <c r="K437" s="772" t="str">
        <f>IF(ISNUMBER(J437),SUM(J437*20%)+J437,"")</f>
        <v/>
      </c>
      <c r="L437" s="744" t="s">
        <v>45</v>
      </c>
      <c r="M437" s="707" t="s">
        <v>45</v>
      </c>
    </row>
    <row r="438" spans="1:13" ht="23.15" customHeight="1">
      <c r="A438" s="726" t="s">
        <v>100</v>
      </c>
      <c r="B438" s="726" t="s">
        <v>60</v>
      </c>
      <c r="C438" s="710" t="s">
        <v>110</v>
      </c>
      <c r="D438" s="710" t="s">
        <v>1146</v>
      </c>
      <c r="E438" s="730" t="s">
        <v>4956</v>
      </c>
      <c r="F438" s="728" t="s">
        <v>5484</v>
      </c>
      <c r="G438" s="3031">
        <v>45925</v>
      </c>
      <c r="H438" s="730" t="s">
        <v>45</v>
      </c>
      <c r="I438" s="730" t="s">
        <v>45</v>
      </c>
      <c r="J438" s="772">
        <v>850000000</v>
      </c>
      <c r="K438" s="772">
        <f>IF(ISNUMBER(J438),SUM(J438*20%)+J438,"")</f>
        <v>1020000000</v>
      </c>
      <c r="L438" s="710" t="s">
        <v>70</v>
      </c>
      <c r="M438" s="3019" t="s">
        <v>7069</v>
      </c>
    </row>
    <row r="439" spans="1:13" ht="23.15" customHeight="1">
      <c r="A439" s="726" t="s">
        <v>56</v>
      </c>
      <c r="B439" s="726" t="s">
        <v>60</v>
      </c>
      <c r="C439" s="710" t="s">
        <v>630</v>
      </c>
      <c r="D439" s="710" t="s">
        <v>1360</v>
      </c>
      <c r="E439" s="730" t="s">
        <v>4946</v>
      </c>
      <c r="F439" s="709" t="s">
        <v>5103</v>
      </c>
      <c r="G439" s="711">
        <v>45930</v>
      </c>
      <c r="H439" s="893" t="s">
        <v>60</v>
      </c>
      <c r="I439" s="893" t="s">
        <v>60</v>
      </c>
      <c r="J439" s="772"/>
      <c r="K439" s="772" t="str">
        <f>IF(ISNUMBER(J439),SUM(J439*20%)+J439,"")</f>
        <v/>
      </c>
      <c r="L439" s="711" t="s">
        <v>62</v>
      </c>
      <c r="M439" s="726" t="s">
        <v>60</v>
      </c>
    </row>
    <row r="440" spans="1:13" ht="23.15" customHeight="1">
      <c r="A440" s="707" t="s">
        <v>100</v>
      </c>
      <c r="B440" s="707" t="s">
        <v>45</v>
      </c>
      <c r="C440" s="710" t="s">
        <v>110</v>
      </c>
      <c r="D440" s="710" t="s">
        <v>1146</v>
      </c>
      <c r="E440" s="710" t="s">
        <v>5058</v>
      </c>
      <c r="F440" s="709" t="s">
        <v>4335</v>
      </c>
      <c r="G440" s="947">
        <v>45931</v>
      </c>
      <c r="H440" s="710" t="s">
        <v>45</v>
      </c>
      <c r="I440" s="710" t="s">
        <v>45</v>
      </c>
      <c r="J440" s="772">
        <v>1939200</v>
      </c>
      <c r="K440" s="772">
        <f>IF(ISNUMBER(J440),SUM(J440*20%)+J440,"")</f>
        <v>2327040</v>
      </c>
      <c r="L440" s="710" t="s">
        <v>70</v>
      </c>
      <c r="M440" s="710" t="s">
        <v>45</v>
      </c>
    </row>
    <row r="441" spans="1:13" ht="23.15" customHeight="1">
      <c r="A441" s="707" t="s">
        <v>100</v>
      </c>
      <c r="B441" s="707" t="s">
        <v>45</v>
      </c>
      <c r="C441" s="710" t="s">
        <v>110</v>
      </c>
      <c r="D441" s="710" t="s">
        <v>5377</v>
      </c>
      <c r="E441" s="710" t="s">
        <v>5058</v>
      </c>
      <c r="F441" s="709" t="s">
        <v>4350</v>
      </c>
      <c r="G441" s="713">
        <v>45931</v>
      </c>
      <c r="H441" s="710" t="s">
        <v>45</v>
      </c>
      <c r="I441" s="710" t="s">
        <v>45</v>
      </c>
      <c r="J441" s="772">
        <v>403000</v>
      </c>
      <c r="K441" s="772">
        <f>IF(ISNUMBER(J441),SUM(J441*20%)+J441,"")</f>
        <v>483600</v>
      </c>
      <c r="L441" s="710" t="s">
        <v>45</v>
      </c>
      <c r="M441" s="711" t="s">
        <v>45</v>
      </c>
    </row>
    <row r="442" spans="1:13" ht="23.15" customHeight="1">
      <c r="A442" s="707" t="s">
        <v>100</v>
      </c>
      <c r="B442" s="707" t="s">
        <v>45</v>
      </c>
      <c r="C442" s="710" t="s">
        <v>110</v>
      </c>
      <c r="D442" s="710" t="s">
        <v>1146</v>
      </c>
      <c r="E442" s="710" t="s">
        <v>5058</v>
      </c>
      <c r="F442" s="709" t="s">
        <v>4344</v>
      </c>
      <c r="G442" s="713">
        <v>45931</v>
      </c>
      <c r="H442" s="707" t="s">
        <v>45</v>
      </c>
      <c r="I442" s="707" t="s">
        <v>45</v>
      </c>
      <c r="J442" s="772">
        <v>1727447.82</v>
      </c>
      <c r="K442" s="772">
        <v>1727448</v>
      </c>
      <c r="L442" s="710" t="s">
        <v>200</v>
      </c>
      <c r="M442" s="710" t="s">
        <v>45</v>
      </c>
    </row>
    <row r="443" spans="1:13" ht="23.15" customHeight="1">
      <c r="A443" s="707" t="s">
        <v>44</v>
      </c>
      <c r="B443" s="738" t="s">
        <v>4328</v>
      </c>
      <c r="C443" s="710" t="s">
        <v>5044</v>
      </c>
      <c r="D443" s="710" t="s">
        <v>569</v>
      </c>
      <c r="E443" s="710" t="s">
        <v>33</v>
      </c>
      <c r="F443" s="709" t="s">
        <v>4329</v>
      </c>
      <c r="G443" s="947">
        <v>45931</v>
      </c>
      <c r="H443" s="738" t="s">
        <v>45</v>
      </c>
      <c r="I443" s="738" t="s">
        <v>45</v>
      </c>
      <c r="J443" s="772"/>
      <c r="K443" s="772" t="str">
        <f t="shared" ref="K443:K459" si="17">IF(ISNUMBER(J443),SUM(J443*20%)+J443,"")</f>
        <v/>
      </c>
      <c r="L443" s="731" t="s">
        <v>62</v>
      </c>
      <c r="M443" s="731" t="s">
        <v>71</v>
      </c>
    </row>
    <row r="444" spans="1:13" ht="23.15" customHeight="1">
      <c r="A444" s="707" t="s">
        <v>100</v>
      </c>
      <c r="B444" s="707" t="s">
        <v>45</v>
      </c>
      <c r="C444" s="710" t="s">
        <v>5113</v>
      </c>
      <c r="D444" s="710" t="s">
        <v>1374</v>
      </c>
      <c r="E444" s="710" t="s">
        <v>5060</v>
      </c>
      <c r="F444" s="709" t="s">
        <v>5381</v>
      </c>
      <c r="G444" s="713">
        <v>45931</v>
      </c>
      <c r="H444" s="707">
        <v>36</v>
      </c>
      <c r="I444" s="707">
        <v>36</v>
      </c>
      <c r="J444" s="772">
        <v>240000</v>
      </c>
      <c r="K444" s="772">
        <f t="shared" si="17"/>
        <v>288000</v>
      </c>
      <c r="L444" s="710" t="s">
        <v>70</v>
      </c>
      <c r="M444" s="711" t="s">
        <v>45</v>
      </c>
    </row>
    <row r="445" spans="1:13" ht="23.15" customHeight="1">
      <c r="A445" s="707" t="s">
        <v>44</v>
      </c>
      <c r="B445" s="738" t="s">
        <v>45</v>
      </c>
      <c r="C445" s="710" t="s">
        <v>5044</v>
      </c>
      <c r="D445" s="710" t="s">
        <v>569</v>
      </c>
      <c r="E445" s="710" t="s">
        <v>33</v>
      </c>
      <c r="F445" s="709" t="s">
        <v>400</v>
      </c>
      <c r="G445" s="947">
        <v>45931</v>
      </c>
      <c r="H445" s="738" t="s">
        <v>45</v>
      </c>
      <c r="I445" s="903" t="s">
        <v>45</v>
      </c>
      <c r="J445" s="772" t="s">
        <v>45</v>
      </c>
      <c r="K445" s="772" t="str">
        <f t="shared" si="17"/>
        <v/>
      </c>
      <c r="L445" s="710" t="s">
        <v>45</v>
      </c>
      <c r="M445" s="738" t="s">
        <v>71</v>
      </c>
    </row>
    <row r="446" spans="1:13" ht="23.15" customHeight="1">
      <c r="A446" s="726" t="s">
        <v>56</v>
      </c>
      <c r="B446" s="726" t="s">
        <v>60</v>
      </c>
      <c r="C446" s="710" t="s">
        <v>630</v>
      </c>
      <c r="D446" s="710" t="s">
        <v>1360</v>
      </c>
      <c r="E446" s="730" t="s">
        <v>4959</v>
      </c>
      <c r="F446" s="709" t="s">
        <v>3499</v>
      </c>
      <c r="G446" s="711">
        <v>45931</v>
      </c>
      <c r="H446" s="893">
        <v>84</v>
      </c>
      <c r="I446" s="893" t="s">
        <v>112</v>
      </c>
      <c r="J446" s="772">
        <v>980000</v>
      </c>
      <c r="K446" s="772">
        <f t="shared" si="17"/>
        <v>1176000</v>
      </c>
      <c r="L446" s="711" t="s">
        <v>310</v>
      </c>
      <c r="M446" s="711" t="s">
        <v>60</v>
      </c>
    </row>
    <row r="447" spans="1:13" ht="23.15" customHeight="1">
      <c r="A447" s="707" t="s">
        <v>44</v>
      </c>
      <c r="B447" s="738">
        <v>53588</v>
      </c>
      <c r="C447" s="710" t="s">
        <v>5044</v>
      </c>
      <c r="D447" s="710" t="s">
        <v>362</v>
      </c>
      <c r="E447" s="710" t="s">
        <v>4962</v>
      </c>
      <c r="F447" s="709" t="s">
        <v>364</v>
      </c>
      <c r="G447" s="947">
        <v>45962</v>
      </c>
      <c r="H447" s="738">
        <v>48</v>
      </c>
      <c r="I447" s="738" t="s">
        <v>215</v>
      </c>
      <c r="J447" s="772">
        <v>135599</v>
      </c>
      <c r="K447" s="772">
        <f t="shared" si="17"/>
        <v>162718.79999999999</v>
      </c>
      <c r="L447" s="710" t="s">
        <v>62</v>
      </c>
      <c r="M447" s="738" t="s">
        <v>71</v>
      </c>
    </row>
    <row r="448" spans="1:13" ht="23.15" customHeight="1">
      <c r="A448" s="3022" t="s">
        <v>44</v>
      </c>
      <c r="B448" s="2385" t="s">
        <v>5390</v>
      </c>
      <c r="C448" s="730" t="s">
        <v>5044</v>
      </c>
      <c r="D448" s="710" t="s">
        <v>569</v>
      </c>
      <c r="E448" s="730" t="s">
        <v>33</v>
      </c>
      <c r="F448" s="728" t="s">
        <v>5391</v>
      </c>
      <c r="G448" s="712">
        <v>45965</v>
      </c>
      <c r="H448" s="3032"/>
      <c r="I448" s="3032"/>
      <c r="J448" s="3009"/>
      <c r="K448" s="772" t="str">
        <f t="shared" si="17"/>
        <v/>
      </c>
      <c r="L448" s="2385" t="s">
        <v>45</v>
      </c>
      <c r="M448" s="2385"/>
    </row>
    <row r="449" spans="1:13" ht="23.15" customHeight="1">
      <c r="A449" s="707" t="s">
        <v>44</v>
      </c>
      <c r="B449" s="710">
        <v>34436</v>
      </c>
      <c r="C449" s="710" t="s">
        <v>5044</v>
      </c>
      <c r="D449" s="710" t="s">
        <v>569</v>
      </c>
      <c r="E449" s="710" t="s">
        <v>33</v>
      </c>
      <c r="F449" s="709" t="s">
        <v>5393</v>
      </c>
      <c r="G449" s="947">
        <v>45966</v>
      </c>
      <c r="H449" s="710">
        <v>48</v>
      </c>
      <c r="I449" s="710" t="s">
        <v>1427</v>
      </c>
      <c r="J449" s="772">
        <v>136000</v>
      </c>
      <c r="K449" s="772">
        <f t="shared" si="17"/>
        <v>163200</v>
      </c>
      <c r="L449" s="710" t="s">
        <v>62</v>
      </c>
      <c r="M449" s="738" t="s">
        <v>67</v>
      </c>
    </row>
    <row r="450" spans="1:13" ht="23.15" customHeight="1">
      <c r="A450" s="707" t="s">
        <v>100</v>
      </c>
      <c r="B450" s="707" t="s">
        <v>45</v>
      </c>
      <c r="C450" s="710" t="s">
        <v>110</v>
      </c>
      <c r="D450" s="710" t="s">
        <v>450</v>
      </c>
      <c r="E450" s="710" t="s">
        <v>4995</v>
      </c>
      <c r="F450" s="709" t="s">
        <v>451</v>
      </c>
      <c r="G450" s="712">
        <v>45989</v>
      </c>
      <c r="H450" s="707">
        <v>36</v>
      </c>
      <c r="I450" s="707">
        <v>36</v>
      </c>
      <c r="J450" s="772">
        <v>150000</v>
      </c>
      <c r="K450" s="772">
        <f t="shared" si="17"/>
        <v>180000</v>
      </c>
      <c r="L450" s="710" t="s">
        <v>62</v>
      </c>
      <c r="M450" s="710" t="s">
        <v>71</v>
      </c>
    </row>
    <row r="451" spans="1:13" ht="23.15" customHeight="1">
      <c r="A451" s="707" t="s">
        <v>44</v>
      </c>
      <c r="B451" s="738"/>
      <c r="C451" s="710" t="s">
        <v>5044</v>
      </c>
      <c r="D451" s="710" t="s">
        <v>569</v>
      </c>
      <c r="E451" s="710" t="s">
        <v>33</v>
      </c>
      <c r="F451" s="709" t="s">
        <v>5486</v>
      </c>
      <c r="G451" s="947">
        <v>46000</v>
      </c>
      <c r="H451" s="738" t="s">
        <v>45</v>
      </c>
      <c r="I451" s="884" t="s">
        <v>45</v>
      </c>
      <c r="J451" s="772" t="s">
        <v>45</v>
      </c>
      <c r="K451" s="772" t="str">
        <f t="shared" si="17"/>
        <v/>
      </c>
      <c r="L451" s="744" t="s">
        <v>70</v>
      </c>
      <c r="M451" s="770" t="s">
        <v>45</v>
      </c>
    </row>
    <row r="452" spans="1:13" ht="23.15" customHeight="1">
      <c r="A452" s="707" t="s">
        <v>44</v>
      </c>
      <c r="B452" s="738">
        <v>39509</v>
      </c>
      <c r="C452" s="710" t="s">
        <v>5044</v>
      </c>
      <c r="D452" s="710" t="s">
        <v>569</v>
      </c>
      <c r="E452" s="710" t="s">
        <v>33</v>
      </c>
      <c r="F452" s="709" t="s">
        <v>477</v>
      </c>
      <c r="G452" s="947">
        <v>46015</v>
      </c>
      <c r="H452" s="738" t="s">
        <v>45</v>
      </c>
      <c r="I452" s="884" t="s">
        <v>45</v>
      </c>
      <c r="J452" s="772" t="s">
        <v>45</v>
      </c>
      <c r="K452" s="772" t="str">
        <f t="shared" si="17"/>
        <v/>
      </c>
      <c r="L452" s="731" t="s">
        <v>62</v>
      </c>
      <c r="M452" s="731" t="s">
        <v>67</v>
      </c>
    </row>
    <row r="453" spans="1:13" ht="23.15" customHeight="1">
      <c r="A453" s="707" t="s">
        <v>44</v>
      </c>
      <c r="B453" s="707" t="s">
        <v>3577</v>
      </c>
      <c r="C453" s="710" t="s">
        <v>5044</v>
      </c>
      <c r="D453" s="730" t="s">
        <v>1440</v>
      </c>
      <c r="E453" s="710" t="s">
        <v>127</v>
      </c>
      <c r="F453" s="709" t="s">
        <v>3578</v>
      </c>
      <c r="G453" s="947">
        <v>46023</v>
      </c>
      <c r="H453" s="710">
        <v>84</v>
      </c>
      <c r="I453" s="710" t="s">
        <v>5488</v>
      </c>
      <c r="J453" s="772">
        <v>700000</v>
      </c>
      <c r="K453" s="772">
        <f t="shared" si="17"/>
        <v>840000</v>
      </c>
      <c r="L453" s="710" t="s">
        <v>62</v>
      </c>
      <c r="M453" s="738" t="s">
        <v>67</v>
      </c>
    </row>
    <row r="454" spans="1:13" ht="23.15" customHeight="1">
      <c r="A454" s="707" t="s">
        <v>44</v>
      </c>
      <c r="B454" s="738">
        <v>36238</v>
      </c>
      <c r="C454" s="710" t="s">
        <v>5044</v>
      </c>
      <c r="D454" s="710" t="s">
        <v>569</v>
      </c>
      <c r="E454" s="710" t="s">
        <v>33</v>
      </c>
      <c r="F454" s="709" t="s">
        <v>5493</v>
      </c>
      <c r="G454" s="947">
        <v>46082</v>
      </c>
      <c r="H454" s="738">
        <v>60</v>
      </c>
      <c r="I454" s="884" t="s">
        <v>5228</v>
      </c>
      <c r="J454" s="772">
        <v>620000</v>
      </c>
      <c r="K454" s="772">
        <f t="shared" si="17"/>
        <v>744000</v>
      </c>
      <c r="L454" s="710" t="s">
        <v>70</v>
      </c>
      <c r="M454" s="770">
        <v>44691</v>
      </c>
    </row>
    <row r="455" spans="1:13" ht="23.15" customHeight="1">
      <c r="A455" s="707" t="s">
        <v>44</v>
      </c>
      <c r="B455" s="738" t="s">
        <v>45</v>
      </c>
      <c r="C455" s="710" t="s">
        <v>5044</v>
      </c>
      <c r="D455" s="710" t="s">
        <v>569</v>
      </c>
      <c r="E455" s="710" t="s">
        <v>33</v>
      </c>
      <c r="F455" s="709" t="s">
        <v>5492</v>
      </c>
      <c r="G455" s="947">
        <v>46082</v>
      </c>
      <c r="H455" s="738" t="s">
        <v>45</v>
      </c>
      <c r="I455" s="884" t="s">
        <v>45</v>
      </c>
      <c r="J455" s="772">
        <v>64000</v>
      </c>
      <c r="K455" s="772">
        <f t="shared" si="17"/>
        <v>76800</v>
      </c>
      <c r="L455" s="796" t="s">
        <v>62</v>
      </c>
      <c r="M455" s="738" t="s">
        <v>71</v>
      </c>
    </row>
    <row r="456" spans="1:13" ht="23.15" customHeight="1">
      <c r="A456" s="707" t="s">
        <v>44</v>
      </c>
      <c r="B456" s="738" t="s">
        <v>45</v>
      </c>
      <c r="C456" s="710" t="s">
        <v>5044</v>
      </c>
      <c r="D456" s="710" t="s">
        <v>569</v>
      </c>
      <c r="E456" s="710" t="s">
        <v>33</v>
      </c>
      <c r="F456" s="709" t="s">
        <v>5496</v>
      </c>
      <c r="G456" s="947">
        <v>46103</v>
      </c>
      <c r="H456" s="738" t="s">
        <v>45</v>
      </c>
      <c r="I456" s="738" t="s">
        <v>45</v>
      </c>
      <c r="J456" s="772" t="s">
        <v>45</v>
      </c>
      <c r="K456" s="772" t="str">
        <f t="shared" si="17"/>
        <v/>
      </c>
      <c r="L456" s="710" t="s">
        <v>62</v>
      </c>
      <c r="M456" s="738" t="s">
        <v>67</v>
      </c>
    </row>
    <row r="457" spans="1:13" ht="23.15" customHeight="1">
      <c r="A457" s="707" t="s">
        <v>44</v>
      </c>
      <c r="B457" s="738" t="s">
        <v>45</v>
      </c>
      <c r="C457" s="710" t="s">
        <v>630</v>
      </c>
      <c r="D457" s="710" t="s">
        <v>569</v>
      </c>
      <c r="E457" s="2385" t="s">
        <v>33</v>
      </c>
      <c r="F457" s="709" t="s">
        <v>3768</v>
      </c>
      <c r="G457" s="947">
        <v>46112</v>
      </c>
      <c r="H457" s="738" t="s">
        <v>45</v>
      </c>
      <c r="I457" s="903" t="s">
        <v>45</v>
      </c>
      <c r="J457" s="772" t="s">
        <v>45</v>
      </c>
      <c r="K457" s="772" t="str">
        <f t="shared" si="17"/>
        <v/>
      </c>
      <c r="L457" s="710" t="s">
        <v>45</v>
      </c>
      <c r="M457" s="738" t="s">
        <v>45</v>
      </c>
    </row>
    <row r="458" spans="1:13" ht="23.15" customHeight="1">
      <c r="A458" s="707" t="s">
        <v>44</v>
      </c>
      <c r="B458" s="738"/>
      <c r="C458" s="710" t="s">
        <v>5044</v>
      </c>
      <c r="D458" s="710" t="s">
        <v>569</v>
      </c>
      <c r="E458" s="730" t="s">
        <v>33</v>
      </c>
      <c r="F458" s="728" t="s">
        <v>5501</v>
      </c>
      <c r="G458" s="947">
        <v>46113</v>
      </c>
      <c r="H458" s="730"/>
      <c r="I458" s="730"/>
      <c r="J458" s="772"/>
      <c r="K458" s="772" t="str">
        <f t="shared" si="17"/>
        <v/>
      </c>
      <c r="L458" s="710" t="s">
        <v>70</v>
      </c>
      <c r="M458" s="770" t="s">
        <v>5503</v>
      </c>
    </row>
    <row r="459" spans="1:13" ht="23.15" customHeight="1">
      <c r="A459" s="707" t="s">
        <v>44</v>
      </c>
      <c r="B459" s="707">
        <v>73120</v>
      </c>
      <c r="C459" s="710" t="s">
        <v>5044</v>
      </c>
      <c r="D459" s="710" t="s">
        <v>362</v>
      </c>
      <c r="E459" s="710" t="s">
        <v>80</v>
      </c>
      <c r="F459" s="709" t="s">
        <v>5499</v>
      </c>
      <c r="G459" s="947">
        <v>46113</v>
      </c>
      <c r="H459" s="738">
        <v>60</v>
      </c>
      <c r="I459" s="707" t="s">
        <v>7070</v>
      </c>
      <c r="J459" s="772">
        <v>6560000</v>
      </c>
      <c r="K459" s="772">
        <f t="shared" si="17"/>
        <v>7872000</v>
      </c>
      <c r="L459" s="744" t="s">
        <v>70</v>
      </c>
      <c r="M459" s="711">
        <v>44896</v>
      </c>
    </row>
    <row r="460" spans="1:13" ht="23.15" customHeight="1">
      <c r="A460" s="707" t="s">
        <v>100</v>
      </c>
      <c r="B460" s="707" t="s">
        <v>45</v>
      </c>
      <c r="C460" s="710" t="s">
        <v>110</v>
      </c>
      <c r="D460" s="710" t="s">
        <v>1146</v>
      </c>
      <c r="E460" s="710" t="s">
        <v>5058</v>
      </c>
      <c r="F460" s="709" t="s">
        <v>5421</v>
      </c>
      <c r="G460" s="769">
        <v>45748</v>
      </c>
      <c r="H460" s="710" t="s">
        <v>45</v>
      </c>
      <c r="I460" s="707" t="s">
        <v>45</v>
      </c>
      <c r="J460" s="772" t="s">
        <v>45</v>
      </c>
      <c r="K460" s="772"/>
      <c r="L460" s="710" t="s">
        <v>70</v>
      </c>
      <c r="M460" s="738" t="s">
        <v>45</v>
      </c>
    </row>
    <row r="461" spans="1:13" ht="23.15" customHeight="1">
      <c r="A461" s="707" t="s">
        <v>44</v>
      </c>
      <c r="B461" s="738" t="s">
        <v>45</v>
      </c>
      <c r="C461" s="730" t="s">
        <v>5044</v>
      </c>
      <c r="D461" s="710" t="s">
        <v>569</v>
      </c>
      <c r="E461" s="710" t="s">
        <v>33</v>
      </c>
      <c r="F461" s="709" t="s">
        <v>90</v>
      </c>
      <c r="G461" s="947">
        <v>46113</v>
      </c>
      <c r="H461" s="710" t="s">
        <v>45</v>
      </c>
      <c r="I461" s="884" t="s">
        <v>45</v>
      </c>
      <c r="J461" s="772" t="s">
        <v>45</v>
      </c>
      <c r="K461" s="772" t="str">
        <f t="shared" ref="K461:K471" si="18">IF(ISNUMBER(J461),SUM(J461*20%)+J461,"")</f>
        <v/>
      </c>
      <c r="L461" s="710" t="s">
        <v>45</v>
      </c>
      <c r="M461" s="710" t="s">
        <v>45</v>
      </c>
    </row>
    <row r="462" spans="1:13" ht="23.15" customHeight="1">
      <c r="A462" s="707" t="s">
        <v>44</v>
      </c>
      <c r="B462" s="738"/>
      <c r="C462" s="710" t="s">
        <v>5044</v>
      </c>
      <c r="D462" s="710" t="s">
        <v>362</v>
      </c>
      <c r="E462" s="710" t="s">
        <v>80</v>
      </c>
      <c r="F462" s="709" t="s">
        <v>157</v>
      </c>
      <c r="G462" s="947">
        <v>46113</v>
      </c>
      <c r="H462" s="738" t="s">
        <v>45</v>
      </c>
      <c r="I462" s="707" t="s">
        <v>45</v>
      </c>
      <c r="J462" s="772" t="s">
        <v>45</v>
      </c>
      <c r="K462" s="772" t="str">
        <f t="shared" si="18"/>
        <v/>
      </c>
      <c r="L462" s="744" t="s">
        <v>70</v>
      </c>
      <c r="M462" s="711" t="s">
        <v>45</v>
      </c>
    </row>
    <row r="463" spans="1:13" ht="23.15" customHeight="1">
      <c r="A463" s="707" t="s">
        <v>44</v>
      </c>
      <c r="B463" s="738" t="s">
        <v>45</v>
      </c>
      <c r="C463" s="710" t="s">
        <v>630</v>
      </c>
      <c r="D463" s="710" t="s">
        <v>1360</v>
      </c>
      <c r="E463" s="710" t="s">
        <v>4622</v>
      </c>
      <c r="F463" s="709" t="s">
        <v>403</v>
      </c>
      <c r="G463" s="947">
        <v>46113</v>
      </c>
      <c r="H463" s="738" t="s">
        <v>45</v>
      </c>
      <c r="I463" s="710" t="s">
        <v>45</v>
      </c>
      <c r="J463" s="772" t="s">
        <v>45</v>
      </c>
      <c r="K463" s="772" t="str">
        <f t="shared" si="18"/>
        <v/>
      </c>
      <c r="L463" s="731" t="s">
        <v>45</v>
      </c>
      <c r="M463" s="731"/>
    </row>
    <row r="464" spans="1:13" ht="23.15" customHeight="1">
      <c r="A464" s="707" t="s">
        <v>44</v>
      </c>
      <c r="B464" s="738" t="s">
        <v>45</v>
      </c>
      <c r="C464" s="710" t="s">
        <v>5044</v>
      </c>
      <c r="D464" s="710" t="s">
        <v>569</v>
      </c>
      <c r="E464" s="710" t="s">
        <v>33</v>
      </c>
      <c r="F464" s="709" t="s">
        <v>5505</v>
      </c>
      <c r="G464" s="947">
        <v>46113</v>
      </c>
      <c r="H464" s="738">
        <v>60</v>
      </c>
      <c r="I464" s="884" t="s">
        <v>1871</v>
      </c>
      <c r="J464" s="772">
        <v>126755.93</v>
      </c>
      <c r="K464" s="772">
        <f t="shared" si="18"/>
        <v>152107.11599999998</v>
      </c>
      <c r="L464" s="710" t="s">
        <v>62</v>
      </c>
      <c r="M464" s="738" t="s">
        <v>71</v>
      </c>
    </row>
    <row r="465" spans="1:13" ht="23.15" customHeight="1">
      <c r="A465" s="2995" t="s">
        <v>44</v>
      </c>
      <c r="B465" s="578" t="s">
        <v>5506</v>
      </c>
      <c r="C465" s="710" t="s">
        <v>5044</v>
      </c>
      <c r="D465" s="710" t="s">
        <v>362</v>
      </c>
      <c r="E465" s="710" t="s">
        <v>33</v>
      </c>
      <c r="F465" s="2996" t="s">
        <v>5507</v>
      </c>
      <c r="G465" s="2997">
        <v>46113</v>
      </c>
      <c r="H465" s="578">
        <v>36</v>
      </c>
      <c r="I465" s="578" t="s">
        <v>160</v>
      </c>
      <c r="J465" s="772">
        <v>123280</v>
      </c>
      <c r="K465" s="772">
        <f t="shared" si="18"/>
        <v>147936</v>
      </c>
      <c r="L465" s="744" t="s">
        <v>45</v>
      </c>
      <c r="M465" s="707" t="s">
        <v>45</v>
      </c>
    </row>
    <row r="466" spans="1:13" ht="23.15" customHeight="1">
      <c r="A466" s="707" t="s">
        <v>44</v>
      </c>
      <c r="B466" s="738">
        <v>73132</v>
      </c>
      <c r="C466" s="710" t="s">
        <v>5044</v>
      </c>
      <c r="D466" s="730" t="s">
        <v>1440</v>
      </c>
      <c r="E466" s="710" t="s">
        <v>127</v>
      </c>
      <c r="F466" s="709" t="s">
        <v>4324</v>
      </c>
      <c r="G466" s="769">
        <v>46113</v>
      </c>
      <c r="H466" s="730">
        <v>66</v>
      </c>
      <c r="I466" s="730" t="s">
        <v>5497</v>
      </c>
      <c r="J466" s="3033">
        <v>44465759</v>
      </c>
      <c r="K466" s="772">
        <f t="shared" si="18"/>
        <v>53358910.799999997</v>
      </c>
      <c r="L466" s="744" t="s">
        <v>62</v>
      </c>
      <c r="M466" s="770" t="s">
        <v>5498</v>
      </c>
    </row>
    <row r="467" spans="1:13" ht="23.15" customHeight="1">
      <c r="A467" s="707" t="s">
        <v>44</v>
      </c>
      <c r="B467" s="730">
        <v>64684</v>
      </c>
      <c r="C467" s="710" t="s">
        <v>5044</v>
      </c>
      <c r="D467" s="710" t="s">
        <v>569</v>
      </c>
      <c r="E467" s="710" t="s">
        <v>33</v>
      </c>
      <c r="F467" s="709" t="s">
        <v>1336</v>
      </c>
      <c r="G467" s="769">
        <v>46113</v>
      </c>
      <c r="H467" s="738">
        <v>48</v>
      </c>
      <c r="I467" s="884" t="s">
        <v>4967</v>
      </c>
      <c r="J467" s="772">
        <v>121712.8</v>
      </c>
      <c r="K467" s="772">
        <f t="shared" si="18"/>
        <v>146055.36000000002</v>
      </c>
      <c r="L467" s="710" t="s">
        <v>62</v>
      </c>
      <c r="M467" s="770" t="s">
        <v>67</v>
      </c>
    </row>
    <row r="468" spans="1:13" ht="23.15" customHeight="1">
      <c r="A468" s="707" t="s">
        <v>44</v>
      </c>
      <c r="B468" s="738">
        <v>26112</v>
      </c>
      <c r="C468" s="707" t="s">
        <v>5044</v>
      </c>
      <c r="D468" s="710" t="s">
        <v>569</v>
      </c>
      <c r="E468" s="710" t="s">
        <v>33</v>
      </c>
      <c r="F468" s="709" t="s">
        <v>5268</v>
      </c>
      <c r="G468" s="3021">
        <v>46113</v>
      </c>
      <c r="H468" s="893">
        <v>72</v>
      </c>
      <c r="I468" s="893" t="s">
        <v>7071</v>
      </c>
      <c r="J468" s="772">
        <v>93775.3</v>
      </c>
      <c r="K468" s="772">
        <f t="shared" si="18"/>
        <v>112530.36</v>
      </c>
      <c r="L468" s="710" t="s">
        <v>62</v>
      </c>
      <c r="M468" s="738" t="s">
        <v>67</v>
      </c>
    </row>
    <row r="469" spans="1:13" ht="23.15" customHeight="1">
      <c r="A469" s="707" t="s">
        <v>44</v>
      </c>
      <c r="B469" s="738" t="s">
        <v>2637</v>
      </c>
      <c r="C469" s="710" t="s">
        <v>5044</v>
      </c>
      <c r="D469" s="710" t="s">
        <v>569</v>
      </c>
      <c r="E469" s="710" t="s">
        <v>33</v>
      </c>
      <c r="F469" s="709" t="s">
        <v>2526</v>
      </c>
      <c r="G469" s="947">
        <v>46113</v>
      </c>
      <c r="H469" s="738">
        <v>120</v>
      </c>
      <c r="I469" s="738" t="s">
        <v>7072</v>
      </c>
      <c r="J469" s="772">
        <v>915000</v>
      </c>
      <c r="K469" s="772">
        <f t="shared" si="18"/>
        <v>1098000</v>
      </c>
      <c r="L469" s="769" t="s">
        <v>70</v>
      </c>
      <c r="M469" s="769" t="s">
        <v>45</v>
      </c>
    </row>
    <row r="470" spans="1:13" ht="23.15" customHeight="1">
      <c r="A470" s="707" t="s">
        <v>100</v>
      </c>
      <c r="B470" s="707" t="s">
        <v>45</v>
      </c>
      <c r="C470" s="710" t="s">
        <v>122</v>
      </c>
      <c r="D470" s="710" t="s">
        <v>1163</v>
      </c>
      <c r="E470" s="710" t="s">
        <v>5060</v>
      </c>
      <c r="F470" s="709" t="s">
        <v>5242</v>
      </c>
      <c r="G470" s="713">
        <v>46113</v>
      </c>
      <c r="H470" s="777" t="s">
        <v>45</v>
      </c>
      <c r="I470" s="777" t="s">
        <v>45</v>
      </c>
      <c r="J470" s="772" t="s">
        <v>45</v>
      </c>
      <c r="K470" s="772" t="str">
        <f t="shared" si="18"/>
        <v/>
      </c>
      <c r="L470" s="710" t="s">
        <v>45</v>
      </c>
      <c r="M470" s="710" t="s">
        <v>45</v>
      </c>
    </row>
    <row r="471" spans="1:13" ht="23.15" customHeight="1">
      <c r="A471" s="707" t="s">
        <v>44</v>
      </c>
      <c r="B471" s="738">
        <v>67809</v>
      </c>
      <c r="C471" s="710" t="s">
        <v>5044</v>
      </c>
      <c r="D471" s="710" t="s">
        <v>569</v>
      </c>
      <c r="E471" s="710" t="s">
        <v>33</v>
      </c>
      <c r="F471" s="709" t="s">
        <v>140</v>
      </c>
      <c r="G471" s="769">
        <v>46113</v>
      </c>
      <c r="H471" s="710">
        <v>48</v>
      </c>
      <c r="I471" s="884" t="s">
        <v>4967</v>
      </c>
      <c r="J471" s="772">
        <v>150400</v>
      </c>
      <c r="K471" s="772">
        <f t="shared" si="18"/>
        <v>180480</v>
      </c>
      <c r="L471" s="710" t="s">
        <v>62</v>
      </c>
      <c r="M471" s="738" t="s">
        <v>70</v>
      </c>
    </row>
    <row r="472" spans="1:13" ht="23.15" customHeight="1">
      <c r="A472" s="707" t="s">
        <v>44</v>
      </c>
      <c r="B472" s="707" t="s">
        <v>45</v>
      </c>
      <c r="C472" s="710" t="s">
        <v>5044</v>
      </c>
      <c r="D472" s="710" t="s">
        <v>362</v>
      </c>
      <c r="E472" s="710" t="s">
        <v>80</v>
      </c>
      <c r="F472" s="709" t="s">
        <v>4457</v>
      </c>
      <c r="G472" s="769">
        <v>46113</v>
      </c>
      <c r="H472" s="710" t="s">
        <v>45</v>
      </c>
      <c r="I472" s="710" t="s">
        <v>45</v>
      </c>
      <c r="J472" s="772" t="s">
        <v>45</v>
      </c>
      <c r="K472" s="772" t="s">
        <v>45</v>
      </c>
      <c r="L472" s="710" t="s">
        <v>70</v>
      </c>
      <c r="M472" s="770" t="s">
        <v>45</v>
      </c>
    </row>
    <row r="473" spans="1:13" ht="23.15" customHeight="1">
      <c r="A473" s="707" t="s">
        <v>44</v>
      </c>
      <c r="B473" s="738" t="s">
        <v>45</v>
      </c>
      <c r="C473" s="710" t="s">
        <v>5044</v>
      </c>
      <c r="D473" s="730" t="s">
        <v>1440</v>
      </c>
      <c r="E473" s="710" t="s">
        <v>127</v>
      </c>
      <c r="F473" s="709" t="s">
        <v>5013</v>
      </c>
      <c r="G473" s="947">
        <v>46113</v>
      </c>
      <c r="H473" s="710">
        <v>60</v>
      </c>
      <c r="I473" s="884" t="s">
        <v>5228</v>
      </c>
      <c r="J473" s="772">
        <v>109665</v>
      </c>
      <c r="K473" s="772">
        <f t="shared" ref="K473:K498" si="19">IF(ISNUMBER(J473),SUM(J473*20%)+J473,"")</f>
        <v>131598</v>
      </c>
      <c r="L473" s="710" t="s">
        <v>67</v>
      </c>
      <c r="M473" s="731" t="s">
        <v>67</v>
      </c>
    </row>
    <row r="474" spans="1:13" ht="23.15" customHeight="1">
      <c r="A474" s="707" t="s">
        <v>44</v>
      </c>
      <c r="B474" s="738">
        <v>68239</v>
      </c>
      <c r="C474" s="710" t="s">
        <v>5044</v>
      </c>
      <c r="D474" s="710" t="s">
        <v>569</v>
      </c>
      <c r="E474" s="710" t="s">
        <v>33</v>
      </c>
      <c r="F474" s="709" t="s">
        <v>493</v>
      </c>
      <c r="G474" s="947">
        <v>46113</v>
      </c>
      <c r="H474" s="738">
        <v>48</v>
      </c>
      <c r="I474" s="738" t="s">
        <v>4967</v>
      </c>
      <c r="J474" s="772">
        <v>132000</v>
      </c>
      <c r="K474" s="772">
        <f t="shared" si="19"/>
        <v>158400</v>
      </c>
      <c r="L474" s="710" t="s">
        <v>1399</v>
      </c>
      <c r="M474" s="738" t="s">
        <v>67</v>
      </c>
    </row>
    <row r="475" spans="1:13" ht="23.15" customHeight="1">
      <c r="A475" s="707" t="s">
        <v>44</v>
      </c>
      <c r="B475" s="738" t="s">
        <v>45</v>
      </c>
      <c r="C475" s="710" t="s">
        <v>5044</v>
      </c>
      <c r="D475" s="710" t="s">
        <v>569</v>
      </c>
      <c r="E475" s="710" t="s">
        <v>33</v>
      </c>
      <c r="F475" s="709" t="s">
        <v>222</v>
      </c>
      <c r="G475" s="947">
        <v>46119</v>
      </c>
      <c r="H475" s="738">
        <v>48</v>
      </c>
      <c r="I475" s="884" t="s">
        <v>258</v>
      </c>
      <c r="J475" s="772">
        <v>96000</v>
      </c>
      <c r="K475" s="772">
        <f t="shared" si="19"/>
        <v>115200</v>
      </c>
      <c r="L475" s="710" t="s">
        <v>62</v>
      </c>
      <c r="M475" s="738" t="s">
        <v>70</v>
      </c>
    </row>
    <row r="476" spans="1:13" ht="23.15" customHeight="1">
      <c r="A476" s="707" t="s">
        <v>44</v>
      </c>
      <c r="B476" s="738" t="s">
        <v>45</v>
      </c>
      <c r="C476" s="710" t="s">
        <v>630</v>
      </c>
      <c r="D476" s="710" t="s">
        <v>569</v>
      </c>
      <c r="E476" s="710" t="s">
        <v>33</v>
      </c>
      <c r="F476" s="709" t="s">
        <v>226</v>
      </c>
      <c r="G476" s="947">
        <v>46132</v>
      </c>
      <c r="H476" s="707" t="s">
        <v>45</v>
      </c>
      <c r="I476" s="707" t="s">
        <v>45</v>
      </c>
      <c r="J476" s="772" t="s">
        <v>45</v>
      </c>
      <c r="K476" s="772" t="str">
        <f t="shared" si="19"/>
        <v/>
      </c>
      <c r="L476" s="744" t="s">
        <v>45</v>
      </c>
      <c r="M476" s="738" t="s">
        <v>71</v>
      </c>
    </row>
    <row r="477" spans="1:13" ht="23.15" customHeight="1">
      <c r="A477" s="726" t="s">
        <v>647</v>
      </c>
      <c r="B477" s="726" t="s">
        <v>60</v>
      </c>
      <c r="C477" s="710" t="s">
        <v>647</v>
      </c>
      <c r="D477" s="577" t="s">
        <v>647</v>
      </c>
      <c r="E477" s="730" t="s">
        <v>5077</v>
      </c>
      <c r="F477" s="729" t="s">
        <v>5514</v>
      </c>
      <c r="G477" s="759">
        <v>46143</v>
      </c>
      <c r="H477" s="891">
        <v>48</v>
      </c>
      <c r="I477" s="891" t="s">
        <v>215</v>
      </c>
      <c r="J477" s="772">
        <v>240000</v>
      </c>
      <c r="K477" s="772">
        <f t="shared" si="19"/>
        <v>288000</v>
      </c>
      <c r="L477" s="711" t="s">
        <v>589</v>
      </c>
      <c r="M477" s="711" t="s">
        <v>589</v>
      </c>
    </row>
    <row r="478" spans="1:13" ht="23.15" customHeight="1">
      <c r="A478" s="707" t="s">
        <v>44</v>
      </c>
      <c r="B478" s="707"/>
      <c r="C478" s="710" t="s">
        <v>5044</v>
      </c>
      <c r="D478" s="710" t="s">
        <v>569</v>
      </c>
      <c r="E478" s="730" t="s">
        <v>33</v>
      </c>
      <c r="F478" s="728" t="s">
        <v>5512</v>
      </c>
      <c r="G478" s="1242">
        <v>46143</v>
      </c>
      <c r="H478" s="707"/>
      <c r="I478" s="707"/>
      <c r="J478" s="772"/>
      <c r="K478" s="772" t="str">
        <f t="shared" si="19"/>
        <v/>
      </c>
      <c r="L478" s="707" t="s">
        <v>62</v>
      </c>
      <c r="M478" s="707" t="s">
        <v>70</v>
      </c>
    </row>
    <row r="479" spans="1:13" ht="23.15" customHeight="1">
      <c r="A479" s="707" t="s">
        <v>44</v>
      </c>
      <c r="B479" s="707" t="s">
        <v>45</v>
      </c>
      <c r="C479" s="710" t="s">
        <v>5044</v>
      </c>
      <c r="D479" s="730" t="s">
        <v>1440</v>
      </c>
      <c r="E479" s="710" t="s">
        <v>127</v>
      </c>
      <c r="F479" s="709" t="s">
        <v>2041</v>
      </c>
      <c r="G479" s="769">
        <v>46163</v>
      </c>
      <c r="H479" s="710">
        <v>120</v>
      </c>
      <c r="I479" s="710" t="s">
        <v>7073</v>
      </c>
      <c r="J479" s="772">
        <v>6140000</v>
      </c>
      <c r="K479" s="772">
        <f t="shared" si="19"/>
        <v>7368000</v>
      </c>
      <c r="L479" s="769" t="s">
        <v>70</v>
      </c>
      <c r="M479" s="769" t="s">
        <v>45</v>
      </c>
    </row>
    <row r="480" spans="1:13" ht="23.15" customHeight="1">
      <c r="A480" s="707" t="s">
        <v>44</v>
      </c>
      <c r="B480" s="710">
        <v>50805</v>
      </c>
      <c r="C480" s="710" t="s">
        <v>5044</v>
      </c>
      <c r="D480" s="710" t="s">
        <v>569</v>
      </c>
      <c r="E480" s="710" t="s">
        <v>33</v>
      </c>
      <c r="F480" s="709" t="s">
        <v>5515</v>
      </c>
      <c r="G480" s="947">
        <v>46174</v>
      </c>
      <c r="H480" s="738">
        <v>48</v>
      </c>
      <c r="I480" s="738" t="s">
        <v>258</v>
      </c>
      <c r="J480" s="772">
        <v>1073000</v>
      </c>
      <c r="K480" s="772">
        <f t="shared" si="19"/>
        <v>1287600</v>
      </c>
      <c r="L480" s="710" t="s">
        <v>310</v>
      </c>
      <c r="M480" s="770">
        <v>45061</v>
      </c>
    </row>
    <row r="481" spans="1:13" ht="23.15" customHeight="1">
      <c r="A481" s="707" t="s">
        <v>44</v>
      </c>
      <c r="B481" s="738" t="s">
        <v>45</v>
      </c>
      <c r="C481" s="710" t="s">
        <v>5044</v>
      </c>
      <c r="D481" s="710" t="s">
        <v>569</v>
      </c>
      <c r="E481" s="710" t="s">
        <v>33</v>
      </c>
      <c r="F481" s="709" t="s">
        <v>4033</v>
      </c>
      <c r="G481" s="769">
        <v>46174</v>
      </c>
      <c r="H481" s="710">
        <v>84</v>
      </c>
      <c r="I481" s="884" t="s">
        <v>7030</v>
      </c>
      <c r="J481" s="772">
        <v>1463000</v>
      </c>
      <c r="K481" s="772">
        <f t="shared" si="19"/>
        <v>1755600</v>
      </c>
      <c r="L481" s="710" t="s">
        <v>62</v>
      </c>
      <c r="M481" s="738" t="s">
        <v>71</v>
      </c>
    </row>
    <row r="482" spans="1:13" ht="23.15" customHeight="1">
      <c r="A482" s="707" t="s">
        <v>44</v>
      </c>
      <c r="B482" s="738" t="s">
        <v>45</v>
      </c>
      <c r="C482" s="710" t="s">
        <v>5044</v>
      </c>
      <c r="D482" s="710" t="s">
        <v>569</v>
      </c>
      <c r="E482" s="710" t="s">
        <v>33</v>
      </c>
      <c r="F482" s="709" t="s">
        <v>5518</v>
      </c>
      <c r="G482" s="769">
        <v>46204</v>
      </c>
      <c r="H482" s="710" t="s">
        <v>45</v>
      </c>
      <c r="I482" s="884" t="s">
        <v>45</v>
      </c>
      <c r="J482" s="772" t="s">
        <v>45</v>
      </c>
      <c r="K482" s="772" t="str">
        <f t="shared" si="19"/>
        <v/>
      </c>
      <c r="L482" s="710" t="s">
        <v>45</v>
      </c>
      <c r="M482" s="578" t="s">
        <v>71</v>
      </c>
    </row>
    <row r="483" spans="1:13" ht="23.15" customHeight="1">
      <c r="A483" s="707" t="s">
        <v>44</v>
      </c>
      <c r="B483" s="707"/>
      <c r="C483" s="710" t="s">
        <v>5044</v>
      </c>
      <c r="D483" s="710" t="s">
        <v>362</v>
      </c>
      <c r="E483" s="710" t="s">
        <v>4622</v>
      </c>
      <c r="F483" s="728" t="s">
        <v>445</v>
      </c>
      <c r="G483" s="1242">
        <v>46204</v>
      </c>
      <c r="H483" s="707">
        <v>36</v>
      </c>
      <c r="I483" s="707">
        <v>36</v>
      </c>
      <c r="J483" s="772">
        <v>315000</v>
      </c>
      <c r="K483" s="772">
        <f t="shared" si="19"/>
        <v>378000</v>
      </c>
      <c r="L483" s="710" t="s">
        <v>62</v>
      </c>
      <c r="M483" s="710" t="s">
        <v>67</v>
      </c>
    </row>
    <row r="484" spans="1:13" ht="23.15" customHeight="1">
      <c r="A484" s="707" t="s">
        <v>44</v>
      </c>
      <c r="B484" s="730" t="s">
        <v>45</v>
      </c>
      <c r="C484" s="710" t="s">
        <v>5123</v>
      </c>
      <c r="D484" s="710" t="s">
        <v>502</v>
      </c>
      <c r="E484" s="710" t="s">
        <v>514</v>
      </c>
      <c r="F484" s="728" t="s">
        <v>1259</v>
      </c>
      <c r="G484" s="731">
        <v>46235</v>
      </c>
      <c r="H484" s="730" t="s">
        <v>45</v>
      </c>
      <c r="I484" s="730" t="s">
        <v>45</v>
      </c>
      <c r="J484" s="772" t="s">
        <v>45</v>
      </c>
      <c r="K484" s="772" t="str">
        <f t="shared" si="19"/>
        <v/>
      </c>
      <c r="L484" s="710" t="s">
        <v>45</v>
      </c>
      <c r="M484" s="578" t="s">
        <v>71</v>
      </c>
    </row>
    <row r="485" spans="1:13" ht="23.15" customHeight="1">
      <c r="A485" s="707" t="s">
        <v>44</v>
      </c>
      <c r="B485" s="738" t="s">
        <v>71</v>
      </c>
      <c r="C485" s="710" t="s">
        <v>5044</v>
      </c>
      <c r="D485" s="710" t="s">
        <v>362</v>
      </c>
      <c r="E485" s="710" t="s">
        <v>80</v>
      </c>
      <c r="F485" s="709" t="s">
        <v>5520</v>
      </c>
      <c r="G485" s="947">
        <v>46235</v>
      </c>
      <c r="H485" s="710">
        <v>48</v>
      </c>
      <c r="I485" s="884" t="s">
        <v>4967</v>
      </c>
      <c r="J485" s="772">
        <v>32000</v>
      </c>
      <c r="K485" s="772">
        <f t="shared" si="19"/>
        <v>38400</v>
      </c>
      <c r="L485" s="710" t="s">
        <v>67</v>
      </c>
      <c r="M485" s="578" t="s">
        <v>71</v>
      </c>
    </row>
    <row r="486" spans="1:13" ht="23.15" customHeight="1">
      <c r="A486" s="2995" t="s">
        <v>100</v>
      </c>
      <c r="B486" s="578" t="s">
        <v>5523</v>
      </c>
      <c r="C486" s="710" t="s">
        <v>415</v>
      </c>
      <c r="D486" s="710" t="s">
        <v>4981</v>
      </c>
      <c r="E486" s="730" t="s">
        <v>4982</v>
      </c>
      <c r="F486" s="2996" t="s">
        <v>5524</v>
      </c>
      <c r="G486" s="2997">
        <v>46246</v>
      </c>
      <c r="H486" s="707" t="s">
        <v>45</v>
      </c>
      <c r="I486" s="707" t="s">
        <v>45</v>
      </c>
      <c r="J486" s="3009">
        <v>2500000</v>
      </c>
      <c r="K486" s="772">
        <f t="shared" si="19"/>
        <v>3000000</v>
      </c>
      <c r="L486" s="710" t="s">
        <v>70</v>
      </c>
      <c r="M486" s="711" t="s">
        <v>45</v>
      </c>
    </row>
    <row r="487" spans="1:13" ht="23.15" customHeight="1">
      <c r="A487" s="726" t="s">
        <v>44</v>
      </c>
      <c r="B487" s="726">
        <v>53634</v>
      </c>
      <c r="C487" s="730" t="s">
        <v>5044</v>
      </c>
      <c r="D487" s="710" t="s">
        <v>569</v>
      </c>
      <c r="E487" s="730" t="s">
        <v>33</v>
      </c>
      <c r="F487" s="729" t="s">
        <v>5149</v>
      </c>
      <c r="G487" s="759">
        <v>46285</v>
      </c>
      <c r="H487" s="891">
        <v>48</v>
      </c>
      <c r="I487" s="891" t="s">
        <v>5150</v>
      </c>
      <c r="J487" s="772">
        <v>166000</v>
      </c>
      <c r="K487" s="772">
        <f t="shared" si="19"/>
        <v>199200</v>
      </c>
      <c r="L487" s="711" t="s">
        <v>62</v>
      </c>
      <c r="M487" s="711" t="s">
        <v>71</v>
      </c>
    </row>
    <row r="488" spans="1:13" ht="23.15" customHeight="1">
      <c r="A488" s="707" t="s">
        <v>100</v>
      </c>
      <c r="B488" s="707" t="s">
        <v>45</v>
      </c>
      <c r="C488" s="710" t="s">
        <v>122</v>
      </c>
      <c r="D488" s="710" t="s">
        <v>5069</v>
      </c>
      <c r="E488" s="710" t="s">
        <v>3410</v>
      </c>
      <c r="F488" s="709" t="s">
        <v>5525</v>
      </c>
      <c r="G488" s="713">
        <v>46285</v>
      </c>
      <c r="H488" s="777">
        <v>48</v>
      </c>
      <c r="I488" s="777">
        <v>48</v>
      </c>
      <c r="J488" s="772">
        <v>5000000</v>
      </c>
      <c r="K488" s="772">
        <f t="shared" si="19"/>
        <v>6000000</v>
      </c>
      <c r="L488" s="710" t="s">
        <v>70</v>
      </c>
      <c r="M488" s="711" t="s">
        <v>45</v>
      </c>
    </row>
    <row r="489" spans="1:13" ht="23.15" customHeight="1">
      <c r="A489" s="707" t="s">
        <v>44</v>
      </c>
      <c r="B489" s="738"/>
      <c r="C489" s="710" t="s">
        <v>5044</v>
      </c>
      <c r="D489" s="710" t="s">
        <v>569</v>
      </c>
      <c r="E489" s="710" t="s">
        <v>33</v>
      </c>
      <c r="F489" s="728" t="s">
        <v>4332</v>
      </c>
      <c r="G489" s="769">
        <v>46296</v>
      </c>
      <c r="H489" s="710"/>
      <c r="I489" s="884"/>
      <c r="J489" s="772">
        <v>50000</v>
      </c>
      <c r="K489" s="772">
        <f t="shared" si="19"/>
        <v>60000</v>
      </c>
      <c r="L489" s="731" t="s">
        <v>62</v>
      </c>
      <c r="M489" s="578" t="s">
        <v>71</v>
      </c>
    </row>
    <row r="490" spans="1:13" ht="23.15" customHeight="1">
      <c r="A490" s="707" t="s">
        <v>44</v>
      </c>
      <c r="B490" s="738" t="s">
        <v>5527</v>
      </c>
      <c r="C490" s="710" t="s">
        <v>5044</v>
      </c>
      <c r="D490" s="730" t="s">
        <v>1440</v>
      </c>
      <c r="E490" s="710" t="s">
        <v>46</v>
      </c>
      <c r="F490" s="709" t="s">
        <v>4377</v>
      </c>
      <c r="G490" s="769">
        <v>46296</v>
      </c>
      <c r="H490" s="710">
        <v>84</v>
      </c>
      <c r="I490" s="884" t="s">
        <v>7074</v>
      </c>
      <c r="J490" s="772">
        <v>650000</v>
      </c>
      <c r="K490" s="772">
        <f t="shared" si="19"/>
        <v>780000</v>
      </c>
      <c r="L490" s="744" t="s">
        <v>62</v>
      </c>
      <c r="M490" s="738" t="s">
        <v>71</v>
      </c>
    </row>
    <row r="491" spans="1:13" ht="23.15" customHeight="1">
      <c r="A491" s="707" t="s">
        <v>44</v>
      </c>
      <c r="B491" s="738">
        <v>36463</v>
      </c>
      <c r="C491" s="710" t="s">
        <v>5123</v>
      </c>
      <c r="D491" s="710" t="s">
        <v>502</v>
      </c>
      <c r="E491" s="710" t="s">
        <v>514</v>
      </c>
      <c r="F491" s="709" t="s">
        <v>507</v>
      </c>
      <c r="G491" s="947">
        <v>46327</v>
      </c>
      <c r="H491" s="738" t="s">
        <v>45</v>
      </c>
      <c r="I491" s="884" t="s">
        <v>45</v>
      </c>
      <c r="J491" s="772" t="s">
        <v>45</v>
      </c>
      <c r="K491" s="772" t="str">
        <f t="shared" si="19"/>
        <v/>
      </c>
      <c r="L491" s="710" t="s">
        <v>70</v>
      </c>
      <c r="M491" s="770">
        <v>44711</v>
      </c>
    </row>
    <row r="492" spans="1:13" ht="23.15" customHeight="1">
      <c r="A492" s="707" t="s">
        <v>44</v>
      </c>
      <c r="B492" s="738"/>
      <c r="C492" s="710" t="s">
        <v>5044</v>
      </c>
      <c r="D492" s="710" t="s">
        <v>362</v>
      </c>
      <c r="E492" s="710" t="s">
        <v>4962</v>
      </c>
      <c r="F492" s="709" t="s">
        <v>364</v>
      </c>
      <c r="G492" s="947">
        <v>46327</v>
      </c>
      <c r="H492" s="738">
        <v>48</v>
      </c>
      <c r="I492" s="738" t="s">
        <v>215</v>
      </c>
      <c r="J492" s="772">
        <v>135599</v>
      </c>
      <c r="K492" s="772">
        <f t="shared" si="19"/>
        <v>162718.79999999999</v>
      </c>
      <c r="L492" s="710" t="s">
        <v>45</v>
      </c>
      <c r="M492" s="578" t="s">
        <v>71</v>
      </c>
    </row>
    <row r="493" spans="1:13" ht="23.15" customHeight="1">
      <c r="A493" s="707" t="s">
        <v>44</v>
      </c>
      <c r="B493" s="738" t="s">
        <v>5173</v>
      </c>
      <c r="C493" s="710" t="s">
        <v>5044</v>
      </c>
      <c r="D493" s="710" t="s">
        <v>569</v>
      </c>
      <c r="E493" s="710" t="s">
        <v>33</v>
      </c>
      <c r="F493" s="709" t="s">
        <v>5174</v>
      </c>
      <c r="G493" s="947">
        <v>46327</v>
      </c>
      <c r="H493" s="738">
        <v>48</v>
      </c>
      <c r="I493" s="738" t="s">
        <v>5150</v>
      </c>
      <c r="J493" s="2977">
        <v>159850</v>
      </c>
      <c r="K493" s="772">
        <f t="shared" si="19"/>
        <v>191820</v>
      </c>
      <c r="L493" s="710" t="s">
        <v>62</v>
      </c>
      <c r="M493" s="738" t="s">
        <v>71</v>
      </c>
    </row>
    <row r="494" spans="1:13" ht="23.15" customHeight="1">
      <c r="A494" s="2995" t="s">
        <v>44</v>
      </c>
      <c r="B494" s="578" t="s">
        <v>5528</v>
      </c>
      <c r="C494" s="710" t="s">
        <v>415</v>
      </c>
      <c r="D494" s="710" t="s">
        <v>1271</v>
      </c>
      <c r="E494" s="578" t="s">
        <v>80</v>
      </c>
      <c r="F494" s="2996" t="s">
        <v>5529</v>
      </c>
      <c r="G494" s="2997">
        <v>46327</v>
      </c>
      <c r="H494" s="578"/>
      <c r="I494" s="578"/>
      <c r="J494" s="772">
        <v>125000</v>
      </c>
      <c r="K494" s="772">
        <f t="shared" si="19"/>
        <v>150000</v>
      </c>
      <c r="L494" s="578"/>
      <c r="M494" s="578"/>
    </row>
    <row r="495" spans="1:13" ht="23.15" customHeight="1">
      <c r="A495" s="707" t="s">
        <v>44</v>
      </c>
      <c r="B495" s="710" t="s">
        <v>45</v>
      </c>
      <c r="C495" s="710" t="s">
        <v>5044</v>
      </c>
      <c r="D495" s="710" t="s">
        <v>569</v>
      </c>
      <c r="E495" s="710" t="s">
        <v>33</v>
      </c>
      <c r="F495" s="709" t="s">
        <v>439</v>
      </c>
      <c r="G495" s="947">
        <v>46331</v>
      </c>
      <c r="H495" s="710" t="s">
        <v>45</v>
      </c>
      <c r="I495" s="710" t="s">
        <v>45</v>
      </c>
      <c r="J495" s="772" t="s">
        <v>45</v>
      </c>
      <c r="K495" s="772" t="str">
        <f t="shared" si="19"/>
        <v/>
      </c>
      <c r="L495" s="710" t="s">
        <v>45</v>
      </c>
      <c r="M495" s="578" t="s">
        <v>71</v>
      </c>
    </row>
    <row r="496" spans="1:13" ht="23.15" customHeight="1">
      <c r="A496" s="707" t="s">
        <v>44</v>
      </c>
      <c r="B496" s="738"/>
      <c r="C496" s="710" t="s">
        <v>5044</v>
      </c>
      <c r="D496" s="710" t="s">
        <v>362</v>
      </c>
      <c r="E496" s="710" t="s">
        <v>80</v>
      </c>
      <c r="F496" s="709" t="s">
        <v>4438</v>
      </c>
      <c r="G496" s="947">
        <v>46335</v>
      </c>
      <c r="H496" s="738"/>
      <c r="I496" s="884"/>
      <c r="J496" s="772"/>
      <c r="K496" s="772" t="str">
        <f t="shared" si="19"/>
        <v/>
      </c>
      <c r="L496" s="710" t="s">
        <v>70</v>
      </c>
      <c r="M496" s="770" t="s">
        <v>45</v>
      </c>
    </row>
    <row r="497" spans="1:13" ht="23.15" customHeight="1">
      <c r="A497" s="707" t="s">
        <v>44</v>
      </c>
      <c r="B497" s="738" t="s">
        <v>1152</v>
      </c>
      <c r="C497" s="710" t="s">
        <v>5044</v>
      </c>
      <c r="D497" s="710" t="s">
        <v>569</v>
      </c>
      <c r="E497" s="710" t="s">
        <v>33</v>
      </c>
      <c r="F497" s="709" t="s">
        <v>1153</v>
      </c>
      <c r="G497" s="947">
        <v>46337</v>
      </c>
      <c r="H497" s="738">
        <v>120</v>
      </c>
      <c r="I497" s="884" t="s">
        <v>7075</v>
      </c>
      <c r="J497" s="772">
        <v>595883.89</v>
      </c>
      <c r="K497" s="772">
        <f t="shared" si="19"/>
        <v>715060.66800000006</v>
      </c>
      <c r="L497" s="769" t="s">
        <v>70</v>
      </c>
      <c r="M497" s="769" t="s">
        <v>45</v>
      </c>
    </row>
    <row r="498" spans="1:13" ht="23.15" customHeight="1">
      <c r="A498" s="707" t="s">
        <v>44</v>
      </c>
      <c r="B498" s="738">
        <v>48830</v>
      </c>
      <c r="C498" s="710" t="s">
        <v>5044</v>
      </c>
      <c r="D498" s="710" t="s">
        <v>569</v>
      </c>
      <c r="E498" s="710" t="s">
        <v>33</v>
      </c>
      <c r="F498" s="709" t="s">
        <v>5534</v>
      </c>
      <c r="G498" s="769">
        <v>46351</v>
      </c>
      <c r="H498" s="710">
        <v>48</v>
      </c>
      <c r="I498" s="710" t="s">
        <v>258</v>
      </c>
      <c r="J498" s="772">
        <v>87536</v>
      </c>
      <c r="K498" s="772">
        <f t="shared" si="19"/>
        <v>105043.2</v>
      </c>
      <c r="L498" s="796" t="s">
        <v>62</v>
      </c>
      <c r="M498" s="578" t="s">
        <v>71</v>
      </c>
    </row>
    <row r="499" spans="1:13" ht="23.15" customHeight="1">
      <c r="A499" s="707" t="s">
        <v>44</v>
      </c>
      <c r="B499" s="738" t="s">
        <v>45</v>
      </c>
      <c r="C499" s="730" t="s">
        <v>5044</v>
      </c>
      <c r="D499" s="710" t="s">
        <v>569</v>
      </c>
      <c r="E499" s="710" t="s">
        <v>33</v>
      </c>
      <c r="F499" s="709" t="s">
        <v>5537</v>
      </c>
      <c r="G499" s="947">
        <v>45626</v>
      </c>
      <c r="H499" s="738" t="s">
        <v>45</v>
      </c>
      <c r="I499" s="710" t="s">
        <v>45</v>
      </c>
      <c r="J499" s="772" t="s">
        <v>45</v>
      </c>
      <c r="K499" s="772" t="s">
        <v>45</v>
      </c>
      <c r="L499" s="769" t="s">
        <v>45</v>
      </c>
      <c r="M499" s="769" t="s">
        <v>71</v>
      </c>
    </row>
    <row r="500" spans="1:13" ht="23.15" customHeight="1">
      <c r="A500" s="707" t="s">
        <v>44</v>
      </c>
      <c r="B500" s="707" t="s">
        <v>3577</v>
      </c>
      <c r="C500" s="710" t="s">
        <v>5044</v>
      </c>
      <c r="D500" s="730" t="s">
        <v>1440</v>
      </c>
      <c r="E500" s="710" t="s">
        <v>127</v>
      </c>
      <c r="F500" s="709" t="s">
        <v>3578</v>
      </c>
      <c r="G500" s="947">
        <v>46388</v>
      </c>
      <c r="H500" s="710">
        <v>84</v>
      </c>
      <c r="I500" s="710" t="s">
        <v>5539</v>
      </c>
      <c r="J500" s="772">
        <v>700000</v>
      </c>
      <c r="K500" s="772">
        <f t="shared" ref="K500:K529" si="20">IF(ISNUMBER(J500),SUM(J500*20%)+J500,"")</f>
        <v>840000</v>
      </c>
      <c r="L500" s="710" t="s">
        <v>62</v>
      </c>
      <c r="M500" s="578" t="s">
        <v>71</v>
      </c>
    </row>
    <row r="501" spans="1:13" ht="23.15" customHeight="1">
      <c r="A501" s="707" t="s">
        <v>44</v>
      </c>
      <c r="B501" s="738" t="s">
        <v>45</v>
      </c>
      <c r="C501" s="710" t="s">
        <v>415</v>
      </c>
      <c r="D501" s="710" t="s">
        <v>1432</v>
      </c>
      <c r="E501" s="710" t="s">
        <v>33</v>
      </c>
      <c r="F501" s="709" t="s">
        <v>1433</v>
      </c>
      <c r="G501" s="769">
        <v>46447</v>
      </c>
      <c r="H501" s="710" t="s">
        <v>45</v>
      </c>
      <c r="I501" s="884" t="s">
        <v>45</v>
      </c>
      <c r="J501" s="772" t="s">
        <v>45</v>
      </c>
      <c r="K501" s="772" t="str">
        <f t="shared" si="20"/>
        <v/>
      </c>
      <c r="L501" s="796" t="s">
        <v>45</v>
      </c>
      <c r="M501" s="738" t="s">
        <v>45</v>
      </c>
    </row>
    <row r="502" spans="1:13" ht="23.15" customHeight="1">
      <c r="A502" s="707" t="s">
        <v>44</v>
      </c>
      <c r="B502" s="738" t="s">
        <v>45</v>
      </c>
      <c r="C502" s="710" t="s">
        <v>5044</v>
      </c>
      <c r="D502" s="710" t="s">
        <v>569</v>
      </c>
      <c r="E502" s="710" t="s">
        <v>33</v>
      </c>
      <c r="F502" s="709" t="s">
        <v>5540</v>
      </c>
      <c r="G502" s="769">
        <v>46451</v>
      </c>
      <c r="H502" s="738" t="s">
        <v>45</v>
      </c>
      <c r="I502" s="884" t="s">
        <v>45</v>
      </c>
      <c r="J502" s="772" t="s">
        <v>45</v>
      </c>
      <c r="K502" s="772" t="str">
        <f t="shared" si="20"/>
        <v/>
      </c>
      <c r="L502" s="710" t="s">
        <v>45</v>
      </c>
      <c r="M502" s="738" t="s">
        <v>45</v>
      </c>
    </row>
    <row r="503" spans="1:13" ht="23.15" customHeight="1">
      <c r="A503" s="707" t="s">
        <v>44</v>
      </c>
      <c r="B503" s="707" t="s">
        <v>557</v>
      </c>
      <c r="C503" s="710" t="s">
        <v>5044</v>
      </c>
      <c r="D503" s="710" t="s">
        <v>569</v>
      </c>
      <c r="E503" s="710" t="s">
        <v>33</v>
      </c>
      <c r="F503" s="709" t="s">
        <v>558</v>
      </c>
      <c r="G503" s="769">
        <v>46454</v>
      </c>
      <c r="H503" s="738">
        <v>96</v>
      </c>
      <c r="I503" s="884" t="s">
        <v>7076</v>
      </c>
      <c r="J503" s="772">
        <v>177098</v>
      </c>
      <c r="K503" s="772">
        <f t="shared" si="20"/>
        <v>212517.6</v>
      </c>
      <c r="L503" s="710" t="s">
        <v>62</v>
      </c>
      <c r="M503" s="578" t="s">
        <v>71</v>
      </c>
    </row>
    <row r="504" spans="1:13" ht="23.15" customHeight="1">
      <c r="A504" s="2995" t="s">
        <v>56</v>
      </c>
      <c r="B504" s="578" t="s">
        <v>5541</v>
      </c>
      <c r="C504" s="710" t="s">
        <v>415</v>
      </c>
      <c r="D504" s="710" t="s">
        <v>4994</v>
      </c>
      <c r="E504" s="578" t="s">
        <v>4956</v>
      </c>
      <c r="F504" s="2996" t="s">
        <v>5542</v>
      </c>
      <c r="G504" s="2997">
        <v>46477</v>
      </c>
      <c r="H504" s="578" t="s">
        <v>60</v>
      </c>
      <c r="I504" s="578" t="s">
        <v>60</v>
      </c>
      <c r="J504" s="2501"/>
      <c r="K504" s="772" t="str">
        <f t="shared" si="20"/>
        <v/>
      </c>
      <c r="L504" s="578" t="s">
        <v>38</v>
      </c>
      <c r="M504" s="578"/>
    </row>
    <row r="505" spans="1:13" ht="23.15" customHeight="1">
      <c r="A505" s="707" t="s">
        <v>44</v>
      </c>
      <c r="B505" s="738">
        <v>60471</v>
      </c>
      <c r="C505" s="710" t="s">
        <v>5044</v>
      </c>
      <c r="D505" s="710" t="s">
        <v>569</v>
      </c>
      <c r="E505" s="710" t="s">
        <v>33</v>
      </c>
      <c r="F505" s="709" t="s">
        <v>218</v>
      </c>
      <c r="G505" s="947">
        <v>46478</v>
      </c>
      <c r="H505" s="738">
        <v>84</v>
      </c>
      <c r="I505" s="738" t="s">
        <v>7074</v>
      </c>
      <c r="J505" s="772">
        <v>1414000</v>
      </c>
      <c r="K505" s="772">
        <f t="shared" si="20"/>
        <v>1696800</v>
      </c>
      <c r="L505" s="710" t="s">
        <v>70</v>
      </c>
      <c r="M505" s="770">
        <v>44326</v>
      </c>
    </row>
    <row r="506" spans="1:13" ht="23.15" customHeight="1">
      <c r="A506" s="707" t="s">
        <v>44</v>
      </c>
      <c r="B506" s="707">
        <v>73120</v>
      </c>
      <c r="C506" s="710" t="s">
        <v>5044</v>
      </c>
      <c r="D506" s="710" t="s">
        <v>362</v>
      </c>
      <c r="E506" s="710" t="s">
        <v>80</v>
      </c>
      <c r="F506" s="709" t="s">
        <v>5499</v>
      </c>
      <c r="G506" s="947">
        <v>46478</v>
      </c>
      <c r="H506" s="738">
        <v>60</v>
      </c>
      <c r="I506" s="707" t="s">
        <v>171</v>
      </c>
      <c r="J506" s="772">
        <v>6560000</v>
      </c>
      <c r="K506" s="772">
        <f t="shared" si="20"/>
        <v>7872000</v>
      </c>
      <c r="L506" s="744" t="s">
        <v>70</v>
      </c>
      <c r="M506" s="711">
        <v>44896</v>
      </c>
    </row>
    <row r="507" spans="1:13" ht="23.15" customHeight="1">
      <c r="A507" s="707" t="s">
        <v>100</v>
      </c>
      <c r="B507" s="707" t="s">
        <v>5545</v>
      </c>
      <c r="C507" s="710" t="s">
        <v>110</v>
      </c>
      <c r="D507" s="710" t="s">
        <v>450</v>
      </c>
      <c r="E507" s="710" t="s">
        <v>4980</v>
      </c>
      <c r="F507" s="709" t="s">
        <v>5546</v>
      </c>
      <c r="G507" s="713">
        <v>46478</v>
      </c>
      <c r="H507" s="777">
        <v>120</v>
      </c>
      <c r="I507" s="777" t="s">
        <v>7077</v>
      </c>
      <c r="J507" s="772">
        <v>70233720</v>
      </c>
      <c r="K507" s="772">
        <f t="shared" si="20"/>
        <v>84280464</v>
      </c>
      <c r="L507" s="710" t="s">
        <v>70</v>
      </c>
      <c r="M507" s="711">
        <v>43690</v>
      </c>
    </row>
    <row r="508" spans="1:13" ht="23.15" customHeight="1">
      <c r="A508" s="707" t="s">
        <v>100</v>
      </c>
      <c r="B508" s="707" t="s">
        <v>109</v>
      </c>
      <c r="C508" s="710" t="s">
        <v>110</v>
      </c>
      <c r="D508" s="710" t="s">
        <v>1146</v>
      </c>
      <c r="E508" s="710" t="s">
        <v>5058</v>
      </c>
      <c r="F508" s="709" t="s">
        <v>111</v>
      </c>
      <c r="G508" s="713">
        <v>46478</v>
      </c>
      <c r="H508" s="777">
        <v>84</v>
      </c>
      <c r="I508" s="777" t="s">
        <v>7074</v>
      </c>
      <c r="J508" s="772">
        <v>2235000</v>
      </c>
      <c r="K508" s="772">
        <f t="shared" si="20"/>
        <v>2682000</v>
      </c>
      <c r="L508" s="710" t="s">
        <v>70</v>
      </c>
      <c r="M508" s="710" t="s">
        <v>113</v>
      </c>
    </row>
    <row r="509" spans="1:13" ht="23.15" customHeight="1">
      <c r="A509" s="707" t="s">
        <v>100</v>
      </c>
      <c r="B509" s="707" t="s">
        <v>45</v>
      </c>
      <c r="C509" s="710" t="s">
        <v>122</v>
      </c>
      <c r="D509" s="710" t="s">
        <v>1163</v>
      </c>
      <c r="E509" s="710" t="s">
        <v>5060</v>
      </c>
      <c r="F509" s="709" t="s">
        <v>3641</v>
      </c>
      <c r="G509" s="713">
        <v>46478</v>
      </c>
      <c r="H509" s="777">
        <v>60</v>
      </c>
      <c r="I509" s="777">
        <v>60</v>
      </c>
      <c r="J509" s="772">
        <v>6000000</v>
      </c>
      <c r="K509" s="772">
        <f t="shared" si="20"/>
        <v>7200000</v>
      </c>
      <c r="L509" s="710" t="s">
        <v>70</v>
      </c>
      <c r="M509" s="711" t="s">
        <v>45</v>
      </c>
    </row>
    <row r="510" spans="1:13" ht="23.15" customHeight="1">
      <c r="A510" s="707" t="s">
        <v>44</v>
      </c>
      <c r="B510" s="738" t="s">
        <v>45</v>
      </c>
      <c r="C510" s="710" t="s">
        <v>5044</v>
      </c>
      <c r="D510" s="710" t="s">
        <v>569</v>
      </c>
      <c r="E510" s="710" t="s">
        <v>33</v>
      </c>
      <c r="F510" s="709" t="s">
        <v>222</v>
      </c>
      <c r="G510" s="947">
        <v>46484</v>
      </c>
      <c r="H510" s="738"/>
      <c r="I510" s="884"/>
      <c r="J510" s="772"/>
      <c r="K510" s="772" t="str">
        <f t="shared" si="20"/>
        <v/>
      </c>
      <c r="L510" s="710" t="s">
        <v>62</v>
      </c>
      <c r="M510" s="738" t="s">
        <v>70</v>
      </c>
    </row>
    <row r="511" spans="1:13" ht="23.15" customHeight="1">
      <c r="A511" s="707" t="s">
        <v>44</v>
      </c>
      <c r="B511" s="738" t="s">
        <v>45</v>
      </c>
      <c r="C511" s="710" t="s">
        <v>5044</v>
      </c>
      <c r="D511" s="710" t="s">
        <v>569</v>
      </c>
      <c r="E511" s="710" t="s">
        <v>33</v>
      </c>
      <c r="F511" s="709" t="s">
        <v>5547</v>
      </c>
      <c r="G511" s="769">
        <v>46508</v>
      </c>
      <c r="H511" s="738">
        <v>84</v>
      </c>
      <c r="I511" s="738" t="s">
        <v>112</v>
      </c>
      <c r="J511" s="772">
        <v>410331</v>
      </c>
      <c r="K511" s="772">
        <f t="shared" si="20"/>
        <v>492397.2</v>
      </c>
      <c r="L511" s="710" t="s">
        <v>70</v>
      </c>
      <c r="M511" s="770">
        <v>44326</v>
      </c>
    </row>
    <row r="512" spans="1:13" ht="23.15" customHeight="1">
      <c r="A512" s="707" t="s">
        <v>44</v>
      </c>
      <c r="B512" s="738" t="s">
        <v>45</v>
      </c>
      <c r="C512" s="710" t="s">
        <v>5044</v>
      </c>
      <c r="D512" s="730" t="s">
        <v>1440</v>
      </c>
      <c r="E512" s="710" t="s">
        <v>127</v>
      </c>
      <c r="F512" s="709" t="s">
        <v>2041</v>
      </c>
      <c r="G512" s="769">
        <v>46528</v>
      </c>
      <c r="H512" s="710" t="s">
        <v>45</v>
      </c>
      <c r="I512" s="710" t="s">
        <v>45</v>
      </c>
      <c r="J512" s="772">
        <v>6140000</v>
      </c>
      <c r="K512" s="772">
        <f t="shared" si="20"/>
        <v>7368000</v>
      </c>
      <c r="L512" s="769" t="s">
        <v>70</v>
      </c>
      <c r="M512" s="769" t="s">
        <v>45</v>
      </c>
    </row>
    <row r="513" spans="1:13" ht="23.15" customHeight="1">
      <c r="A513" s="707" t="s">
        <v>44</v>
      </c>
      <c r="B513" s="710"/>
      <c r="C513" s="710" t="s">
        <v>5044</v>
      </c>
      <c r="D513" s="710" t="s">
        <v>569</v>
      </c>
      <c r="E513" s="710" t="s">
        <v>33</v>
      </c>
      <c r="F513" s="709" t="s">
        <v>5515</v>
      </c>
      <c r="G513" s="947">
        <v>46539</v>
      </c>
      <c r="H513" s="738" t="s">
        <v>45</v>
      </c>
      <c r="I513" s="738" t="s">
        <v>45</v>
      </c>
      <c r="J513" s="772" t="s">
        <v>45</v>
      </c>
      <c r="K513" s="772" t="str">
        <f t="shared" si="20"/>
        <v/>
      </c>
      <c r="L513" s="710"/>
      <c r="M513" s="770"/>
    </row>
    <row r="514" spans="1:13" ht="23.15" customHeight="1">
      <c r="A514" s="707" t="s">
        <v>44</v>
      </c>
      <c r="B514" s="738" t="s">
        <v>71</v>
      </c>
      <c r="C514" s="710" t="s">
        <v>5044</v>
      </c>
      <c r="D514" s="710" t="s">
        <v>362</v>
      </c>
      <c r="E514" s="710" t="s">
        <v>80</v>
      </c>
      <c r="F514" s="709" t="s">
        <v>5520</v>
      </c>
      <c r="G514" s="947">
        <v>46600</v>
      </c>
      <c r="H514" s="710"/>
      <c r="I514" s="884"/>
      <c r="J514" s="772"/>
      <c r="K514" s="772" t="str">
        <f t="shared" si="20"/>
        <v/>
      </c>
      <c r="L514" s="710" t="s">
        <v>45</v>
      </c>
      <c r="M514" s="578" t="s">
        <v>45</v>
      </c>
    </row>
    <row r="515" spans="1:13" ht="23.15" customHeight="1">
      <c r="A515" s="707" t="s">
        <v>44</v>
      </c>
      <c r="B515" s="738" t="s">
        <v>45</v>
      </c>
      <c r="C515" s="710" t="s">
        <v>5044</v>
      </c>
      <c r="D515" s="710" t="s">
        <v>569</v>
      </c>
      <c r="E515" s="710" t="s">
        <v>33</v>
      </c>
      <c r="F515" s="709" t="s">
        <v>2193</v>
      </c>
      <c r="G515" s="947">
        <v>46631</v>
      </c>
      <c r="H515" s="738" t="s">
        <v>45</v>
      </c>
      <c r="I515" s="903" t="s">
        <v>45</v>
      </c>
      <c r="J515" s="772"/>
      <c r="K515" s="772" t="str">
        <f t="shared" si="20"/>
        <v/>
      </c>
      <c r="L515" s="710" t="s">
        <v>45</v>
      </c>
      <c r="M515" s="738" t="s">
        <v>45</v>
      </c>
    </row>
    <row r="516" spans="1:13" ht="23.15" customHeight="1">
      <c r="A516" s="707" t="s">
        <v>100</v>
      </c>
      <c r="B516" s="707">
        <v>54565</v>
      </c>
      <c r="C516" s="710" t="s">
        <v>110</v>
      </c>
      <c r="D516" s="710" t="s">
        <v>1146</v>
      </c>
      <c r="E516" s="710" t="s">
        <v>5058</v>
      </c>
      <c r="F516" s="709" t="s">
        <v>5548</v>
      </c>
      <c r="G516" s="713">
        <v>46692</v>
      </c>
      <c r="H516" s="707">
        <v>84</v>
      </c>
      <c r="I516" s="707" t="s">
        <v>7078</v>
      </c>
      <c r="J516" s="772">
        <v>1200000000</v>
      </c>
      <c r="K516" s="772">
        <f t="shared" si="20"/>
        <v>1440000000</v>
      </c>
      <c r="L516" s="710" t="s">
        <v>200</v>
      </c>
      <c r="M516" s="710" t="s">
        <v>5549</v>
      </c>
    </row>
    <row r="517" spans="1:13" ht="23.15" customHeight="1">
      <c r="A517" s="707" t="s">
        <v>44</v>
      </c>
      <c r="B517" s="738" t="s">
        <v>45</v>
      </c>
      <c r="C517" s="710" t="s">
        <v>5044</v>
      </c>
      <c r="D517" s="710" t="s">
        <v>569</v>
      </c>
      <c r="E517" s="710" t="s">
        <v>33</v>
      </c>
      <c r="F517" s="709" t="s">
        <v>5534</v>
      </c>
      <c r="G517" s="769">
        <v>46716</v>
      </c>
      <c r="H517" s="710" t="s">
        <v>45</v>
      </c>
      <c r="I517" s="710" t="s">
        <v>45</v>
      </c>
      <c r="J517" s="772" t="s">
        <v>45</v>
      </c>
      <c r="K517" s="772" t="str">
        <f t="shared" si="20"/>
        <v/>
      </c>
      <c r="L517" s="796" t="s">
        <v>45</v>
      </c>
      <c r="M517" s="578" t="s">
        <v>71</v>
      </c>
    </row>
    <row r="518" spans="1:13" ht="23.15" customHeight="1">
      <c r="A518" s="707" t="s">
        <v>44</v>
      </c>
      <c r="B518" s="738" t="s">
        <v>45</v>
      </c>
      <c r="C518" s="710" t="s">
        <v>5044</v>
      </c>
      <c r="D518" s="710" t="s">
        <v>569</v>
      </c>
      <c r="E518" s="710" t="s">
        <v>33</v>
      </c>
      <c r="F518" s="709" t="s">
        <v>5493</v>
      </c>
      <c r="G518" s="947">
        <v>46813</v>
      </c>
      <c r="H518" s="738" t="s">
        <v>45</v>
      </c>
      <c r="I518" s="884" t="s">
        <v>45</v>
      </c>
      <c r="J518" s="772" t="s">
        <v>45</v>
      </c>
      <c r="K518" s="772" t="str">
        <f t="shared" si="20"/>
        <v/>
      </c>
      <c r="L518" s="710" t="s">
        <v>45</v>
      </c>
      <c r="M518" s="770" t="s">
        <v>45</v>
      </c>
    </row>
    <row r="519" spans="1:13" ht="23.15" customHeight="1">
      <c r="A519" s="707" t="s">
        <v>44</v>
      </c>
      <c r="B519" s="707">
        <v>73120</v>
      </c>
      <c r="C519" s="710" t="s">
        <v>5044</v>
      </c>
      <c r="D519" s="710" t="s">
        <v>362</v>
      </c>
      <c r="E519" s="710" t="s">
        <v>80</v>
      </c>
      <c r="F519" s="709" t="s">
        <v>5499</v>
      </c>
      <c r="G519" s="947">
        <v>46844</v>
      </c>
      <c r="H519" s="738"/>
      <c r="I519" s="707"/>
      <c r="J519" s="772"/>
      <c r="K519" s="772" t="str">
        <f t="shared" si="20"/>
        <v/>
      </c>
      <c r="L519" s="744" t="s">
        <v>70</v>
      </c>
      <c r="M519" s="711">
        <v>44896</v>
      </c>
    </row>
    <row r="520" spans="1:13" ht="23.15" customHeight="1">
      <c r="A520" s="707" t="s">
        <v>44</v>
      </c>
      <c r="B520" s="738">
        <v>73132</v>
      </c>
      <c r="C520" s="710" t="s">
        <v>5044</v>
      </c>
      <c r="D520" s="730" t="s">
        <v>1440</v>
      </c>
      <c r="E520" s="710" t="s">
        <v>127</v>
      </c>
      <c r="F520" s="709" t="s">
        <v>4324</v>
      </c>
      <c r="G520" s="769">
        <v>46844</v>
      </c>
      <c r="H520" s="730">
        <v>66</v>
      </c>
      <c r="I520" s="730" t="s">
        <v>7079</v>
      </c>
      <c r="J520" s="3033">
        <v>44465759</v>
      </c>
      <c r="K520" s="772">
        <f t="shared" si="20"/>
        <v>53358910.799999997</v>
      </c>
      <c r="L520" s="744" t="s">
        <v>62</v>
      </c>
      <c r="M520" s="770" t="s">
        <v>5498</v>
      </c>
    </row>
    <row r="521" spans="1:13" ht="23.15" customHeight="1">
      <c r="A521" s="707" t="s">
        <v>44</v>
      </c>
      <c r="B521" s="738" t="s">
        <v>45</v>
      </c>
      <c r="C521" s="707" t="s">
        <v>5044</v>
      </c>
      <c r="D521" s="710" t="s">
        <v>569</v>
      </c>
      <c r="E521" s="710" t="s">
        <v>33</v>
      </c>
      <c r="F521" s="709" t="s">
        <v>5268</v>
      </c>
      <c r="G521" s="947">
        <v>46844</v>
      </c>
      <c r="H521" s="738">
        <v>72</v>
      </c>
      <c r="I521" s="884" t="s">
        <v>175</v>
      </c>
      <c r="J521" s="772" t="s">
        <v>45</v>
      </c>
      <c r="K521" s="772" t="str">
        <f t="shared" si="20"/>
        <v/>
      </c>
      <c r="L521" s="710" t="s">
        <v>62</v>
      </c>
      <c r="M521" s="578" t="s">
        <v>71</v>
      </c>
    </row>
    <row r="522" spans="1:13" ht="23.15" customHeight="1">
      <c r="A522" s="707" t="s">
        <v>44</v>
      </c>
      <c r="B522" s="738" t="s">
        <v>2637</v>
      </c>
      <c r="C522" s="710" t="s">
        <v>5044</v>
      </c>
      <c r="D522" s="710" t="s">
        <v>569</v>
      </c>
      <c r="E522" s="710" t="s">
        <v>33</v>
      </c>
      <c r="F522" s="709" t="s">
        <v>2526</v>
      </c>
      <c r="G522" s="947">
        <v>46844</v>
      </c>
      <c r="H522" s="738">
        <v>120</v>
      </c>
      <c r="I522" s="738" t="s">
        <v>7080</v>
      </c>
      <c r="J522" s="772">
        <v>915000</v>
      </c>
      <c r="K522" s="772">
        <f t="shared" si="20"/>
        <v>1098000</v>
      </c>
      <c r="L522" s="769" t="s">
        <v>70</v>
      </c>
      <c r="M522" s="769" t="s">
        <v>45</v>
      </c>
    </row>
    <row r="523" spans="1:13" ht="23.15" customHeight="1">
      <c r="A523" s="707" t="s">
        <v>44</v>
      </c>
      <c r="B523" s="738">
        <v>76426</v>
      </c>
      <c r="C523" s="710" t="s">
        <v>5044</v>
      </c>
      <c r="D523" s="710" t="s">
        <v>362</v>
      </c>
      <c r="E523" s="710" t="s">
        <v>46</v>
      </c>
      <c r="F523" s="709" t="s">
        <v>377</v>
      </c>
      <c r="G523" s="947">
        <v>46844</v>
      </c>
      <c r="H523" s="738">
        <v>120</v>
      </c>
      <c r="I523" s="707" t="s">
        <v>1725</v>
      </c>
      <c r="J523" s="772">
        <v>25000000</v>
      </c>
      <c r="K523" s="772">
        <f t="shared" si="20"/>
        <v>30000000</v>
      </c>
      <c r="L523" s="710" t="s">
        <v>70</v>
      </c>
      <c r="M523" s="770" t="s">
        <v>45</v>
      </c>
    </row>
    <row r="524" spans="1:13" ht="23.15" customHeight="1">
      <c r="A524" s="707" t="s">
        <v>44</v>
      </c>
      <c r="B524" s="738" t="s">
        <v>45</v>
      </c>
      <c r="C524" s="710" t="s">
        <v>5044</v>
      </c>
      <c r="D524" s="730" t="s">
        <v>1440</v>
      </c>
      <c r="E524" s="710" t="s">
        <v>127</v>
      </c>
      <c r="F524" s="709" t="s">
        <v>5013</v>
      </c>
      <c r="G524" s="769">
        <v>46844</v>
      </c>
      <c r="H524" s="710">
        <v>60</v>
      </c>
      <c r="I524" s="884" t="s">
        <v>187</v>
      </c>
      <c r="J524" s="772">
        <v>109665</v>
      </c>
      <c r="K524" s="772">
        <f t="shared" si="20"/>
        <v>131598</v>
      </c>
      <c r="L524" s="731" t="s">
        <v>62</v>
      </c>
      <c r="M524" s="578" t="s">
        <v>71</v>
      </c>
    </row>
    <row r="525" spans="1:13" ht="23.15" customHeight="1">
      <c r="A525" s="707" t="s">
        <v>100</v>
      </c>
      <c r="B525" s="707">
        <v>52084</v>
      </c>
      <c r="C525" s="710" t="s">
        <v>122</v>
      </c>
      <c r="D525" s="710" t="s">
        <v>5217</v>
      </c>
      <c r="E525" s="710" t="s">
        <v>5060</v>
      </c>
      <c r="F525" s="709" t="s">
        <v>353</v>
      </c>
      <c r="G525" s="713">
        <v>46997</v>
      </c>
      <c r="H525" s="777">
        <v>96</v>
      </c>
      <c r="I525" s="777" t="s">
        <v>7081</v>
      </c>
      <c r="J525" s="772">
        <v>2800000</v>
      </c>
      <c r="K525" s="772">
        <f t="shared" si="20"/>
        <v>3360000</v>
      </c>
      <c r="L525" s="710" t="s">
        <v>70</v>
      </c>
      <c r="M525" s="711" t="s">
        <v>356</v>
      </c>
    </row>
    <row r="526" spans="1:13" ht="23.15" customHeight="1">
      <c r="A526" s="707" t="s">
        <v>44</v>
      </c>
      <c r="B526" s="738">
        <v>51885</v>
      </c>
      <c r="C526" s="710" t="s">
        <v>5044</v>
      </c>
      <c r="D526" s="710" t="s">
        <v>569</v>
      </c>
      <c r="E526" s="710" t="s">
        <v>33</v>
      </c>
      <c r="F526" s="709" t="s">
        <v>5112</v>
      </c>
      <c r="G526" s="947">
        <v>47027</v>
      </c>
      <c r="H526" s="738">
        <v>60</v>
      </c>
      <c r="I526" s="738">
        <v>60</v>
      </c>
      <c r="J526" s="772">
        <v>445000</v>
      </c>
      <c r="K526" s="772">
        <f t="shared" si="20"/>
        <v>534000</v>
      </c>
      <c r="L526" s="710" t="s">
        <v>70</v>
      </c>
      <c r="M526" s="770"/>
    </row>
    <row r="527" spans="1:13" ht="23.15" customHeight="1">
      <c r="A527" s="707" t="s">
        <v>44</v>
      </c>
      <c r="B527" s="738">
        <v>73132</v>
      </c>
      <c r="C527" s="710" t="s">
        <v>5044</v>
      </c>
      <c r="D527" s="730" t="s">
        <v>1440</v>
      </c>
      <c r="E527" s="710" t="s">
        <v>127</v>
      </c>
      <c r="F527" s="709" t="s">
        <v>4324</v>
      </c>
      <c r="G527" s="769">
        <v>47027</v>
      </c>
      <c r="H527" s="730"/>
      <c r="I527" s="730"/>
      <c r="J527" s="3033"/>
      <c r="K527" s="772" t="str">
        <f t="shared" si="20"/>
        <v/>
      </c>
      <c r="L527" s="744" t="s">
        <v>70</v>
      </c>
      <c r="M527" s="770"/>
    </row>
    <row r="528" spans="1:13" ht="23.15" customHeight="1">
      <c r="A528" s="707" t="s">
        <v>56</v>
      </c>
      <c r="B528" s="707" t="s">
        <v>60</v>
      </c>
      <c r="C528" s="710" t="s">
        <v>5044</v>
      </c>
      <c r="D528" s="710" t="s">
        <v>362</v>
      </c>
      <c r="E528" s="710" t="s">
        <v>279</v>
      </c>
      <c r="F528" s="709" t="s">
        <v>5550</v>
      </c>
      <c r="G528" s="713">
        <v>47027</v>
      </c>
      <c r="H528" s="777">
        <v>48</v>
      </c>
      <c r="I528" s="777">
        <v>48</v>
      </c>
      <c r="J528" s="772">
        <f>25290472*4</f>
        <v>101161888</v>
      </c>
      <c r="K528" s="772">
        <f t="shared" si="20"/>
        <v>121394265.59999999</v>
      </c>
      <c r="L528" s="707" t="s">
        <v>70</v>
      </c>
      <c r="M528" s="711"/>
    </row>
    <row r="529" spans="1:13" ht="23.15" customHeight="1">
      <c r="A529" s="707" t="s">
        <v>44</v>
      </c>
      <c r="B529" s="738" t="s">
        <v>45</v>
      </c>
      <c r="C529" s="710" t="s">
        <v>5044</v>
      </c>
      <c r="D529" s="730" t="s">
        <v>1440</v>
      </c>
      <c r="E529" s="710" t="s">
        <v>46</v>
      </c>
      <c r="F529" s="709" t="s">
        <v>4377</v>
      </c>
      <c r="G529" s="769">
        <v>47034</v>
      </c>
      <c r="H529" s="710" t="s">
        <v>45</v>
      </c>
      <c r="I529" s="884" t="s">
        <v>45</v>
      </c>
      <c r="J529" s="772" t="s">
        <v>45</v>
      </c>
      <c r="K529" s="772" t="str">
        <f t="shared" si="20"/>
        <v/>
      </c>
      <c r="L529" s="744" t="s">
        <v>62</v>
      </c>
      <c r="M529" s="738" t="s">
        <v>71</v>
      </c>
    </row>
    <row r="530" spans="1:13" ht="23.15" customHeight="1">
      <c r="A530" s="2995" t="s">
        <v>44</v>
      </c>
      <c r="B530" s="578" t="s">
        <v>45</v>
      </c>
      <c r="C530" s="710" t="s">
        <v>415</v>
      </c>
      <c r="D530" s="710" t="s">
        <v>1271</v>
      </c>
      <c r="E530" s="578" t="s">
        <v>80</v>
      </c>
      <c r="F530" s="2996" t="s">
        <v>5529</v>
      </c>
      <c r="G530" s="2997">
        <v>47058</v>
      </c>
      <c r="H530" s="578"/>
      <c r="I530" s="578"/>
      <c r="J530" s="772">
        <v>125000</v>
      </c>
      <c r="K530" s="772">
        <f t="shared" ref="K530:K558" si="21">IF(ISNUMBER(J530),SUM(J530*20%)+J530,"")</f>
        <v>150000</v>
      </c>
      <c r="L530" s="707" t="s">
        <v>45</v>
      </c>
      <c r="M530" s="707" t="s">
        <v>45</v>
      </c>
    </row>
    <row r="531" spans="1:13" ht="23.15" customHeight="1">
      <c r="A531" s="707" t="s">
        <v>44</v>
      </c>
      <c r="B531" s="738" t="s">
        <v>1152</v>
      </c>
      <c r="C531" s="710" t="s">
        <v>5044</v>
      </c>
      <c r="D531" s="710" t="s">
        <v>569</v>
      </c>
      <c r="E531" s="710" t="s">
        <v>33</v>
      </c>
      <c r="F531" s="709" t="s">
        <v>1153</v>
      </c>
      <c r="G531" s="947">
        <v>47068</v>
      </c>
      <c r="H531" s="738">
        <v>120</v>
      </c>
      <c r="I531" s="884" t="s">
        <v>7082</v>
      </c>
      <c r="J531" s="772">
        <v>595883.89</v>
      </c>
      <c r="K531" s="772">
        <f t="shared" si="21"/>
        <v>715060.66800000006</v>
      </c>
      <c r="L531" s="769" t="s">
        <v>70</v>
      </c>
      <c r="M531" s="769" t="s">
        <v>45</v>
      </c>
    </row>
    <row r="532" spans="1:13" ht="23.15" customHeight="1">
      <c r="A532" s="707" t="s">
        <v>44</v>
      </c>
      <c r="B532" s="738" t="s">
        <v>45</v>
      </c>
      <c r="C532" s="710" t="s">
        <v>5044</v>
      </c>
      <c r="D532" s="710" t="s">
        <v>569</v>
      </c>
      <c r="E532" s="710" t="s">
        <v>33</v>
      </c>
      <c r="F532" s="709" t="s">
        <v>218</v>
      </c>
      <c r="G532" s="947">
        <v>47209</v>
      </c>
      <c r="H532" s="707" t="s">
        <v>45</v>
      </c>
      <c r="I532" s="707" t="s">
        <v>45</v>
      </c>
      <c r="J532" s="772">
        <v>1414000</v>
      </c>
      <c r="K532" s="772">
        <f t="shared" si="21"/>
        <v>1696800</v>
      </c>
      <c r="L532" s="710" t="s">
        <v>70</v>
      </c>
      <c r="M532" s="710" t="s">
        <v>45</v>
      </c>
    </row>
    <row r="533" spans="1:13" ht="23.15" customHeight="1">
      <c r="A533" s="707" t="s">
        <v>44</v>
      </c>
      <c r="B533" s="738" t="s">
        <v>45</v>
      </c>
      <c r="C533" s="710" t="s">
        <v>5044</v>
      </c>
      <c r="D533" s="710" t="s">
        <v>569</v>
      </c>
      <c r="E533" s="710" t="s">
        <v>33</v>
      </c>
      <c r="F533" s="709" t="s">
        <v>2526</v>
      </c>
      <c r="G533" s="947">
        <v>47209</v>
      </c>
      <c r="H533" s="738" t="s">
        <v>45</v>
      </c>
      <c r="I533" s="738" t="s">
        <v>45</v>
      </c>
      <c r="J533" s="772" t="s">
        <v>45</v>
      </c>
      <c r="K533" s="772" t="str">
        <f t="shared" si="21"/>
        <v/>
      </c>
      <c r="L533" s="710" t="s">
        <v>45</v>
      </c>
      <c r="M533" s="738" t="s">
        <v>45</v>
      </c>
    </row>
    <row r="534" spans="1:13" ht="23.15" customHeight="1">
      <c r="A534" s="707" t="s">
        <v>44</v>
      </c>
      <c r="B534" s="738" t="s">
        <v>45</v>
      </c>
      <c r="C534" s="710" t="s">
        <v>5044</v>
      </c>
      <c r="D534" s="710" t="s">
        <v>569</v>
      </c>
      <c r="E534" s="710" t="s">
        <v>33</v>
      </c>
      <c r="F534" s="709" t="s">
        <v>1153</v>
      </c>
      <c r="G534" s="947">
        <v>47433</v>
      </c>
      <c r="H534" s="738" t="s">
        <v>45</v>
      </c>
      <c r="I534" s="884" t="s">
        <v>45</v>
      </c>
      <c r="J534" s="772" t="s">
        <v>45</v>
      </c>
      <c r="K534" s="772" t="str">
        <f t="shared" si="21"/>
        <v/>
      </c>
      <c r="L534" s="710" t="s">
        <v>45</v>
      </c>
      <c r="M534" s="738" t="s">
        <v>45</v>
      </c>
    </row>
    <row r="535" spans="1:13" ht="23.15" customHeight="1">
      <c r="A535" s="2995" t="s">
        <v>44</v>
      </c>
      <c r="B535" s="578" t="s">
        <v>7083</v>
      </c>
      <c r="C535" s="710" t="s">
        <v>630</v>
      </c>
      <c r="D535" s="710" t="s">
        <v>4964</v>
      </c>
      <c r="E535" s="710" t="s">
        <v>4965</v>
      </c>
      <c r="F535" s="2996" t="s">
        <v>5557</v>
      </c>
      <c r="G535" s="2997">
        <v>49583</v>
      </c>
      <c r="H535" s="578"/>
      <c r="I535" s="578"/>
      <c r="J535" s="2501"/>
      <c r="K535" s="772" t="str">
        <f t="shared" si="21"/>
        <v/>
      </c>
      <c r="L535" s="744" t="s">
        <v>45</v>
      </c>
      <c r="M535" s="707" t="s">
        <v>45</v>
      </c>
    </row>
    <row r="536" spans="1:13" ht="23.15" customHeight="1">
      <c r="A536" s="2995" t="s">
        <v>44</v>
      </c>
      <c r="B536" s="578" t="s">
        <v>5558</v>
      </c>
      <c r="C536" s="578" t="s">
        <v>630</v>
      </c>
      <c r="D536" s="710" t="s">
        <v>4964</v>
      </c>
      <c r="E536" s="578" t="s">
        <v>4965</v>
      </c>
      <c r="F536" s="2996" t="s">
        <v>5559</v>
      </c>
      <c r="G536" s="2997">
        <v>50612</v>
      </c>
      <c r="H536" s="578" t="s">
        <v>1170</v>
      </c>
      <c r="I536" s="578" t="s">
        <v>1170</v>
      </c>
      <c r="J536" s="772">
        <v>800000</v>
      </c>
      <c r="K536" s="772">
        <f t="shared" si="21"/>
        <v>960000</v>
      </c>
      <c r="L536" s="744" t="s">
        <v>45</v>
      </c>
      <c r="M536" s="707" t="s">
        <v>45</v>
      </c>
    </row>
    <row r="537" spans="1:13" ht="23.15" customHeight="1">
      <c r="A537" s="726" t="s">
        <v>56</v>
      </c>
      <c r="B537" s="726" t="s">
        <v>60</v>
      </c>
      <c r="C537" s="710" t="s">
        <v>630</v>
      </c>
      <c r="D537" s="710" t="s">
        <v>1315</v>
      </c>
      <c r="E537" s="730" t="s">
        <v>1471</v>
      </c>
      <c r="F537" s="728" t="s">
        <v>5560</v>
      </c>
      <c r="G537" s="711">
        <v>52322</v>
      </c>
      <c r="H537" s="893" t="str">
        <f>"tbc " &amp;25*12</f>
        <v>tbc 300</v>
      </c>
      <c r="I537" s="893" t="s">
        <v>60</v>
      </c>
      <c r="J537" s="772">
        <v>1000000000</v>
      </c>
      <c r="K537" s="772">
        <f t="shared" si="21"/>
        <v>1200000000</v>
      </c>
      <c r="L537" s="711" t="s">
        <v>310</v>
      </c>
      <c r="M537" s="711" t="s">
        <v>5561</v>
      </c>
    </row>
    <row r="538" spans="1:13" ht="23.15" customHeight="1">
      <c r="A538" s="3022" t="s">
        <v>44</v>
      </c>
      <c r="B538" s="2385" t="s">
        <v>5562</v>
      </c>
      <c r="C538" s="710" t="s">
        <v>5044</v>
      </c>
      <c r="D538" s="710" t="s">
        <v>362</v>
      </c>
      <c r="E538" s="2385" t="s">
        <v>4622</v>
      </c>
      <c r="F538" s="728" t="s">
        <v>5563</v>
      </c>
      <c r="G538" s="712" t="s">
        <v>5564</v>
      </c>
      <c r="H538" s="2385"/>
      <c r="I538" s="2385"/>
      <c r="J538" s="3009">
        <v>60772.97</v>
      </c>
      <c r="K538" s="772">
        <f t="shared" si="21"/>
        <v>72927.563999999998</v>
      </c>
      <c r="L538" s="744" t="s">
        <v>45</v>
      </c>
      <c r="M538" s="707" t="s">
        <v>45</v>
      </c>
    </row>
    <row r="539" spans="1:13" ht="23.15" customHeight="1">
      <c r="A539" s="726" t="s">
        <v>56</v>
      </c>
      <c r="B539" s="726" t="s">
        <v>60</v>
      </c>
      <c r="C539" s="710" t="s">
        <v>415</v>
      </c>
      <c r="D539" s="710" t="s">
        <v>1271</v>
      </c>
      <c r="E539" s="730" t="s">
        <v>4946</v>
      </c>
      <c r="F539" s="729" t="s">
        <v>5568</v>
      </c>
      <c r="G539" s="759" t="s">
        <v>918</v>
      </c>
      <c r="H539" s="891">
        <v>12</v>
      </c>
      <c r="I539" s="891">
        <v>12</v>
      </c>
      <c r="J539" s="772">
        <v>100000</v>
      </c>
      <c r="K539" s="772">
        <f t="shared" si="21"/>
        <v>120000</v>
      </c>
      <c r="L539" s="711" t="s">
        <v>62</v>
      </c>
      <c r="M539" s="711" t="s">
        <v>991</v>
      </c>
    </row>
    <row r="540" spans="1:13" ht="23.15" customHeight="1">
      <c r="A540" s="726" t="s">
        <v>56</v>
      </c>
      <c r="B540" s="726" t="s">
        <v>60</v>
      </c>
      <c r="C540" s="710" t="s">
        <v>415</v>
      </c>
      <c r="D540" s="710" t="s">
        <v>1271</v>
      </c>
      <c r="E540" s="730" t="s">
        <v>4946</v>
      </c>
      <c r="F540" s="729" t="s">
        <v>5569</v>
      </c>
      <c r="G540" s="759" t="s">
        <v>918</v>
      </c>
      <c r="H540" s="891">
        <v>12</v>
      </c>
      <c r="I540" s="891">
        <v>12</v>
      </c>
      <c r="J540" s="772">
        <v>125000</v>
      </c>
      <c r="K540" s="772">
        <f t="shared" si="21"/>
        <v>150000</v>
      </c>
      <c r="L540" s="711" t="s">
        <v>62</v>
      </c>
      <c r="M540" s="711" t="s">
        <v>991</v>
      </c>
    </row>
    <row r="541" spans="1:13" ht="23.15" customHeight="1">
      <c r="A541" s="726" t="s">
        <v>56</v>
      </c>
      <c r="B541" s="726" t="s">
        <v>60</v>
      </c>
      <c r="C541" s="710" t="s">
        <v>415</v>
      </c>
      <c r="D541" s="710" t="s">
        <v>1271</v>
      </c>
      <c r="E541" s="730" t="s">
        <v>4946</v>
      </c>
      <c r="F541" s="729" t="s">
        <v>5567</v>
      </c>
      <c r="G541" s="759" t="s">
        <v>918</v>
      </c>
      <c r="H541" s="891">
        <v>12</v>
      </c>
      <c r="I541" s="891">
        <v>12</v>
      </c>
      <c r="J541" s="772">
        <v>12350000</v>
      </c>
      <c r="K541" s="772">
        <f t="shared" si="21"/>
        <v>14820000</v>
      </c>
      <c r="L541" s="711" t="s">
        <v>310</v>
      </c>
      <c r="M541" s="711">
        <v>45184</v>
      </c>
    </row>
    <row r="542" spans="1:13" ht="23.15" customHeight="1">
      <c r="A542" s="726" t="s">
        <v>56</v>
      </c>
      <c r="B542" s="726" t="s">
        <v>60</v>
      </c>
      <c r="C542" s="710" t="s">
        <v>415</v>
      </c>
      <c r="D542" s="710" t="s">
        <v>1271</v>
      </c>
      <c r="E542" s="730" t="s">
        <v>4946</v>
      </c>
      <c r="F542" s="729" t="s">
        <v>5570</v>
      </c>
      <c r="G542" s="759" t="s">
        <v>60</v>
      </c>
      <c r="H542" s="891">
        <v>12</v>
      </c>
      <c r="I542" s="891">
        <v>12</v>
      </c>
      <c r="J542" s="772">
        <v>20000000</v>
      </c>
      <c r="K542" s="772">
        <f t="shared" si="21"/>
        <v>24000000</v>
      </c>
      <c r="L542" s="711" t="s">
        <v>310</v>
      </c>
      <c r="M542" s="711" t="s">
        <v>991</v>
      </c>
    </row>
    <row r="543" spans="1:13" ht="23.15" customHeight="1">
      <c r="A543" s="726" t="s">
        <v>56</v>
      </c>
      <c r="B543" s="726" t="s">
        <v>60</v>
      </c>
      <c r="C543" s="710" t="s">
        <v>415</v>
      </c>
      <c r="D543" s="710" t="s">
        <v>1271</v>
      </c>
      <c r="E543" s="730" t="s">
        <v>4946</v>
      </c>
      <c r="F543" s="729" t="s">
        <v>5572</v>
      </c>
      <c r="G543" s="759" t="s">
        <v>60</v>
      </c>
      <c r="H543" s="891">
        <v>12</v>
      </c>
      <c r="I543" s="891">
        <v>12</v>
      </c>
      <c r="J543" s="772">
        <v>7100000</v>
      </c>
      <c r="K543" s="772">
        <f t="shared" si="21"/>
        <v>8520000</v>
      </c>
      <c r="L543" s="711" t="s">
        <v>310</v>
      </c>
      <c r="M543" s="711" t="s">
        <v>991</v>
      </c>
    </row>
    <row r="544" spans="1:13" ht="23.15" customHeight="1">
      <c r="A544" s="726" t="s">
        <v>56</v>
      </c>
      <c r="B544" s="726" t="s">
        <v>60</v>
      </c>
      <c r="C544" s="710" t="s">
        <v>415</v>
      </c>
      <c r="D544" s="710" t="s">
        <v>1271</v>
      </c>
      <c r="E544" s="730" t="s">
        <v>4946</v>
      </c>
      <c r="F544" s="729" t="s">
        <v>5571</v>
      </c>
      <c r="G544" s="759" t="s">
        <v>60</v>
      </c>
      <c r="H544" s="891">
        <v>12</v>
      </c>
      <c r="I544" s="891">
        <v>12</v>
      </c>
      <c r="J544" s="772">
        <v>20000000</v>
      </c>
      <c r="K544" s="772">
        <f t="shared" si="21"/>
        <v>24000000</v>
      </c>
      <c r="L544" s="711" t="s">
        <v>310</v>
      </c>
      <c r="M544" s="711" t="s">
        <v>991</v>
      </c>
    </row>
    <row r="545" spans="1:13" ht="23.15" customHeight="1">
      <c r="A545" s="726" t="s">
        <v>56</v>
      </c>
      <c r="B545" s="726" t="s">
        <v>60</v>
      </c>
      <c r="C545" s="710" t="s">
        <v>415</v>
      </c>
      <c r="D545" s="710" t="s">
        <v>1271</v>
      </c>
      <c r="E545" s="730" t="s">
        <v>4946</v>
      </c>
      <c r="F545" s="729" t="s">
        <v>5573</v>
      </c>
      <c r="G545" s="759" t="s">
        <v>60</v>
      </c>
      <c r="H545" s="891">
        <v>12</v>
      </c>
      <c r="I545" s="891">
        <v>12</v>
      </c>
      <c r="J545" s="772">
        <v>5000000</v>
      </c>
      <c r="K545" s="772">
        <f t="shared" si="21"/>
        <v>6000000</v>
      </c>
      <c r="L545" s="711" t="s">
        <v>310</v>
      </c>
      <c r="M545" s="711" t="s">
        <v>991</v>
      </c>
    </row>
    <row r="546" spans="1:13" ht="23.15" customHeight="1">
      <c r="A546" s="3022" t="s">
        <v>44</v>
      </c>
      <c r="B546" s="2385" t="s">
        <v>5574</v>
      </c>
      <c r="C546" s="710" t="s">
        <v>5044</v>
      </c>
      <c r="D546" s="710" t="s">
        <v>569</v>
      </c>
      <c r="E546" s="2385" t="s">
        <v>33</v>
      </c>
      <c r="F546" s="728" t="s">
        <v>5575</v>
      </c>
      <c r="G546" s="712" t="s">
        <v>5576</v>
      </c>
      <c r="H546" s="2385"/>
      <c r="I546" s="2385"/>
      <c r="J546" s="3009">
        <v>111125</v>
      </c>
      <c r="K546" s="772">
        <f t="shared" si="21"/>
        <v>133350</v>
      </c>
      <c r="L546" s="744" t="s">
        <v>45</v>
      </c>
      <c r="M546" s="2385" t="s">
        <v>45</v>
      </c>
    </row>
    <row r="547" spans="1:13" ht="23.15" customHeight="1">
      <c r="A547" s="3022" t="s">
        <v>44</v>
      </c>
      <c r="B547" s="2385" t="s">
        <v>5577</v>
      </c>
      <c r="C547" s="710" t="s">
        <v>5044</v>
      </c>
      <c r="D547" s="710" t="s">
        <v>569</v>
      </c>
      <c r="E547" s="2385" t="s">
        <v>33</v>
      </c>
      <c r="F547" s="728" t="s">
        <v>5578</v>
      </c>
      <c r="G547" s="712" t="s">
        <v>5579</v>
      </c>
      <c r="H547" s="2385"/>
      <c r="I547" s="2385"/>
      <c r="J547" s="3009">
        <v>216068</v>
      </c>
      <c r="K547" s="772">
        <f t="shared" si="21"/>
        <v>259281.6</v>
      </c>
      <c r="L547" s="744" t="s">
        <v>45</v>
      </c>
      <c r="M547" s="707" t="s">
        <v>45</v>
      </c>
    </row>
    <row r="548" spans="1:13" ht="23.15" customHeight="1">
      <c r="A548" s="3022" t="s">
        <v>56</v>
      </c>
      <c r="B548" s="2385" t="s">
        <v>5580</v>
      </c>
      <c r="C548" s="710" t="s">
        <v>415</v>
      </c>
      <c r="D548" s="710" t="s">
        <v>4994</v>
      </c>
      <c r="E548" s="730" t="s">
        <v>4956</v>
      </c>
      <c r="F548" s="728" t="s">
        <v>5581</v>
      </c>
      <c r="G548" s="712" t="s">
        <v>5031</v>
      </c>
      <c r="H548" s="2385"/>
      <c r="I548" s="2385"/>
      <c r="J548" s="3009">
        <v>148000</v>
      </c>
      <c r="K548" s="772">
        <f t="shared" si="21"/>
        <v>177600</v>
      </c>
      <c r="L548" s="2385"/>
      <c r="M548" s="2385"/>
    </row>
    <row r="549" spans="1:13" ht="23.15" customHeight="1">
      <c r="A549" s="3022" t="s">
        <v>56</v>
      </c>
      <c r="B549" s="2385" t="s">
        <v>5582</v>
      </c>
      <c r="C549" s="710" t="s">
        <v>415</v>
      </c>
      <c r="D549" s="710" t="s">
        <v>4994</v>
      </c>
      <c r="E549" s="2385" t="s">
        <v>4956</v>
      </c>
      <c r="F549" s="728" t="s">
        <v>5583</v>
      </c>
      <c r="G549" s="712" t="s">
        <v>5035</v>
      </c>
      <c r="H549" s="2385"/>
      <c r="I549" s="2385"/>
      <c r="J549" s="3009">
        <v>50750</v>
      </c>
      <c r="K549" s="772">
        <f t="shared" si="21"/>
        <v>60900</v>
      </c>
      <c r="L549" s="2385"/>
      <c r="M549" s="2385"/>
    </row>
    <row r="550" spans="1:13" ht="23.15" customHeight="1">
      <c r="A550" s="707" t="s">
        <v>44</v>
      </c>
      <c r="B550" s="707" t="s">
        <v>60</v>
      </c>
      <c r="C550" s="710" t="s">
        <v>630</v>
      </c>
      <c r="D550" s="710" t="s">
        <v>1315</v>
      </c>
      <c r="E550" s="710" t="s">
        <v>4949</v>
      </c>
      <c r="F550" s="709" t="s">
        <v>5318</v>
      </c>
      <c r="G550" s="711" t="s">
        <v>837</v>
      </c>
      <c r="H550" s="777" t="s">
        <v>60</v>
      </c>
      <c r="I550" s="777" t="s">
        <v>60</v>
      </c>
      <c r="J550" s="772">
        <v>200000</v>
      </c>
      <c r="K550" s="772">
        <f t="shared" si="21"/>
        <v>240000</v>
      </c>
      <c r="L550" s="710" t="s">
        <v>62</v>
      </c>
      <c r="M550" s="710" t="s">
        <v>60</v>
      </c>
    </row>
    <row r="551" spans="1:13" ht="23.15" customHeight="1">
      <c r="A551" s="726" t="s">
        <v>56</v>
      </c>
      <c r="B551" s="726" t="s">
        <v>45</v>
      </c>
      <c r="C551" s="710" t="s">
        <v>5044</v>
      </c>
      <c r="D551" s="710" t="s">
        <v>362</v>
      </c>
      <c r="E551" s="730" t="s">
        <v>4946</v>
      </c>
      <c r="F551" s="709" t="s">
        <v>5584</v>
      </c>
      <c r="G551" s="759" t="s">
        <v>837</v>
      </c>
      <c r="H551" s="891">
        <v>8</v>
      </c>
      <c r="I551" s="891">
        <v>8</v>
      </c>
      <c r="J551" s="772">
        <v>175000</v>
      </c>
      <c r="K551" s="772">
        <f t="shared" si="21"/>
        <v>210000</v>
      </c>
      <c r="L551" s="711" t="s">
        <v>60</v>
      </c>
      <c r="M551" s="711" t="s">
        <v>60</v>
      </c>
    </row>
    <row r="552" spans="1:13" ht="23.15" customHeight="1">
      <c r="A552" s="577" t="s">
        <v>56</v>
      </c>
      <c r="B552" s="707" t="s">
        <v>45</v>
      </c>
      <c r="C552" s="710" t="s">
        <v>630</v>
      </c>
      <c r="D552" s="710" t="s">
        <v>1315</v>
      </c>
      <c r="E552" s="710" t="s">
        <v>1471</v>
      </c>
      <c r="F552" s="709" t="s">
        <v>5466</v>
      </c>
      <c r="G552" s="711" t="s">
        <v>837</v>
      </c>
      <c r="H552" s="893">
        <v>24</v>
      </c>
      <c r="I552" s="710">
        <v>24</v>
      </c>
      <c r="J552" s="772">
        <v>3130000</v>
      </c>
      <c r="K552" s="772">
        <f t="shared" si="21"/>
        <v>3756000</v>
      </c>
      <c r="L552" s="711" t="s">
        <v>70</v>
      </c>
      <c r="M552" s="730"/>
    </row>
    <row r="553" spans="1:13" ht="23.15" customHeight="1">
      <c r="A553" s="726" t="s">
        <v>56</v>
      </c>
      <c r="B553" s="726" t="s">
        <v>45</v>
      </c>
      <c r="C553" s="710" t="s">
        <v>5044</v>
      </c>
      <c r="D553" s="710" t="s">
        <v>362</v>
      </c>
      <c r="E553" s="730" t="s">
        <v>4946</v>
      </c>
      <c r="F553" s="709" t="s">
        <v>5585</v>
      </c>
      <c r="G553" s="2997" t="s">
        <v>45</v>
      </c>
      <c r="H553" s="891">
        <v>6</v>
      </c>
      <c r="I553" s="891">
        <v>6</v>
      </c>
      <c r="J553" s="772">
        <v>135456</v>
      </c>
      <c r="K553" s="772">
        <f t="shared" si="21"/>
        <v>162547.20000000001</v>
      </c>
      <c r="L553" s="711" t="s">
        <v>60</v>
      </c>
      <c r="M553" s="711" t="s">
        <v>60</v>
      </c>
    </row>
    <row r="554" spans="1:13" ht="23.15" customHeight="1">
      <c r="A554" s="726" t="s">
        <v>56</v>
      </c>
      <c r="B554" s="726">
        <v>67756</v>
      </c>
      <c r="C554" s="710" t="s">
        <v>5044</v>
      </c>
      <c r="D554" s="710" t="s">
        <v>362</v>
      </c>
      <c r="E554" s="730" t="s">
        <v>4946</v>
      </c>
      <c r="F554" s="729" t="s">
        <v>7084</v>
      </c>
      <c r="G554" s="2997" t="s">
        <v>45</v>
      </c>
      <c r="H554" s="891">
        <v>3</v>
      </c>
      <c r="I554" s="891">
        <v>3</v>
      </c>
      <c r="J554" s="772">
        <v>150000</v>
      </c>
      <c r="K554" s="772">
        <f t="shared" si="21"/>
        <v>180000</v>
      </c>
      <c r="L554" s="711"/>
      <c r="M554" s="711"/>
    </row>
    <row r="555" spans="1:13" ht="23.15" customHeight="1">
      <c r="A555" s="2995" t="s">
        <v>56</v>
      </c>
      <c r="B555" s="578"/>
      <c r="C555" s="710" t="s">
        <v>415</v>
      </c>
      <c r="D555" s="710" t="s">
        <v>1271</v>
      </c>
      <c r="E555" s="578" t="s">
        <v>4946</v>
      </c>
      <c r="F555" s="2996" t="s">
        <v>5593</v>
      </c>
      <c r="G555" s="2997" t="s">
        <v>5588</v>
      </c>
      <c r="H555" s="578"/>
      <c r="I555" s="578"/>
      <c r="J555" s="2501"/>
      <c r="K555" s="772" t="str">
        <f t="shared" si="21"/>
        <v/>
      </c>
      <c r="L555" s="578"/>
      <c r="M555" s="578"/>
    </row>
    <row r="556" spans="1:13" ht="23.15" customHeight="1">
      <c r="A556" s="2995" t="s">
        <v>56</v>
      </c>
      <c r="B556" s="578"/>
      <c r="C556" s="710" t="s">
        <v>415</v>
      </c>
      <c r="D556" s="710" t="s">
        <v>1271</v>
      </c>
      <c r="E556" s="578" t="s">
        <v>4946</v>
      </c>
      <c r="F556" s="2996" t="s">
        <v>5587</v>
      </c>
      <c r="G556" s="2997" t="s">
        <v>5588</v>
      </c>
      <c r="H556" s="578"/>
      <c r="I556" s="3034" t="s">
        <v>5589</v>
      </c>
      <c r="J556" s="2501"/>
      <c r="K556" s="772" t="str">
        <f t="shared" si="21"/>
        <v/>
      </c>
      <c r="L556" s="578"/>
      <c r="M556" s="578"/>
    </row>
    <row r="557" spans="1:13" ht="23.15" customHeight="1">
      <c r="A557" s="2995" t="s">
        <v>56</v>
      </c>
      <c r="B557" s="578"/>
      <c r="C557" s="578" t="s">
        <v>630</v>
      </c>
      <c r="D557" s="710" t="s">
        <v>1360</v>
      </c>
      <c r="E557" s="578" t="s">
        <v>4622</v>
      </c>
      <c r="F557" s="2996" t="s">
        <v>5592</v>
      </c>
      <c r="G557" s="2997" t="s">
        <v>5588</v>
      </c>
      <c r="H557" s="578"/>
      <c r="I557" s="578"/>
      <c r="J557" s="2501"/>
      <c r="K557" s="772" t="str">
        <f t="shared" si="21"/>
        <v/>
      </c>
      <c r="L557" s="578"/>
      <c r="M557" s="578"/>
    </row>
    <row r="558" spans="1:13" ht="23.15" customHeight="1">
      <c r="A558" s="2995" t="s">
        <v>56</v>
      </c>
      <c r="B558" s="578"/>
      <c r="C558" s="710" t="s">
        <v>415</v>
      </c>
      <c r="D558" s="710" t="s">
        <v>1271</v>
      </c>
      <c r="E558" s="578" t="s">
        <v>4946</v>
      </c>
      <c r="F558" s="2996" t="s">
        <v>5590</v>
      </c>
      <c r="G558" s="2997" t="s">
        <v>5588</v>
      </c>
      <c r="H558" s="578"/>
      <c r="I558" s="3034" t="s">
        <v>5591</v>
      </c>
      <c r="J558" s="2501"/>
      <c r="K558" s="772" t="str">
        <f t="shared" si="21"/>
        <v/>
      </c>
      <c r="L558" s="578"/>
      <c r="M558" s="578"/>
    </row>
    <row r="559" spans="1:13" s="399" customFormat="1" ht="23.15" customHeight="1">
      <c r="A559" s="2995" t="s">
        <v>56</v>
      </c>
      <c r="B559" s="578"/>
      <c r="C559" s="710" t="s">
        <v>415</v>
      </c>
      <c r="D559" s="710" t="s">
        <v>1271</v>
      </c>
      <c r="E559" s="578" t="s">
        <v>4946</v>
      </c>
      <c r="F559" s="2996" t="s">
        <v>5594</v>
      </c>
      <c r="G559" s="2997" t="s">
        <v>5588</v>
      </c>
      <c r="H559" s="578"/>
      <c r="I559" s="578"/>
      <c r="J559" s="2501"/>
      <c r="K559" s="772" t="str">
        <f t="shared" ref="K559:K581" si="22">IF(ISNUMBER(J559),SUM(J559*20%)+J559,"")</f>
        <v/>
      </c>
      <c r="L559" s="578"/>
      <c r="M559" s="578"/>
    </row>
    <row r="560" spans="1:13" s="399" customFormat="1" ht="23.15" customHeight="1">
      <c r="A560" s="2995" t="s">
        <v>56</v>
      </c>
      <c r="B560" s="578"/>
      <c r="C560" s="710" t="s">
        <v>5044</v>
      </c>
      <c r="D560" s="710" t="s">
        <v>362</v>
      </c>
      <c r="E560" s="578" t="s">
        <v>4946</v>
      </c>
      <c r="F560" s="2996" t="s">
        <v>5595</v>
      </c>
      <c r="G560" s="2997" t="s">
        <v>5596</v>
      </c>
      <c r="H560" s="578"/>
      <c r="I560" s="578"/>
      <c r="J560" s="2501"/>
      <c r="K560" s="772" t="str">
        <f t="shared" si="22"/>
        <v/>
      </c>
      <c r="L560" s="578"/>
      <c r="M560" s="578"/>
    </row>
    <row r="561" spans="1:13" s="2323" customFormat="1" ht="23.15" customHeight="1">
      <c r="A561" s="2995" t="s">
        <v>56</v>
      </c>
      <c r="B561" s="578" t="s">
        <v>60</v>
      </c>
      <c r="C561" s="710" t="s">
        <v>415</v>
      </c>
      <c r="D561" s="710" t="s">
        <v>1271</v>
      </c>
      <c r="E561" s="578" t="s">
        <v>4946</v>
      </c>
      <c r="F561" s="2996" t="s">
        <v>5597</v>
      </c>
      <c r="G561" s="2997" t="s">
        <v>3334</v>
      </c>
      <c r="H561" s="578"/>
      <c r="I561" s="578"/>
      <c r="J561" s="772">
        <v>1900000</v>
      </c>
      <c r="K561" s="772">
        <f t="shared" si="22"/>
        <v>2280000</v>
      </c>
      <c r="L561" s="578"/>
      <c r="M561" s="578"/>
    </row>
    <row r="562" spans="1:13" s="2323" customFormat="1" ht="23.15" customHeight="1">
      <c r="A562" s="726" t="s">
        <v>56</v>
      </c>
      <c r="B562" s="726" t="s">
        <v>60</v>
      </c>
      <c r="C562" s="710" t="s">
        <v>630</v>
      </c>
      <c r="D562" s="710" t="s">
        <v>1360</v>
      </c>
      <c r="E562" s="730" t="s">
        <v>4946</v>
      </c>
      <c r="F562" s="728" t="s">
        <v>5626</v>
      </c>
      <c r="G562" s="759" t="s">
        <v>60</v>
      </c>
      <c r="H562" s="891">
        <v>4</v>
      </c>
      <c r="I562" s="891">
        <v>4</v>
      </c>
      <c r="J562" s="772">
        <v>700000</v>
      </c>
      <c r="K562" s="772">
        <f t="shared" si="22"/>
        <v>840000</v>
      </c>
      <c r="L562" s="711" t="s">
        <v>310</v>
      </c>
      <c r="M562" s="711" t="s">
        <v>60</v>
      </c>
    </row>
    <row r="563" spans="1:13" s="2323" customFormat="1" ht="23.15" customHeight="1">
      <c r="A563" s="2995" t="s">
        <v>44</v>
      </c>
      <c r="B563" s="578" t="s">
        <v>45</v>
      </c>
      <c r="C563" s="710" t="s">
        <v>630</v>
      </c>
      <c r="D563" s="2385" t="s">
        <v>4964</v>
      </c>
      <c r="E563" s="578" t="s">
        <v>4965</v>
      </c>
      <c r="F563" s="2996" t="s">
        <v>7085</v>
      </c>
      <c r="G563" s="2997" t="s">
        <v>60</v>
      </c>
      <c r="H563" s="578"/>
      <c r="I563" s="578"/>
      <c r="J563" s="3035">
        <f>1500000</f>
        <v>1500000</v>
      </c>
      <c r="K563" s="772">
        <f t="shared" si="22"/>
        <v>1800000</v>
      </c>
      <c r="L563" s="578"/>
      <c r="M563" s="578"/>
    </row>
    <row r="564" spans="1:13" s="2323" customFormat="1" ht="23.15" customHeight="1">
      <c r="A564" s="2385" t="s">
        <v>56</v>
      </c>
      <c r="B564" s="2385" t="s">
        <v>1170</v>
      </c>
      <c r="C564" s="710" t="s">
        <v>5044</v>
      </c>
      <c r="D564" s="710" t="s">
        <v>362</v>
      </c>
      <c r="E564" s="710" t="s">
        <v>4622</v>
      </c>
      <c r="F564" s="728" t="s">
        <v>5614</v>
      </c>
      <c r="G564" s="730" t="s">
        <v>45</v>
      </c>
      <c r="H564" s="2385" t="s">
        <v>1170</v>
      </c>
      <c r="I564" s="2385" t="s">
        <v>1170</v>
      </c>
      <c r="J564" s="2385" t="s">
        <v>1170</v>
      </c>
      <c r="K564" s="772" t="str">
        <f t="shared" si="22"/>
        <v/>
      </c>
      <c r="L564" s="2385" t="s">
        <v>1170</v>
      </c>
      <c r="M564" s="2385" t="s">
        <v>1170</v>
      </c>
    </row>
    <row r="565" spans="1:13" s="2323" customFormat="1" ht="23.15" customHeight="1">
      <c r="A565" s="707" t="s">
        <v>56</v>
      </c>
      <c r="B565" s="707" t="s">
        <v>45</v>
      </c>
      <c r="C565" s="730" t="s">
        <v>630</v>
      </c>
      <c r="D565" s="710" t="s">
        <v>1360</v>
      </c>
      <c r="E565" s="710" t="s">
        <v>4946</v>
      </c>
      <c r="F565" s="709" t="s">
        <v>5612</v>
      </c>
      <c r="G565" s="770" t="s">
        <v>60</v>
      </c>
      <c r="H565" s="738" t="s">
        <v>60</v>
      </c>
      <c r="I565" s="707" t="s">
        <v>60</v>
      </c>
      <c r="J565" s="772" t="s">
        <v>60</v>
      </c>
      <c r="K565" s="772" t="str">
        <f t="shared" si="22"/>
        <v/>
      </c>
      <c r="L565" s="710" t="s">
        <v>45</v>
      </c>
      <c r="M565" s="738"/>
    </row>
    <row r="566" spans="1:13" s="2323" customFormat="1" ht="23.15" customHeight="1">
      <c r="A566" s="2995" t="s">
        <v>100</v>
      </c>
      <c r="B566" s="578" t="s">
        <v>45</v>
      </c>
      <c r="C566" s="710" t="s">
        <v>415</v>
      </c>
      <c r="D566" s="710" t="s">
        <v>1271</v>
      </c>
      <c r="E566" s="578" t="s">
        <v>4982</v>
      </c>
      <c r="F566" s="2996" t="s">
        <v>5620</v>
      </c>
      <c r="G566" s="2997" t="s">
        <v>45</v>
      </c>
      <c r="H566" s="707" t="s">
        <v>45</v>
      </c>
      <c r="I566" s="707" t="s">
        <v>45</v>
      </c>
      <c r="J566" s="772" t="s">
        <v>45</v>
      </c>
      <c r="K566" s="772" t="str">
        <f t="shared" si="22"/>
        <v/>
      </c>
      <c r="L566" s="710" t="s">
        <v>45</v>
      </c>
      <c r="M566" s="710" t="s">
        <v>45</v>
      </c>
    </row>
    <row r="567" spans="1:13" s="2323" customFormat="1" ht="23.15" customHeight="1">
      <c r="A567" s="2995" t="s">
        <v>100</v>
      </c>
      <c r="B567" s="578" t="s">
        <v>5616</v>
      </c>
      <c r="C567" s="710" t="s">
        <v>415</v>
      </c>
      <c r="D567" s="710" t="s">
        <v>4981</v>
      </c>
      <c r="E567" s="578" t="s">
        <v>4982</v>
      </c>
      <c r="F567" s="2996" t="s">
        <v>5617</v>
      </c>
      <c r="G567" s="2997" t="s">
        <v>45</v>
      </c>
      <c r="H567" s="707" t="s">
        <v>45</v>
      </c>
      <c r="I567" s="707" t="s">
        <v>45</v>
      </c>
      <c r="J567" s="772" t="s">
        <v>45</v>
      </c>
      <c r="K567" s="772" t="str">
        <f t="shared" si="22"/>
        <v/>
      </c>
      <c r="L567" s="710" t="s">
        <v>45</v>
      </c>
      <c r="M567" s="710" t="s">
        <v>45</v>
      </c>
    </row>
    <row r="568" spans="1:13" s="2323" customFormat="1" ht="23.15" customHeight="1">
      <c r="A568" s="726" t="s">
        <v>56</v>
      </c>
      <c r="B568" s="726" t="s">
        <v>45</v>
      </c>
      <c r="C568" s="710" t="s">
        <v>415</v>
      </c>
      <c r="D568" s="710" t="s">
        <v>4994</v>
      </c>
      <c r="E568" s="730" t="s">
        <v>4946</v>
      </c>
      <c r="F568" s="729" t="s">
        <v>5608</v>
      </c>
      <c r="G568" s="759" t="s">
        <v>60</v>
      </c>
      <c r="H568" s="578"/>
      <c r="I568" s="759"/>
      <c r="J568" s="772">
        <f>50000/1.2</f>
        <v>41666.666666666672</v>
      </c>
      <c r="K568" s="772">
        <f t="shared" si="22"/>
        <v>50000.000000000007</v>
      </c>
      <c r="L568" s="711" t="s">
        <v>1568</v>
      </c>
      <c r="M568" s="711"/>
    </row>
    <row r="569" spans="1:13" s="2323" customFormat="1" ht="23.15" customHeight="1">
      <c r="A569" s="2995" t="s">
        <v>100</v>
      </c>
      <c r="B569" s="578" t="s">
        <v>45</v>
      </c>
      <c r="C569" s="710" t="s">
        <v>415</v>
      </c>
      <c r="D569" s="710" t="s">
        <v>4981</v>
      </c>
      <c r="E569" s="578" t="s">
        <v>4982</v>
      </c>
      <c r="F569" s="2996" t="s">
        <v>5619</v>
      </c>
      <c r="G569" s="2997" t="s">
        <v>45</v>
      </c>
      <c r="H569" s="707" t="s">
        <v>45</v>
      </c>
      <c r="I569" s="707" t="s">
        <v>45</v>
      </c>
      <c r="J569" s="772" t="s">
        <v>45</v>
      </c>
      <c r="K569" s="772" t="str">
        <f t="shared" si="22"/>
        <v/>
      </c>
      <c r="L569" s="710" t="s">
        <v>45</v>
      </c>
      <c r="M569" s="710" t="s">
        <v>45</v>
      </c>
    </row>
    <row r="570" spans="1:13" s="2323" customFormat="1" ht="23.15" customHeight="1">
      <c r="A570" s="2995" t="s">
        <v>56</v>
      </c>
      <c r="B570" s="578"/>
      <c r="C570" s="710" t="s">
        <v>415</v>
      </c>
      <c r="D570" s="710" t="s">
        <v>4994</v>
      </c>
      <c r="E570" s="710" t="s">
        <v>4946</v>
      </c>
      <c r="F570" s="2996" t="s">
        <v>5652</v>
      </c>
      <c r="G570" s="2997" t="s">
        <v>45</v>
      </c>
      <c r="H570" s="578"/>
      <c r="I570" s="578"/>
      <c r="J570" s="772">
        <v>2700000</v>
      </c>
      <c r="K570" s="772">
        <f t="shared" si="22"/>
        <v>3240000</v>
      </c>
      <c r="L570" s="578"/>
      <c r="M570" s="578"/>
    </row>
    <row r="571" spans="1:13" s="2323" customFormat="1" ht="23.15" customHeight="1">
      <c r="A571" s="2995" t="s">
        <v>56</v>
      </c>
      <c r="B571" s="578" t="s">
        <v>45</v>
      </c>
      <c r="C571" s="710" t="s">
        <v>630</v>
      </c>
      <c r="D571" s="2385" t="s">
        <v>4964</v>
      </c>
      <c r="E571" s="578" t="s">
        <v>4946</v>
      </c>
      <c r="F571" s="2996" t="s">
        <v>7086</v>
      </c>
      <c r="G571" s="2997" t="s">
        <v>60</v>
      </c>
      <c r="H571" s="578"/>
      <c r="I571" s="578"/>
      <c r="J571" s="3035">
        <v>5500000</v>
      </c>
      <c r="K571" s="772">
        <f t="shared" si="22"/>
        <v>6600000</v>
      </c>
      <c r="L571" s="578"/>
      <c r="M571" s="578"/>
    </row>
    <row r="572" spans="1:13" s="2323" customFormat="1" ht="23.15" customHeight="1">
      <c r="A572" s="2995" t="s">
        <v>56</v>
      </c>
      <c r="B572" s="578" t="s">
        <v>45</v>
      </c>
      <c r="C572" s="710" t="s">
        <v>5044</v>
      </c>
      <c r="D572" s="710" t="s">
        <v>362</v>
      </c>
      <c r="E572" s="578" t="s">
        <v>4946</v>
      </c>
      <c r="F572" s="2996" t="s">
        <v>7087</v>
      </c>
      <c r="G572" s="2997" t="s">
        <v>45</v>
      </c>
      <c r="H572" s="578" t="s">
        <v>1170</v>
      </c>
      <c r="I572" s="578" t="s">
        <v>1170</v>
      </c>
      <c r="J572" s="3035" t="s">
        <v>1230</v>
      </c>
      <c r="K572" s="772" t="str">
        <f t="shared" si="22"/>
        <v/>
      </c>
      <c r="L572" s="578"/>
      <c r="M572" s="578"/>
    </row>
    <row r="573" spans="1:13" s="2323" customFormat="1" ht="23.15" customHeight="1">
      <c r="A573" s="2385" t="s">
        <v>56</v>
      </c>
      <c r="B573" s="2385" t="s">
        <v>1170</v>
      </c>
      <c r="C573" s="710" t="s">
        <v>5044</v>
      </c>
      <c r="D573" s="710" t="s">
        <v>362</v>
      </c>
      <c r="E573" s="710" t="s">
        <v>4622</v>
      </c>
      <c r="F573" s="728" t="s">
        <v>5615</v>
      </c>
      <c r="G573" s="730" t="s">
        <v>45</v>
      </c>
      <c r="H573" s="2385" t="s">
        <v>45</v>
      </c>
      <c r="I573" s="2385" t="s">
        <v>45</v>
      </c>
      <c r="J573" s="3000">
        <v>150000</v>
      </c>
      <c r="K573" s="772">
        <f t="shared" si="22"/>
        <v>180000</v>
      </c>
      <c r="L573" s="2385" t="s">
        <v>1170</v>
      </c>
      <c r="M573" s="2385" t="s">
        <v>1170</v>
      </c>
    </row>
    <row r="574" spans="1:13" s="2323" customFormat="1" ht="23.15" customHeight="1">
      <c r="A574" s="726" t="s">
        <v>56</v>
      </c>
      <c r="B574" s="726" t="s">
        <v>60</v>
      </c>
      <c r="C574" s="710" t="s">
        <v>5044</v>
      </c>
      <c r="D574" s="710" t="s">
        <v>362</v>
      </c>
      <c r="E574" s="730" t="s">
        <v>4946</v>
      </c>
      <c r="F574" s="729" t="s">
        <v>5629</v>
      </c>
      <c r="G574" s="2997" t="s">
        <v>45</v>
      </c>
      <c r="H574" s="2997" t="s">
        <v>45</v>
      </c>
      <c r="I574" s="2997" t="s">
        <v>45</v>
      </c>
      <c r="J574" s="2997" t="s">
        <v>45</v>
      </c>
      <c r="K574" s="772" t="str">
        <f t="shared" si="22"/>
        <v/>
      </c>
      <c r="L574" s="711" t="s">
        <v>62</v>
      </c>
      <c r="M574" s="711" t="s">
        <v>589</v>
      </c>
    </row>
    <row r="575" spans="1:13" s="2323" customFormat="1" ht="23.15" customHeight="1">
      <c r="A575" s="726" t="s">
        <v>56</v>
      </c>
      <c r="B575" s="726" t="s">
        <v>60</v>
      </c>
      <c r="C575" s="710" t="s">
        <v>5044</v>
      </c>
      <c r="D575" s="710" t="s">
        <v>362</v>
      </c>
      <c r="E575" s="730" t="s">
        <v>4622</v>
      </c>
      <c r="F575" s="728" t="s">
        <v>5625</v>
      </c>
      <c r="G575" s="711">
        <v>45669</v>
      </c>
      <c r="H575" s="893">
        <f>5*12</f>
        <v>60</v>
      </c>
      <c r="I575" s="2997" t="s">
        <v>45</v>
      </c>
      <c r="J575" s="772">
        <f>5*12000</f>
        <v>60000</v>
      </c>
      <c r="K575" s="772">
        <f t="shared" si="22"/>
        <v>72000</v>
      </c>
      <c r="L575" s="711" t="s">
        <v>62</v>
      </c>
      <c r="M575" s="711" t="s">
        <v>60</v>
      </c>
    </row>
    <row r="576" spans="1:13" s="2323" customFormat="1" ht="23.15" customHeight="1">
      <c r="A576" s="707" t="s">
        <v>56</v>
      </c>
      <c r="B576" s="707" t="s">
        <v>45</v>
      </c>
      <c r="C576" s="710" t="s">
        <v>5044</v>
      </c>
      <c r="D576" s="730" t="s">
        <v>362</v>
      </c>
      <c r="E576" s="710" t="s">
        <v>4946</v>
      </c>
      <c r="F576" s="709" t="s">
        <v>5453</v>
      </c>
      <c r="G576" s="2997" t="s">
        <v>45</v>
      </c>
      <c r="H576" s="2997" t="s">
        <v>45</v>
      </c>
      <c r="I576" s="2997" t="s">
        <v>45</v>
      </c>
      <c r="J576" s="772">
        <v>500000</v>
      </c>
      <c r="K576" s="772">
        <f t="shared" si="22"/>
        <v>600000</v>
      </c>
      <c r="L576" s="769" t="s">
        <v>70</v>
      </c>
      <c r="M576" s="738" t="s">
        <v>45</v>
      </c>
    </row>
    <row r="577" spans="1:13" s="2323" customFormat="1" ht="23.15" customHeight="1">
      <c r="A577" s="2995" t="s">
        <v>56</v>
      </c>
      <c r="B577" s="578" t="s">
        <v>45</v>
      </c>
      <c r="C577" s="710" t="s">
        <v>415</v>
      </c>
      <c r="D577" s="710" t="s">
        <v>4994</v>
      </c>
      <c r="E577" s="578" t="s">
        <v>4956</v>
      </c>
      <c r="F577" s="2996" t="s">
        <v>5651</v>
      </c>
      <c r="G577" s="2997" t="s">
        <v>45</v>
      </c>
      <c r="H577" s="2997">
        <v>45016</v>
      </c>
      <c r="I577" s="578"/>
      <c r="J577" s="772">
        <v>3900000</v>
      </c>
      <c r="K577" s="772">
        <f t="shared" si="22"/>
        <v>4680000</v>
      </c>
      <c r="L577" s="578"/>
      <c r="M577" s="578"/>
    </row>
    <row r="578" spans="1:13" s="2323" customFormat="1" ht="23.15" customHeight="1">
      <c r="A578" s="707" t="s">
        <v>5632</v>
      </c>
      <c r="B578" s="707"/>
      <c r="C578" s="710" t="s">
        <v>5113</v>
      </c>
      <c r="D578" s="710" t="s">
        <v>1374</v>
      </c>
      <c r="E578" s="730" t="s">
        <v>4949</v>
      </c>
      <c r="F578" s="728" t="s">
        <v>5633</v>
      </c>
      <c r="G578" s="1242" t="s">
        <v>45</v>
      </c>
      <c r="H578" s="707" t="s">
        <v>45</v>
      </c>
      <c r="I578" s="707" t="s">
        <v>45</v>
      </c>
      <c r="J578" s="772" t="s">
        <v>45</v>
      </c>
      <c r="K578" s="772" t="str">
        <f t="shared" si="22"/>
        <v/>
      </c>
      <c r="L578" s="707"/>
      <c r="M578" s="707"/>
    </row>
    <row r="579" spans="1:13" s="2323" customFormat="1" ht="23.15" customHeight="1">
      <c r="A579" s="726" t="s">
        <v>56</v>
      </c>
      <c r="B579" s="726" t="s">
        <v>60</v>
      </c>
      <c r="C579" s="710" t="s">
        <v>630</v>
      </c>
      <c r="D579" s="710" t="s">
        <v>1360</v>
      </c>
      <c r="E579" s="730" t="s">
        <v>4946</v>
      </c>
      <c r="F579" s="728" t="s">
        <v>7088</v>
      </c>
      <c r="G579" s="759" t="s">
        <v>60</v>
      </c>
      <c r="H579" s="891" t="s">
        <v>60</v>
      </c>
      <c r="I579" s="891" t="s">
        <v>60</v>
      </c>
      <c r="J579" s="772">
        <v>75000</v>
      </c>
      <c r="K579" s="772">
        <f t="shared" si="22"/>
        <v>90000</v>
      </c>
      <c r="L579" s="711" t="s">
        <v>62</v>
      </c>
      <c r="M579" s="711" t="s">
        <v>60</v>
      </c>
    </row>
    <row r="580" spans="1:13" s="2323" customFormat="1" ht="23.15" customHeight="1">
      <c r="A580" s="707" t="s">
        <v>56</v>
      </c>
      <c r="B580" s="707" t="s">
        <v>45</v>
      </c>
      <c r="C580" s="710" t="s">
        <v>5044</v>
      </c>
      <c r="D580" s="710" t="s">
        <v>362</v>
      </c>
      <c r="E580" s="710" t="s">
        <v>4946</v>
      </c>
      <c r="F580" s="709" t="s">
        <v>5604</v>
      </c>
      <c r="G580" s="2997" t="s">
        <v>45</v>
      </c>
      <c r="H580" s="2997" t="s">
        <v>45</v>
      </c>
      <c r="I580" s="2997" t="s">
        <v>45</v>
      </c>
      <c r="J580" s="772">
        <v>391000</v>
      </c>
      <c r="K580" s="772">
        <f t="shared" si="22"/>
        <v>469200</v>
      </c>
      <c r="L580" s="710" t="s">
        <v>62</v>
      </c>
      <c r="M580" s="710" t="s">
        <v>45</v>
      </c>
    </row>
    <row r="581" spans="1:13" s="2323" customFormat="1" ht="23.15" customHeight="1">
      <c r="A581" s="726" t="s">
        <v>647</v>
      </c>
      <c r="B581" s="726" t="s">
        <v>60</v>
      </c>
      <c r="C581" s="710" t="s">
        <v>647</v>
      </c>
      <c r="D581" s="577" t="s">
        <v>647</v>
      </c>
      <c r="E581" s="730" t="s">
        <v>4950</v>
      </c>
      <c r="F581" s="729" t="s">
        <v>5599</v>
      </c>
      <c r="G581" s="759" t="s">
        <v>60</v>
      </c>
      <c r="H581" s="891" t="s">
        <v>60</v>
      </c>
      <c r="I581" s="891" t="s">
        <v>60</v>
      </c>
      <c r="J581" s="772" t="s">
        <v>60</v>
      </c>
      <c r="K581" s="772" t="str">
        <f t="shared" si="22"/>
        <v/>
      </c>
      <c r="L581" s="711" t="s">
        <v>71</v>
      </c>
      <c r="M581" s="711" t="s">
        <v>589</v>
      </c>
    </row>
    <row r="582" spans="1:13" s="2323" customFormat="1" ht="23.15" customHeight="1">
      <c r="A582" s="695" t="s">
        <v>56</v>
      </c>
      <c r="B582" s="695" t="s">
        <v>45</v>
      </c>
      <c r="C582" s="695" t="s">
        <v>630</v>
      </c>
      <c r="D582" s="710" t="s">
        <v>1360</v>
      </c>
      <c r="E582" s="730" t="s">
        <v>4946</v>
      </c>
      <c r="F582" s="748" t="s">
        <v>5665</v>
      </c>
      <c r="G582" s="749" t="s">
        <v>45</v>
      </c>
      <c r="H582" s="695" t="s">
        <v>5043</v>
      </c>
      <c r="I582" s="695" t="s">
        <v>5043</v>
      </c>
      <c r="J582" s="2977" t="str">
        <f>IF(AND(ISNUMBER(H582),ISNUMBER(#REF!)),H582/(SUM(#REF!/12)),"no Term or Value")</f>
        <v>no Term or Value</v>
      </c>
      <c r="K582" s="2977" t="str">
        <f>IF(AND(ISNUMBER(I582),ISNUMBER(#REF!)),I582/(SUM(#REF!/12)),"no Term or Value")</f>
        <v>no Term or Value</v>
      </c>
      <c r="L582" s="695" t="s">
        <v>38</v>
      </c>
      <c r="M582" s="695" t="s">
        <v>71</v>
      </c>
    </row>
    <row r="583" spans="1:13" s="2323" customFormat="1" ht="23.15" customHeight="1">
      <c r="A583" s="2995" t="s">
        <v>56</v>
      </c>
      <c r="B583" s="578" t="s">
        <v>45</v>
      </c>
      <c r="C583" s="710" t="s">
        <v>415</v>
      </c>
      <c r="D583" s="710" t="s">
        <v>4994</v>
      </c>
      <c r="E583" s="578" t="s">
        <v>4956</v>
      </c>
      <c r="F583" s="2996" t="s">
        <v>5648</v>
      </c>
      <c r="G583" s="2997" t="s">
        <v>45</v>
      </c>
      <c r="H583" s="578"/>
      <c r="I583" s="578"/>
      <c r="J583" s="3035">
        <v>1900000</v>
      </c>
      <c r="K583" s="772">
        <f t="shared" ref="K583:K588" si="23">IF(ISNUMBER(J583),SUM(J583*20%)+J583,"")</f>
        <v>2280000</v>
      </c>
      <c r="L583" s="578"/>
      <c r="M583" s="578"/>
    </row>
    <row r="584" spans="1:13" s="2323" customFormat="1" ht="23.15" customHeight="1">
      <c r="A584" s="2995" t="s">
        <v>56</v>
      </c>
      <c r="B584" s="578" t="s">
        <v>45</v>
      </c>
      <c r="C584" s="710" t="s">
        <v>5044</v>
      </c>
      <c r="D584" s="710" t="s">
        <v>362</v>
      </c>
      <c r="E584" s="578" t="s">
        <v>4946</v>
      </c>
      <c r="F584" s="2996" t="s">
        <v>5657</v>
      </c>
      <c r="G584" s="2997" t="s">
        <v>45</v>
      </c>
      <c r="H584" s="578"/>
      <c r="I584" s="578"/>
      <c r="J584" s="2501"/>
      <c r="K584" s="772" t="str">
        <f t="shared" si="23"/>
        <v/>
      </c>
      <c r="L584" s="578"/>
      <c r="M584" s="578"/>
    </row>
    <row r="585" spans="1:13" s="2323" customFormat="1" ht="23.15" customHeight="1">
      <c r="A585" s="577" t="s">
        <v>56</v>
      </c>
      <c r="B585" s="707" t="s">
        <v>45</v>
      </c>
      <c r="C585" s="710" t="s">
        <v>5044</v>
      </c>
      <c r="D585" s="710" t="s">
        <v>362</v>
      </c>
      <c r="E585" s="730" t="s">
        <v>4982</v>
      </c>
      <c r="F585" s="709" t="s">
        <v>5603</v>
      </c>
      <c r="G585" s="2997" t="s">
        <v>45</v>
      </c>
      <c r="H585" s="2997" t="s">
        <v>45</v>
      </c>
      <c r="I585" s="71">
        <v>3</v>
      </c>
      <c r="J585" s="772">
        <v>3500000</v>
      </c>
      <c r="K585" s="772">
        <f t="shared" si="23"/>
        <v>4200000</v>
      </c>
      <c r="L585" s="71" t="s">
        <v>589</v>
      </c>
      <c r="M585" s="2999" t="s">
        <v>589</v>
      </c>
    </row>
    <row r="586" spans="1:13" s="2323" customFormat="1" ht="23.15" customHeight="1">
      <c r="A586" s="726" t="s">
        <v>56</v>
      </c>
      <c r="B586" s="726" t="s">
        <v>60</v>
      </c>
      <c r="C586" s="710" t="s">
        <v>415</v>
      </c>
      <c r="D586" s="710" t="s">
        <v>4994</v>
      </c>
      <c r="E586" s="730" t="s">
        <v>4956</v>
      </c>
      <c r="F586" s="728" t="s">
        <v>5627</v>
      </c>
      <c r="G586" s="711" t="s">
        <v>60</v>
      </c>
      <c r="H586" s="893" t="s">
        <v>60</v>
      </c>
      <c r="I586" s="893" t="s">
        <v>60</v>
      </c>
      <c r="J586" s="772">
        <v>800000</v>
      </c>
      <c r="K586" s="772">
        <f t="shared" si="23"/>
        <v>960000</v>
      </c>
      <c r="L586" s="711" t="s">
        <v>62</v>
      </c>
      <c r="M586" s="726" t="s">
        <v>60</v>
      </c>
    </row>
    <row r="587" spans="1:13" s="2323" customFormat="1" ht="23.15" customHeight="1">
      <c r="A587" s="726" t="s">
        <v>56</v>
      </c>
      <c r="B587" s="726" t="s">
        <v>60</v>
      </c>
      <c r="C587" s="710" t="s">
        <v>415</v>
      </c>
      <c r="D587" s="710" t="s">
        <v>4994</v>
      </c>
      <c r="E587" s="730" t="s">
        <v>4946</v>
      </c>
      <c r="F587" s="729" t="s">
        <v>5605</v>
      </c>
      <c r="G587" s="759" t="s">
        <v>60</v>
      </c>
      <c r="H587" s="891" t="s">
        <v>60</v>
      </c>
      <c r="I587" s="891" t="s">
        <v>60</v>
      </c>
      <c r="J587" s="772">
        <v>12000000</v>
      </c>
      <c r="K587" s="772">
        <f t="shared" si="23"/>
        <v>14400000</v>
      </c>
      <c r="L587" s="711" t="s">
        <v>70</v>
      </c>
      <c r="M587" s="711" t="s">
        <v>60</v>
      </c>
    </row>
    <row r="588" spans="1:13" s="2323" customFormat="1" ht="23.15" customHeight="1">
      <c r="A588" s="726" t="s">
        <v>647</v>
      </c>
      <c r="B588" s="730" t="s">
        <v>60</v>
      </c>
      <c r="C588" s="710" t="s">
        <v>647</v>
      </c>
      <c r="D588" s="577" t="s">
        <v>647</v>
      </c>
      <c r="E588" s="730" t="s">
        <v>4946</v>
      </c>
      <c r="F588" s="728" t="s">
        <v>5637</v>
      </c>
      <c r="G588" s="711" t="s">
        <v>60</v>
      </c>
      <c r="H588" s="893">
        <v>1</v>
      </c>
      <c r="I588" s="2992" t="s">
        <v>60</v>
      </c>
      <c r="J588" s="772">
        <v>400000</v>
      </c>
      <c r="K588" s="772">
        <f t="shared" si="23"/>
        <v>480000</v>
      </c>
      <c r="L588" s="711" t="s">
        <v>62</v>
      </c>
      <c r="M588" s="730" t="s">
        <v>60</v>
      </c>
    </row>
    <row r="589" spans="1:13" s="2323" customFormat="1" ht="23.15" customHeight="1">
      <c r="A589" s="2995" t="s">
        <v>44</v>
      </c>
      <c r="B589" s="578" t="s">
        <v>45</v>
      </c>
      <c r="C589" s="710" t="s">
        <v>5044</v>
      </c>
      <c r="D589" s="710" t="s">
        <v>1406</v>
      </c>
      <c r="E589" s="578" t="s">
        <v>33</v>
      </c>
      <c r="F589" s="3036" t="s">
        <v>7089</v>
      </c>
      <c r="G589" s="2997" t="s">
        <v>60</v>
      </c>
      <c r="H589" s="578"/>
      <c r="I589" s="578"/>
      <c r="J589" s="3035"/>
      <c r="K589" s="772"/>
      <c r="L589" s="578"/>
      <c r="M589" s="578"/>
    </row>
    <row r="590" spans="1:13" s="2323" customFormat="1" ht="23.15" customHeight="1">
      <c r="A590" s="707" t="s">
        <v>44</v>
      </c>
      <c r="B590" s="707"/>
      <c r="C590" s="710" t="s">
        <v>5123</v>
      </c>
      <c r="D590" s="710" t="s">
        <v>502</v>
      </c>
      <c r="E590" s="710" t="s">
        <v>3410</v>
      </c>
      <c r="F590" s="728" t="s">
        <v>5631</v>
      </c>
      <c r="G590" s="1242" t="s">
        <v>45</v>
      </c>
      <c r="H590" s="707" t="s">
        <v>45</v>
      </c>
      <c r="I590" s="707" t="s">
        <v>45</v>
      </c>
      <c r="J590" s="772" t="s">
        <v>45</v>
      </c>
      <c r="K590" s="772" t="str">
        <f t="shared" ref="K590:K621" si="24">IF(ISNUMBER(J590),SUM(J590*20%)+J590,"")</f>
        <v/>
      </c>
      <c r="L590" s="707"/>
      <c r="M590" s="707"/>
    </row>
    <row r="591" spans="1:13" s="2323" customFormat="1" ht="23.15" customHeight="1">
      <c r="A591" s="707" t="s">
        <v>56</v>
      </c>
      <c r="B591" s="707" t="s">
        <v>45</v>
      </c>
      <c r="C591" s="710" t="s">
        <v>630</v>
      </c>
      <c r="D591" s="710" t="s">
        <v>1360</v>
      </c>
      <c r="E591" s="710" t="s">
        <v>4959</v>
      </c>
      <c r="F591" s="709" t="s">
        <v>5611</v>
      </c>
      <c r="G591" s="769" t="s">
        <v>60</v>
      </c>
      <c r="H591" s="738" t="s">
        <v>60</v>
      </c>
      <c r="I591" s="707" t="s">
        <v>60</v>
      </c>
      <c r="J591" s="772">
        <v>2000000</v>
      </c>
      <c r="K591" s="772">
        <f t="shared" si="24"/>
        <v>2400000</v>
      </c>
      <c r="L591" s="710" t="s">
        <v>70</v>
      </c>
      <c r="M591" s="711" t="s">
        <v>45</v>
      </c>
    </row>
    <row r="592" spans="1:13" s="2323" customFormat="1" ht="23.15" customHeight="1">
      <c r="A592" s="707" t="s">
        <v>44</v>
      </c>
      <c r="B592" s="738" t="s">
        <v>60</v>
      </c>
      <c r="C592" s="710" t="s">
        <v>415</v>
      </c>
      <c r="D592" s="710" t="s">
        <v>1271</v>
      </c>
      <c r="E592" s="710" t="s">
        <v>46</v>
      </c>
      <c r="F592" s="709" t="s">
        <v>5628</v>
      </c>
      <c r="G592" s="769" t="s">
        <v>60</v>
      </c>
      <c r="H592" s="710" t="s">
        <v>60</v>
      </c>
      <c r="I592" s="710" t="s">
        <v>60</v>
      </c>
      <c r="J592" s="772">
        <v>125000</v>
      </c>
      <c r="K592" s="772">
        <f t="shared" si="24"/>
        <v>150000</v>
      </c>
      <c r="L592" s="710" t="s">
        <v>45</v>
      </c>
      <c r="M592" s="738" t="s">
        <v>60</v>
      </c>
    </row>
    <row r="593" spans="1:13" s="2991" customFormat="1" ht="23.15" customHeight="1">
      <c r="A593" s="726" t="s">
        <v>56</v>
      </c>
      <c r="B593" s="726" t="s">
        <v>60</v>
      </c>
      <c r="C593" s="710" t="s">
        <v>630</v>
      </c>
      <c r="D593" s="710" t="s">
        <v>1360</v>
      </c>
      <c r="E593" s="730" t="s">
        <v>1471</v>
      </c>
      <c r="F593" s="728" t="s">
        <v>5630</v>
      </c>
      <c r="G593" s="759" t="s">
        <v>60</v>
      </c>
      <c r="H593" s="891" t="s">
        <v>60</v>
      </c>
      <c r="I593" s="891" t="s">
        <v>60</v>
      </c>
      <c r="J593" s="772" t="s">
        <v>60</v>
      </c>
      <c r="K593" s="772" t="str">
        <f t="shared" si="24"/>
        <v/>
      </c>
      <c r="L593" s="711" t="s">
        <v>71</v>
      </c>
      <c r="M593" s="711" t="s">
        <v>589</v>
      </c>
    </row>
    <row r="594" spans="1:13" s="2323" customFormat="1" ht="23.15" customHeight="1">
      <c r="A594" s="707" t="s">
        <v>44</v>
      </c>
      <c r="B594" s="738"/>
      <c r="C594" s="710" t="s">
        <v>5044</v>
      </c>
      <c r="D594" s="710" t="s">
        <v>4955</v>
      </c>
      <c r="E594" s="710" t="s">
        <v>33</v>
      </c>
      <c r="F594" s="780" t="s">
        <v>5642</v>
      </c>
      <c r="G594" s="769" t="s">
        <v>45</v>
      </c>
      <c r="H594" s="710">
        <v>48</v>
      </c>
      <c r="I594" s="707" t="s">
        <v>258</v>
      </c>
      <c r="J594" s="772">
        <v>1294062</v>
      </c>
      <c r="K594" s="772">
        <f t="shared" si="24"/>
        <v>1552874.4</v>
      </c>
      <c r="L594" s="710" t="s">
        <v>70</v>
      </c>
      <c r="M594" s="738"/>
    </row>
    <row r="595" spans="1:13" s="2323" customFormat="1" ht="23.15" customHeight="1">
      <c r="A595" s="2995" t="s">
        <v>56</v>
      </c>
      <c r="B595" s="578" t="s">
        <v>45</v>
      </c>
      <c r="C595" s="710" t="s">
        <v>415</v>
      </c>
      <c r="D595" s="710" t="s">
        <v>4981</v>
      </c>
      <c r="E595" s="578" t="s">
        <v>4982</v>
      </c>
      <c r="F595" s="2996" t="s">
        <v>5658</v>
      </c>
      <c r="G595" s="2997" t="s">
        <v>45</v>
      </c>
      <c r="H595" s="578"/>
      <c r="I595" s="578"/>
      <c r="J595" s="2501">
        <v>2000000</v>
      </c>
      <c r="K595" s="772">
        <f t="shared" si="24"/>
        <v>2400000</v>
      </c>
      <c r="L595" s="578" t="s">
        <v>70</v>
      </c>
      <c r="M595" s="578" t="s">
        <v>60</v>
      </c>
    </row>
    <row r="596" spans="1:13" s="2323" customFormat="1" ht="23.15" customHeight="1">
      <c r="A596" s="2995" t="s">
        <v>56</v>
      </c>
      <c r="B596" s="578" t="s">
        <v>5653</v>
      </c>
      <c r="C596" s="710" t="s">
        <v>5044</v>
      </c>
      <c r="D596" s="710" t="s">
        <v>362</v>
      </c>
      <c r="E596" s="578" t="s">
        <v>4946</v>
      </c>
      <c r="F596" s="2996" t="s">
        <v>5654</v>
      </c>
      <c r="G596" s="2997" t="s">
        <v>45</v>
      </c>
      <c r="H596" s="578"/>
      <c r="I596" s="578"/>
      <c r="J596" s="772">
        <v>2400000</v>
      </c>
      <c r="K596" s="772">
        <f t="shared" si="24"/>
        <v>2880000</v>
      </c>
      <c r="L596" s="578"/>
      <c r="M596" s="578"/>
    </row>
    <row r="597" spans="1:13" s="2323" customFormat="1" ht="23.15" customHeight="1">
      <c r="A597" s="726" t="s">
        <v>56</v>
      </c>
      <c r="B597" s="726" t="s">
        <v>45</v>
      </c>
      <c r="C597" s="710" t="s">
        <v>415</v>
      </c>
      <c r="D597" s="710" t="s">
        <v>4994</v>
      </c>
      <c r="E597" s="730" t="s">
        <v>4946</v>
      </c>
      <c r="F597" s="729" t="s">
        <v>5607</v>
      </c>
      <c r="G597" s="759" t="s">
        <v>60</v>
      </c>
      <c r="H597" s="578">
        <v>36</v>
      </c>
      <c r="I597" s="759" t="s">
        <v>3845</v>
      </c>
      <c r="J597" s="772">
        <f>360000/1.2</f>
        <v>300000</v>
      </c>
      <c r="K597" s="772">
        <f t="shared" si="24"/>
        <v>360000</v>
      </c>
      <c r="L597" s="711" t="s">
        <v>310</v>
      </c>
      <c r="M597" s="711"/>
    </row>
    <row r="598" spans="1:13" s="2323" customFormat="1" ht="23.15" customHeight="1">
      <c r="A598" s="2995" t="s">
        <v>44</v>
      </c>
      <c r="B598" s="578" t="s">
        <v>45</v>
      </c>
      <c r="C598" s="710" t="s">
        <v>5044</v>
      </c>
      <c r="D598" s="710" t="s">
        <v>362</v>
      </c>
      <c r="E598" s="578" t="s">
        <v>4956</v>
      </c>
      <c r="F598" s="2996" t="s">
        <v>5649</v>
      </c>
      <c r="G598" s="2997" t="s">
        <v>45</v>
      </c>
      <c r="H598" s="578"/>
      <c r="I598" s="578"/>
      <c r="J598" s="3029" t="s">
        <v>5650</v>
      </c>
      <c r="K598" s="772" t="str">
        <f t="shared" si="24"/>
        <v/>
      </c>
      <c r="L598" s="744" t="s">
        <v>45</v>
      </c>
      <c r="M598" s="707" t="s">
        <v>45</v>
      </c>
    </row>
    <row r="599" spans="1:13" s="2323" customFormat="1" ht="23.15" customHeight="1">
      <c r="A599" s="2995" t="s">
        <v>100</v>
      </c>
      <c r="B599" s="578" t="s">
        <v>45</v>
      </c>
      <c r="C599" s="710" t="s">
        <v>415</v>
      </c>
      <c r="D599" s="710" t="s">
        <v>4981</v>
      </c>
      <c r="E599" s="578" t="s">
        <v>4982</v>
      </c>
      <c r="F599" s="2996" t="s">
        <v>5621</v>
      </c>
      <c r="G599" s="2997" t="s">
        <v>45</v>
      </c>
      <c r="H599" s="707" t="s">
        <v>45</v>
      </c>
      <c r="I599" s="707" t="s">
        <v>45</v>
      </c>
      <c r="J599" s="2501">
        <v>427000</v>
      </c>
      <c r="K599" s="772">
        <f t="shared" si="24"/>
        <v>512400</v>
      </c>
      <c r="L599" s="578" t="s">
        <v>62</v>
      </c>
      <c r="M599" s="710" t="s">
        <v>71</v>
      </c>
    </row>
    <row r="600" spans="1:13" s="2413" customFormat="1" ht="23.15" customHeight="1">
      <c r="A600" s="2995" t="s">
        <v>100</v>
      </c>
      <c r="B600" s="578" t="s">
        <v>45</v>
      </c>
      <c r="C600" s="710" t="s">
        <v>415</v>
      </c>
      <c r="D600" s="710" t="s">
        <v>4981</v>
      </c>
      <c r="E600" s="578" t="s">
        <v>4982</v>
      </c>
      <c r="F600" s="2996" t="s">
        <v>5618</v>
      </c>
      <c r="G600" s="707" t="s">
        <v>45</v>
      </c>
      <c r="H600" s="707" t="s">
        <v>45</v>
      </c>
      <c r="I600" s="707" t="s">
        <v>45</v>
      </c>
      <c r="J600" s="772">
        <v>100000</v>
      </c>
      <c r="K600" s="772">
        <f t="shared" si="24"/>
        <v>120000</v>
      </c>
      <c r="L600" s="578" t="s">
        <v>62</v>
      </c>
      <c r="M600" s="738" t="s">
        <v>67</v>
      </c>
    </row>
    <row r="601" spans="1:13" s="2413" customFormat="1" ht="23.15" customHeight="1">
      <c r="A601" s="2995" t="s">
        <v>56</v>
      </c>
      <c r="B601" s="578" t="s">
        <v>45</v>
      </c>
      <c r="C601" s="710" t="s">
        <v>415</v>
      </c>
      <c r="D601" s="710" t="s">
        <v>1271</v>
      </c>
      <c r="E601" s="578" t="s">
        <v>4946</v>
      </c>
      <c r="F601" s="2996" t="s">
        <v>5655</v>
      </c>
      <c r="G601" s="2997" t="s">
        <v>45</v>
      </c>
      <c r="H601" s="578" t="s">
        <v>1170</v>
      </c>
      <c r="I601" s="578" t="s">
        <v>1170</v>
      </c>
      <c r="J601" s="772">
        <v>2250000</v>
      </c>
      <c r="K601" s="772">
        <f t="shared" si="24"/>
        <v>2700000</v>
      </c>
      <c r="L601" s="578"/>
      <c r="M601" s="578"/>
    </row>
    <row r="602" spans="1:13" s="2413" customFormat="1" ht="23.15" customHeight="1">
      <c r="A602" s="2995" t="s">
        <v>56</v>
      </c>
      <c r="B602" s="578" t="s">
        <v>45</v>
      </c>
      <c r="C602" s="710" t="s">
        <v>415</v>
      </c>
      <c r="D602" s="710" t="s">
        <v>1271</v>
      </c>
      <c r="E602" s="578" t="s">
        <v>4946</v>
      </c>
      <c r="F602" s="2996" t="s">
        <v>5645</v>
      </c>
      <c r="G602" s="2997" t="s">
        <v>45</v>
      </c>
      <c r="H602" s="578"/>
      <c r="I602" s="578"/>
      <c r="J602" s="3035">
        <v>5000000</v>
      </c>
      <c r="K602" s="772">
        <f t="shared" si="24"/>
        <v>6000000</v>
      </c>
      <c r="L602" s="578"/>
      <c r="M602" s="578"/>
    </row>
    <row r="603" spans="1:13" s="2413" customFormat="1" ht="23.15" customHeight="1">
      <c r="A603" s="2995" t="s">
        <v>100</v>
      </c>
      <c r="B603" s="578" t="s">
        <v>45</v>
      </c>
      <c r="C603" s="710" t="s">
        <v>415</v>
      </c>
      <c r="D603" s="710" t="s">
        <v>1271</v>
      </c>
      <c r="E603" s="578" t="s">
        <v>4982</v>
      </c>
      <c r="F603" s="2996" t="s">
        <v>5622</v>
      </c>
      <c r="G603" s="2997" t="s">
        <v>45</v>
      </c>
      <c r="H603" s="707" t="s">
        <v>45</v>
      </c>
      <c r="I603" s="707" t="s">
        <v>45</v>
      </c>
      <c r="J603" s="2501">
        <v>14000000</v>
      </c>
      <c r="K603" s="772">
        <f t="shared" si="24"/>
        <v>16800000</v>
      </c>
      <c r="L603" s="710" t="s">
        <v>70</v>
      </c>
      <c r="M603" s="888" t="s">
        <v>45</v>
      </c>
    </row>
    <row r="604" spans="1:13" s="2413" customFormat="1" ht="23.15" customHeight="1">
      <c r="A604" s="3037" t="s">
        <v>56</v>
      </c>
      <c r="B604" s="3037" t="s">
        <v>1170</v>
      </c>
      <c r="C604" s="888" t="s">
        <v>5044</v>
      </c>
      <c r="D604" s="888" t="s">
        <v>362</v>
      </c>
      <c r="E604" s="888" t="s">
        <v>4622</v>
      </c>
      <c r="F604" s="3038" t="s">
        <v>7090</v>
      </c>
      <c r="G604" s="899" t="s">
        <v>45</v>
      </c>
      <c r="H604" s="3037" t="s">
        <v>1170</v>
      </c>
      <c r="I604" s="3037" t="s">
        <v>1170</v>
      </c>
      <c r="J604" s="2385" t="s">
        <v>1170</v>
      </c>
      <c r="K604" s="772" t="str">
        <f t="shared" si="24"/>
        <v/>
      </c>
      <c r="L604" s="3037" t="s">
        <v>1170</v>
      </c>
      <c r="M604" s="3037" t="s">
        <v>1170</v>
      </c>
    </row>
    <row r="605" spans="1:13" s="2413" customFormat="1" ht="23.15" customHeight="1">
      <c r="A605" s="1165" t="s">
        <v>647</v>
      </c>
      <c r="B605" s="1165" t="s">
        <v>60</v>
      </c>
      <c r="C605" s="723" t="s">
        <v>647</v>
      </c>
      <c r="D605" s="959" t="s">
        <v>647</v>
      </c>
      <c r="E605" s="794" t="s">
        <v>4946</v>
      </c>
      <c r="F605" s="1409" t="s">
        <v>5640</v>
      </c>
      <c r="G605" s="1273" t="s">
        <v>60</v>
      </c>
      <c r="H605" s="761" t="s">
        <v>60</v>
      </c>
      <c r="I605" s="761" t="s">
        <v>60</v>
      </c>
      <c r="J605" s="807">
        <v>217500</v>
      </c>
      <c r="K605" s="807">
        <f t="shared" si="24"/>
        <v>261000</v>
      </c>
      <c r="L605" s="792" t="s">
        <v>589</v>
      </c>
      <c r="M605" s="792" t="s">
        <v>589</v>
      </c>
    </row>
    <row r="606" spans="1:13" s="2413" customFormat="1" ht="23.15" customHeight="1">
      <c r="A606" s="2995" t="s">
        <v>100</v>
      </c>
      <c r="B606" s="578" t="s">
        <v>45</v>
      </c>
      <c r="C606" s="710" t="s">
        <v>415</v>
      </c>
      <c r="D606" s="710" t="s">
        <v>4981</v>
      </c>
      <c r="E606" s="578" t="s">
        <v>4982</v>
      </c>
      <c r="F606" s="2996" t="s">
        <v>7091</v>
      </c>
      <c r="G606" s="2997" t="s">
        <v>45</v>
      </c>
      <c r="H606" s="722" t="s">
        <v>45</v>
      </c>
      <c r="I606" s="722" t="s">
        <v>45</v>
      </c>
      <c r="J606" s="2501">
        <v>464000</v>
      </c>
      <c r="K606" s="772">
        <f t="shared" si="24"/>
        <v>556800</v>
      </c>
      <c r="L606" s="578" t="s">
        <v>62</v>
      </c>
      <c r="M606" s="710" t="s">
        <v>71</v>
      </c>
    </row>
    <row r="607" spans="1:13" s="2413" customFormat="1" ht="23.15" customHeight="1">
      <c r="A607" s="707" t="s">
        <v>647</v>
      </c>
      <c r="B607" s="707" t="s">
        <v>45</v>
      </c>
      <c r="C607" s="710" t="s">
        <v>647</v>
      </c>
      <c r="D607" s="577" t="s">
        <v>647</v>
      </c>
      <c r="E607" s="710" t="s">
        <v>4946</v>
      </c>
      <c r="F607" s="728" t="s">
        <v>5639</v>
      </c>
      <c r="G607" s="713" t="s">
        <v>60</v>
      </c>
      <c r="H607" s="777" t="s">
        <v>60</v>
      </c>
      <c r="I607" s="777" t="s">
        <v>60</v>
      </c>
      <c r="J607" s="772">
        <v>233333</v>
      </c>
      <c r="K607" s="772">
        <f t="shared" si="24"/>
        <v>279999.59999999998</v>
      </c>
      <c r="L607" s="710" t="s">
        <v>45</v>
      </c>
      <c r="M607" s="710" t="s">
        <v>45</v>
      </c>
    </row>
    <row r="608" spans="1:13" s="2413" customFormat="1" ht="23.15" customHeight="1">
      <c r="A608" s="707" t="s">
        <v>56</v>
      </c>
      <c r="B608" s="707" t="s">
        <v>45</v>
      </c>
      <c r="C608" s="710" t="s">
        <v>415</v>
      </c>
      <c r="D608" s="710" t="s">
        <v>1271</v>
      </c>
      <c r="E608" s="710" t="s">
        <v>4946</v>
      </c>
      <c r="F608" s="945" t="s">
        <v>5606</v>
      </c>
      <c r="G608" s="713" t="s">
        <v>60</v>
      </c>
      <c r="H608" s="777" t="s">
        <v>991</v>
      </c>
      <c r="I608" s="777" t="s">
        <v>991</v>
      </c>
      <c r="J608" s="772">
        <f>16900000+5400000</f>
        <v>22300000</v>
      </c>
      <c r="K608" s="772">
        <f t="shared" si="24"/>
        <v>26760000</v>
      </c>
      <c r="L608" s="710" t="s">
        <v>45</v>
      </c>
      <c r="M608" s="710" t="s">
        <v>45</v>
      </c>
    </row>
    <row r="609" spans="1:13" s="2413" customFormat="1" ht="23.15" customHeight="1">
      <c r="A609" s="730" t="s">
        <v>100</v>
      </c>
      <c r="B609" s="774" t="s">
        <v>45</v>
      </c>
      <c r="C609" s="710" t="s">
        <v>415</v>
      </c>
      <c r="D609" s="578" t="s">
        <v>4994</v>
      </c>
      <c r="E609" s="710" t="s">
        <v>4622</v>
      </c>
      <c r="F609" s="728" t="s">
        <v>5623</v>
      </c>
      <c r="G609" s="730" t="s">
        <v>45</v>
      </c>
      <c r="H609" s="730" t="s">
        <v>45</v>
      </c>
      <c r="I609" s="730" t="s">
        <v>45</v>
      </c>
      <c r="J609" s="758">
        <v>80000</v>
      </c>
      <c r="K609" s="772">
        <f t="shared" si="24"/>
        <v>96000</v>
      </c>
      <c r="L609" s="710" t="s">
        <v>45</v>
      </c>
      <c r="M609" s="710" t="s">
        <v>45</v>
      </c>
    </row>
    <row r="610" spans="1:13" s="2413" customFormat="1" ht="23.15" customHeight="1">
      <c r="A610" s="707" t="s">
        <v>44</v>
      </c>
      <c r="B610" s="707"/>
      <c r="C610" s="710" t="s">
        <v>5044</v>
      </c>
      <c r="D610" s="710" t="s">
        <v>569</v>
      </c>
      <c r="E610" s="710" t="s">
        <v>33</v>
      </c>
      <c r="F610" s="728" t="s">
        <v>7092</v>
      </c>
      <c r="G610" s="1242" t="s">
        <v>45</v>
      </c>
      <c r="H610" s="710" t="s">
        <v>45</v>
      </c>
      <c r="I610" s="707">
        <v>36</v>
      </c>
      <c r="J610" s="772">
        <v>50386.32</v>
      </c>
      <c r="K610" s="772">
        <f t="shared" si="24"/>
        <v>60463.584000000003</v>
      </c>
      <c r="L610" s="710" t="s">
        <v>62</v>
      </c>
      <c r="M610" s="1432" t="s">
        <v>71</v>
      </c>
    </row>
    <row r="611" spans="1:13" s="2323" customFormat="1" ht="23.15" customHeight="1">
      <c r="A611" s="726" t="s">
        <v>647</v>
      </c>
      <c r="B611" s="726" t="s">
        <v>60</v>
      </c>
      <c r="C611" s="710" t="s">
        <v>647</v>
      </c>
      <c r="D611" s="577" t="s">
        <v>647</v>
      </c>
      <c r="E611" s="730" t="s">
        <v>4946</v>
      </c>
      <c r="F611" s="728" t="s">
        <v>5641</v>
      </c>
      <c r="G611" s="711" t="s">
        <v>60</v>
      </c>
      <c r="H611" s="893">
        <v>1</v>
      </c>
      <c r="I611" s="2992">
        <v>1</v>
      </c>
      <c r="J611" s="772">
        <v>150000</v>
      </c>
      <c r="K611" s="772">
        <f t="shared" si="24"/>
        <v>180000</v>
      </c>
      <c r="L611" s="711" t="s">
        <v>62</v>
      </c>
      <c r="M611" s="730" t="s">
        <v>60</v>
      </c>
    </row>
    <row r="612" spans="1:13" s="2323" customFormat="1" ht="23.15" customHeight="1">
      <c r="A612" s="726" t="s">
        <v>56</v>
      </c>
      <c r="B612" s="726" t="s">
        <v>60</v>
      </c>
      <c r="C612" s="710" t="s">
        <v>630</v>
      </c>
      <c r="D612" s="710" t="s">
        <v>1360</v>
      </c>
      <c r="E612" s="730" t="s">
        <v>4946</v>
      </c>
      <c r="F612" s="728" t="s">
        <v>5635</v>
      </c>
      <c r="G612" s="759" t="s">
        <v>60</v>
      </c>
      <c r="H612" s="891" t="s">
        <v>60</v>
      </c>
      <c r="I612" s="891" t="s">
        <v>60</v>
      </c>
      <c r="J612" s="772">
        <f>2300000/2</f>
        <v>1150000</v>
      </c>
      <c r="K612" s="772">
        <f t="shared" si="24"/>
        <v>1380000</v>
      </c>
      <c r="L612" s="711" t="s">
        <v>71</v>
      </c>
      <c r="M612" s="711" t="s">
        <v>589</v>
      </c>
    </row>
    <row r="613" spans="1:13" s="2323" customFormat="1" ht="23.15" customHeight="1">
      <c r="A613" s="726" t="s">
        <v>56</v>
      </c>
      <c r="B613" s="726" t="s">
        <v>60</v>
      </c>
      <c r="C613" s="710" t="s">
        <v>630</v>
      </c>
      <c r="D613" s="710" t="s">
        <v>1360</v>
      </c>
      <c r="E613" s="730" t="s">
        <v>4946</v>
      </c>
      <c r="F613" s="728" t="s">
        <v>5636</v>
      </c>
      <c r="G613" s="759" t="s">
        <v>60</v>
      </c>
      <c r="H613" s="891" t="s">
        <v>60</v>
      </c>
      <c r="I613" s="891" t="s">
        <v>60</v>
      </c>
      <c r="J613" s="772">
        <f>2300000/2</f>
        <v>1150000</v>
      </c>
      <c r="K613" s="772">
        <f t="shared" si="24"/>
        <v>1380000</v>
      </c>
      <c r="L613" s="711" t="s">
        <v>71</v>
      </c>
      <c r="M613" s="711" t="s">
        <v>589</v>
      </c>
    </row>
    <row r="614" spans="1:13" s="2323" customFormat="1" ht="23.15" customHeight="1">
      <c r="A614" s="2995" t="s">
        <v>56</v>
      </c>
      <c r="B614" s="578" t="s">
        <v>45</v>
      </c>
      <c r="C614" s="710" t="s">
        <v>415</v>
      </c>
      <c r="D614" s="710" t="s">
        <v>1271</v>
      </c>
      <c r="E614" s="578" t="s">
        <v>4946</v>
      </c>
      <c r="F614" s="2996" t="s">
        <v>5646</v>
      </c>
      <c r="G614" s="2997" t="s">
        <v>45</v>
      </c>
      <c r="H614" s="578"/>
      <c r="I614" s="578"/>
      <c r="J614" s="3035">
        <v>2600000</v>
      </c>
      <c r="K614" s="772">
        <f t="shared" si="24"/>
        <v>3120000</v>
      </c>
      <c r="L614" s="578"/>
      <c r="M614" s="578"/>
    </row>
    <row r="615" spans="1:13" s="2323" customFormat="1" ht="23.15" customHeight="1">
      <c r="A615" s="2995" t="s">
        <v>56</v>
      </c>
      <c r="B615" s="578" t="s">
        <v>45</v>
      </c>
      <c r="C615" s="710" t="s">
        <v>415</v>
      </c>
      <c r="D615" s="710" t="s">
        <v>1271</v>
      </c>
      <c r="E615" s="578" t="s">
        <v>4946</v>
      </c>
      <c r="F615" s="2996" t="s">
        <v>5647</v>
      </c>
      <c r="G615" s="2997" t="s">
        <v>45</v>
      </c>
      <c r="H615" s="578"/>
      <c r="I615" s="578"/>
      <c r="J615" s="3035">
        <v>2300000</v>
      </c>
      <c r="K615" s="772">
        <f t="shared" si="24"/>
        <v>2760000</v>
      </c>
      <c r="L615" s="578"/>
      <c r="M615" s="578"/>
    </row>
    <row r="616" spans="1:13" s="2323" customFormat="1" ht="23.15" customHeight="1">
      <c r="A616" s="726" t="s">
        <v>647</v>
      </c>
      <c r="B616" s="726" t="s">
        <v>60</v>
      </c>
      <c r="C616" s="726" t="s">
        <v>647</v>
      </c>
      <c r="D616" s="577" t="s">
        <v>647</v>
      </c>
      <c r="E616" s="710" t="s">
        <v>4950</v>
      </c>
      <c r="F616" s="729" t="s">
        <v>1276</v>
      </c>
      <c r="G616" s="759" t="s">
        <v>60</v>
      </c>
      <c r="H616" s="891">
        <v>36</v>
      </c>
      <c r="I616" s="891" t="s">
        <v>160</v>
      </c>
      <c r="J616" s="772">
        <v>1200000</v>
      </c>
      <c r="K616" s="772">
        <f t="shared" si="24"/>
        <v>1440000</v>
      </c>
      <c r="L616" s="711" t="s">
        <v>589</v>
      </c>
      <c r="M616" s="711" t="s">
        <v>589</v>
      </c>
    </row>
    <row r="617" spans="1:13" s="2323" customFormat="1" ht="23.15" customHeight="1">
      <c r="A617" s="2385" t="s">
        <v>56</v>
      </c>
      <c r="B617" s="2385" t="s">
        <v>1170</v>
      </c>
      <c r="C617" s="710" t="s">
        <v>415</v>
      </c>
      <c r="D617" s="710" t="s">
        <v>4994</v>
      </c>
      <c r="E617" s="2385" t="s">
        <v>4956</v>
      </c>
      <c r="F617" s="728" t="s">
        <v>5662</v>
      </c>
      <c r="G617" s="730" t="s">
        <v>5043</v>
      </c>
      <c r="H617" s="3039" t="s">
        <v>5043</v>
      </c>
      <c r="I617" s="3039" t="s">
        <v>5043</v>
      </c>
      <c r="J617" s="3000">
        <v>80000</v>
      </c>
      <c r="K617" s="772">
        <f t="shared" si="24"/>
        <v>96000</v>
      </c>
      <c r="L617" s="2385" t="s">
        <v>1170</v>
      </c>
      <c r="M617" s="2385" t="s">
        <v>1170</v>
      </c>
    </row>
    <row r="618" spans="1:13" s="2323" customFormat="1" ht="23.15" customHeight="1">
      <c r="A618" s="3040" t="s">
        <v>56</v>
      </c>
      <c r="B618" s="3040" t="s">
        <v>1170</v>
      </c>
      <c r="C618" s="784" t="s">
        <v>415</v>
      </c>
      <c r="D618" s="784" t="s">
        <v>4994</v>
      </c>
      <c r="E618" s="3040" t="s">
        <v>4956</v>
      </c>
      <c r="F618" s="3041" t="s">
        <v>5661</v>
      </c>
      <c r="G618" s="895" t="s">
        <v>5043</v>
      </c>
      <c r="H618" s="3040" t="s">
        <v>45</v>
      </c>
      <c r="I618" s="3040" t="s">
        <v>45</v>
      </c>
      <c r="J618" s="3042">
        <v>120000</v>
      </c>
      <c r="K618" s="1393">
        <f t="shared" si="24"/>
        <v>144000</v>
      </c>
      <c r="L618" s="3040" t="s">
        <v>1170</v>
      </c>
      <c r="M618" s="3040" t="s">
        <v>1170</v>
      </c>
    </row>
    <row r="619" spans="1:13" s="2323" customFormat="1" ht="23.15" customHeight="1">
      <c r="A619" s="3043" t="s">
        <v>56</v>
      </c>
      <c r="B619" s="3043" t="s">
        <v>1170</v>
      </c>
      <c r="C619" s="1179" t="s">
        <v>415</v>
      </c>
      <c r="D619" s="710" t="s">
        <v>4994</v>
      </c>
      <c r="E619" s="2385" t="s">
        <v>4956</v>
      </c>
      <c r="F619" s="1409" t="s">
        <v>5660</v>
      </c>
      <c r="G619" s="794" t="s">
        <v>5043</v>
      </c>
      <c r="H619" s="3044" t="s">
        <v>45</v>
      </c>
      <c r="I619" s="3043" t="s">
        <v>45</v>
      </c>
      <c r="J619" s="3045">
        <v>120000</v>
      </c>
      <c r="K619" s="807">
        <f t="shared" si="24"/>
        <v>144000</v>
      </c>
      <c r="L619" s="3043" t="s">
        <v>1170</v>
      </c>
      <c r="M619" s="3043" t="s">
        <v>1170</v>
      </c>
    </row>
    <row r="620" spans="1:13" s="2323" customFormat="1" ht="23.15" customHeight="1">
      <c r="A620" s="3043" t="s">
        <v>56</v>
      </c>
      <c r="B620" s="3043" t="s">
        <v>1170</v>
      </c>
      <c r="C620" s="723" t="s">
        <v>415</v>
      </c>
      <c r="D620" s="700" t="s">
        <v>4994</v>
      </c>
      <c r="E620" s="3039" t="s">
        <v>4956</v>
      </c>
      <c r="F620" s="1409" t="s">
        <v>5659</v>
      </c>
      <c r="G620" s="794" t="s">
        <v>5043</v>
      </c>
      <c r="H620" s="3044" t="s">
        <v>45</v>
      </c>
      <c r="I620" s="3043" t="s">
        <v>45</v>
      </c>
      <c r="J620" s="3045">
        <v>120000</v>
      </c>
      <c r="K620" s="807">
        <f t="shared" si="24"/>
        <v>144000</v>
      </c>
      <c r="L620" s="3043" t="s">
        <v>1170</v>
      </c>
      <c r="M620" s="3043" t="s">
        <v>1170</v>
      </c>
    </row>
    <row r="621" spans="1:13" s="2323" customFormat="1" ht="23.15" customHeight="1">
      <c r="A621" s="794" t="s">
        <v>100</v>
      </c>
      <c r="B621" s="976" t="s">
        <v>45</v>
      </c>
      <c r="C621" s="1179" t="s">
        <v>415</v>
      </c>
      <c r="D621" s="710" t="s">
        <v>4981</v>
      </c>
      <c r="E621" s="3046" t="s">
        <v>4982</v>
      </c>
      <c r="F621" s="1409" t="s">
        <v>5663</v>
      </c>
      <c r="G621" s="794" t="s">
        <v>5043</v>
      </c>
      <c r="H621" s="1375">
        <v>60</v>
      </c>
      <c r="I621" s="807" t="s">
        <v>45</v>
      </c>
      <c r="J621" s="807">
        <v>1565000</v>
      </c>
      <c r="K621" s="772">
        <f t="shared" si="24"/>
        <v>1878000</v>
      </c>
      <c r="L621" s="723" t="s">
        <v>70</v>
      </c>
      <c r="M621" s="723" t="s">
        <v>45</v>
      </c>
    </row>
    <row r="622" spans="1:13" ht="23.15" customHeight="1">
      <c r="A622" s="1349" t="s">
        <v>44</v>
      </c>
      <c r="B622" s="786" t="s">
        <v>45</v>
      </c>
      <c r="C622" s="784" t="s">
        <v>5123</v>
      </c>
      <c r="D622" s="784" t="s">
        <v>502</v>
      </c>
      <c r="E622" s="784" t="s">
        <v>3410</v>
      </c>
      <c r="F622" s="787" t="s">
        <v>7093</v>
      </c>
      <c r="G622" s="1329" t="s">
        <v>45</v>
      </c>
      <c r="H622" s="1503" t="s">
        <v>45</v>
      </c>
      <c r="I622" s="1503" t="s">
        <v>45</v>
      </c>
      <c r="J622" s="1393" t="s">
        <v>45</v>
      </c>
      <c r="K622" s="1393" t="s">
        <v>45</v>
      </c>
      <c r="L622" s="784" t="s">
        <v>62</v>
      </c>
      <c r="M622" s="786" t="s">
        <v>71</v>
      </c>
    </row>
    <row r="623" spans="1:13" ht="23.15" customHeight="1">
      <c r="A623" s="707" t="s">
        <v>100</v>
      </c>
      <c r="B623" s="707" t="s">
        <v>101</v>
      </c>
      <c r="C623" s="710" t="s">
        <v>5158</v>
      </c>
      <c r="D623" s="710" t="s">
        <v>1146</v>
      </c>
      <c r="E623" s="710" t="s">
        <v>4995</v>
      </c>
      <c r="F623" s="709" t="s">
        <v>5436</v>
      </c>
      <c r="G623" s="947">
        <v>44652</v>
      </c>
      <c r="H623" s="777">
        <v>84</v>
      </c>
      <c r="I623" s="777" t="s">
        <v>1455</v>
      </c>
      <c r="J623" s="772">
        <v>5618000</v>
      </c>
      <c r="K623" s="772">
        <f>IF(ISNUMBER(J623),SUM(J623*20%)+J623,"")</f>
        <v>6741600</v>
      </c>
      <c r="L623" s="710" t="s">
        <v>70</v>
      </c>
      <c r="M623" s="738" t="s">
        <v>45</v>
      </c>
    </row>
    <row r="624" spans="1:13" ht="23.15" customHeight="1">
      <c r="A624" s="707" t="s">
        <v>44</v>
      </c>
      <c r="B624" s="738" t="s">
        <v>45</v>
      </c>
      <c r="C624" s="710" t="s">
        <v>5044</v>
      </c>
      <c r="D624" s="710" t="s">
        <v>1406</v>
      </c>
      <c r="E624" s="710" t="s">
        <v>33</v>
      </c>
      <c r="F624" s="709" t="s">
        <v>7094</v>
      </c>
      <c r="G624" s="947">
        <v>45383</v>
      </c>
      <c r="H624" s="710">
        <v>48</v>
      </c>
      <c r="I624" s="884" t="s">
        <v>258</v>
      </c>
      <c r="J624" s="772">
        <v>54456</v>
      </c>
      <c r="K624" s="772">
        <f>IF(ISNUMBER(J624),SUM(J624*20%)+J624,"")</f>
        <v>65347.199999999997</v>
      </c>
      <c r="L624" s="710" t="s">
        <v>62</v>
      </c>
      <c r="M624" s="738" t="s">
        <v>71</v>
      </c>
    </row>
    <row r="625" spans="1:13" ht="23.15" customHeight="1">
      <c r="A625" s="707" t="s">
        <v>44</v>
      </c>
      <c r="B625" s="738" t="s">
        <v>45</v>
      </c>
      <c r="C625" s="710" t="s">
        <v>5123</v>
      </c>
      <c r="D625" s="710" t="s">
        <v>862</v>
      </c>
      <c r="E625" s="3047" t="s">
        <v>4622</v>
      </c>
      <c r="F625" s="709" t="s">
        <v>7095</v>
      </c>
      <c r="G625" s="947">
        <v>45658</v>
      </c>
      <c r="H625" s="884" t="s">
        <v>45</v>
      </c>
      <c r="I625" s="884" t="s">
        <v>45</v>
      </c>
      <c r="J625" s="772" t="s">
        <v>45</v>
      </c>
      <c r="K625" s="772" t="s">
        <v>45</v>
      </c>
      <c r="L625" s="710" t="s">
        <v>45</v>
      </c>
      <c r="M625" s="738" t="s">
        <v>71</v>
      </c>
    </row>
    <row r="626" spans="1:13" ht="23.15" customHeight="1">
      <c r="A626" s="707" t="s">
        <v>44</v>
      </c>
      <c r="B626" s="738" t="s">
        <v>45</v>
      </c>
      <c r="C626" s="710" t="s">
        <v>5123</v>
      </c>
      <c r="D626" s="710" t="s">
        <v>862</v>
      </c>
      <c r="E626" s="3047" t="s">
        <v>4622</v>
      </c>
      <c r="F626" s="709" t="s">
        <v>7095</v>
      </c>
      <c r="G626" s="947" t="s">
        <v>45</v>
      </c>
      <c r="H626" s="884" t="s">
        <v>45</v>
      </c>
      <c r="I626" s="884" t="s">
        <v>45</v>
      </c>
      <c r="J626" s="772" t="s">
        <v>45</v>
      </c>
      <c r="K626" s="772"/>
      <c r="L626" s="710" t="s">
        <v>45</v>
      </c>
      <c r="M626" s="1323" t="s">
        <v>45</v>
      </c>
    </row>
    <row r="627" spans="1:13" ht="23.15" customHeight="1">
      <c r="A627" s="1363" t="s">
        <v>44</v>
      </c>
      <c r="B627" s="1323" t="s">
        <v>45</v>
      </c>
      <c r="C627" s="1348" t="s">
        <v>5044</v>
      </c>
      <c r="D627" s="700" t="s">
        <v>1406</v>
      </c>
      <c r="E627" s="3047" t="s">
        <v>33</v>
      </c>
      <c r="F627" s="1429" t="s">
        <v>7096</v>
      </c>
      <c r="G627" s="1351">
        <v>45397</v>
      </c>
      <c r="H627" s="3047">
        <v>48</v>
      </c>
      <c r="I627" s="914" t="s">
        <v>5322</v>
      </c>
      <c r="J627" s="1313">
        <v>620000</v>
      </c>
      <c r="K627" s="1472">
        <f t="shared" ref="K627:K632" si="25">IF(ISNUMBER(J627),SUM(J627*20%)+J627,"")</f>
        <v>744000</v>
      </c>
      <c r="L627" s="914" t="s">
        <v>45</v>
      </c>
      <c r="M627" s="1323" t="s">
        <v>45</v>
      </c>
    </row>
    <row r="628" spans="1:13" ht="23.15" customHeight="1">
      <c r="A628" s="1165" t="s">
        <v>56</v>
      </c>
      <c r="B628" s="1165" t="s">
        <v>45</v>
      </c>
      <c r="C628" s="723" t="s">
        <v>415</v>
      </c>
      <c r="D628" s="914" t="s">
        <v>4994</v>
      </c>
      <c r="E628" s="3043" t="s">
        <v>4946</v>
      </c>
      <c r="F628" s="851" t="s">
        <v>5664</v>
      </c>
      <c r="G628" s="1273"/>
      <c r="H628" s="3048">
        <v>36</v>
      </c>
      <c r="I628" s="761" t="s">
        <v>3845</v>
      </c>
      <c r="J628" s="807">
        <f>3*230*195.83333</f>
        <v>135124.99770000001</v>
      </c>
      <c r="K628" s="1313">
        <f t="shared" si="25"/>
        <v>162149.99724</v>
      </c>
      <c r="L628" s="792" t="s">
        <v>62</v>
      </c>
      <c r="M628" s="792"/>
    </row>
    <row r="629" spans="1:13" s="2989" customFormat="1" ht="23.15" customHeight="1">
      <c r="A629" s="722" t="s">
        <v>44</v>
      </c>
      <c r="B629" s="741" t="s">
        <v>45</v>
      </c>
      <c r="C629" s="1179" t="s">
        <v>5044</v>
      </c>
      <c r="D629" s="710" t="s">
        <v>569</v>
      </c>
      <c r="E629" s="3047"/>
      <c r="F629" s="718" t="s">
        <v>7097</v>
      </c>
      <c r="G629" s="1246">
        <v>45658</v>
      </c>
      <c r="H629" s="1262" t="s">
        <v>45</v>
      </c>
      <c r="I629" s="723"/>
      <c r="J629" s="2560">
        <v>45000</v>
      </c>
      <c r="K629" s="772">
        <f t="shared" si="25"/>
        <v>54000</v>
      </c>
      <c r="L629" s="723" t="s">
        <v>45</v>
      </c>
      <c r="M629" s="741" t="s">
        <v>45</v>
      </c>
    </row>
    <row r="630" spans="1:13" ht="23.15" customHeight="1">
      <c r="A630" s="1318" t="s">
        <v>647</v>
      </c>
      <c r="B630" s="1318" t="s">
        <v>45</v>
      </c>
      <c r="C630" s="700" t="s">
        <v>647</v>
      </c>
      <c r="D630" s="700" t="s">
        <v>647</v>
      </c>
      <c r="E630" s="2668" t="s">
        <v>4946</v>
      </c>
      <c r="F630" s="1172" t="s">
        <v>7098</v>
      </c>
      <c r="G630" s="1166">
        <v>45419</v>
      </c>
      <c r="H630" s="1332">
        <v>4</v>
      </c>
      <c r="I630" s="1332"/>
      <c r="J630" s="3049">
        <v>2208814</v>
      </c>
      <c r="K630" s="1313">
        <f t="shared" si="25"/>
        <v>2650576.7999999998</v>
      </c>
      <c r="L630" s="1332"/>
      <c r="M630" s="1332"/>
    </row>
    <row r="631" spans="1:13" ht="23.15" customHeight="1">
      <c r="A631" s="726" t="s">
        <v>647</v>
      </c>
      <c r="B631" s="726" t="s">
        <v>45</v>
      </c>
      <c r="C631" s="710" t="s">
        <v>647</v>
      </c>
      <c r="D631" s="710" t="s">
        <v>647</v>
      </c>
      <c r="E631" s="801" t="s">
        <v>4946</v>
      </c>
      <c r="F631" s="748" t="s">
        <v>7099</v>
      </c>
      <c r="G631" s="749">
        <v>45502</v>
      </c>
      <c r="H631" s="695">
        <v>3</v>
      </c>
      <c r="I631" s="695"/>
      <c r="J631" s="3050">
        <v>946652</v>
      </c>
      <c r="K631" s="1313">
        <f t="shared" si="25"/>
        <v>1135982.3999999999</v>
      </c>
      <c r="L631" s="695"/>
      <c r="M631" s="695"/>
    </row>
    <row r="632" spans="1:13" ht="23.15" customHeight="1">
      <c r="A632" s="898" t="s">
        <v>647</v>
      </c>
      <c r="B632" s="898" t="s">
        <v>45</v>
      </c>
      <c r="C632" s="784" t="s">
        <v>647</v>
      </c>
      <c r="D632" s="784" t="s">
        <v>647</v>
      </c>
      <c r="E632" s="2548" t="s">
        <v>4946</v>
      </c>
      <c r="F632" s="2549" t="s">
        <v>7100</v>
      </c>
      <c r="G632" s="1403">
        <v>45543</v>
      </c>
      <c r="H632" s="790" t="s">
        <v>45</v>
      </c>
      <c r="I632" s="790"/>
      <c r="J632" s="3051">
        <v>88000</v>
      </c>
      <c r="K632" s="2580">
        <f t="shared" si="25"/>
        <v>105600</v>
      </c>
      <c r="L632" s="790"/>
      <c r="M632" s="790"/>
    </row>
    <row r="633" spans="1:13" ht="23.15" customHeight="1">
      <c r="A633" s="695" t="s">
        <v>56</v>
      </c>
      <c r="B633" s="695" t="s">
        <v>45</v>
      </c>
      <c r="C633" s="695" t="s">
        <v>630</v>
      </c>
      <c r="D633" s="3004" t="s">
        <v>1360</v>
      </c>
      <c r="E633" s="801" t="s">
        <v>4946</v>
      </c>
      <c r="F633" s="748" t="s">
        <v>7101</v>
      </c>
      <c r="G633" s="749">
        <v>45413</v>
      </c>
      <c r="H633" s="695">
        <v>4</v>
      </c>
      <c r="I633" s="695">
        <v>4</v>
      </c>
      <c r="J633" s="3050">
        <v>145000</v>
      </c>
      <c r="K633" s="3050">
        <f>IF(ISNUMBER(J633),SUM(J633*20%)+J633,"")</f>
        <v>174000</v>
      </c>
      <c r="L633" s="695"/>
      <c r="M633" s="695"/>
    </row>
  </sheetData>
  <autoFilter ref="A1:M629" xr:uid="{00000000-0001-0000-0100-000000000000}"/>
  <customSheetViews>
    <customSheetView guid="{03AD2AFE-2DDD-4D37-8F9F-D1CAD93AE394}" scale="80" showPageBreaks="1" showAutoFilter="1">
      <pane xSplit="5" ySplit="1" topLeftCell="N102" activePane="bottomRight" state="frozen"/>
      <selection pane="bottomRight" activeCell="E105" sqref="E105"/>
      <pageMargins left="0" right="0" top="0" bottom="0" header="0" footer="0"/>
      <pageSetup paperSize="9" orientation="portrait" r:id="rId1"/>
      <headerFooter>
        <oddFooter>&amp;C&amp;1#&amp;"Calibri"&amp;10&amp;KFF0000OFFICIAL</oddFooter>
      </headerFooter>
      <autoFilter ref="A1:AC347" xr:uid="{6F3581A9-3FDC-454A-9AED-E1D35497B6F7}">
        <sortState xmlns:xlrd2="http://schemas.microsoft.com/office/spreadsheetml/2017/richdata2" ref="A6:AC347">
          <sortCondition ref="G1:G347"/>
        </sortState>
      </autoFilter>
    </customSheetView>
    <customSheetView guid="{72F95FA9-AFFF-408B-84D5-C75A1D3CC966}" scale="80" showPageBreaks="1" showAutoFilter="1" topLeftCell="S1">
      <selection activeCell="AE107" sqref="AE107"/>
      <pageMargins left="0" right="0" top="0" bottom="0" header="0" footer="0"/>
      <pageSetup paperSize="9" orientation="portrait" r:id="rId2"/>
      <headerFooter>
        <oddFooter>&amp;C&amp;1#&amp;"Calibri"&amp;10&amp;KFF0000OFFICIAL</oddFooter>
      </headerFooter>
      <autoFilter ref="A1:Y347" xr:uid="{41FE46A2-6998-440D-803F-B33AEB9801DB}"/>
    </customSheetView>
    <customSheetView guid="{D94B7CCD-4AA3-4F35-A1EC-06B789B9F348}" scale="85" showPageBreaks="1" filter="1" showAutoFilter="1" topLeftCell="E1">
      <selection activeCell="F31" sqref="F31"/>
      <pageMargins left="0" right="0" top="0" bottom="0" header="0" footer="0"/>
      <pageSetup paperSize="9" orientation="portrait" r:id="rId3"/>
      <headerFooter>
        <oddFooter>&amp;C&amp;1#&amp;"Calibri"&amp;10&amp;KFF0000OFFICIAL</oddFooter>
      </headerFooter>
      <autoFilter ref="A1:Y346" xr:uid="{22666F2E-DCB6-45FD-8AAD-F292201C05F5}">
        <filterColumn colId="18">
          <filters>
            <filter val="Vicky Moss"/>
          </filters>
        </filterColumn>
      </autoFilter>
    </customSheetView>
    <customSheetView guid="{E2C38D4C-A246-439C-8E43-A1D322E960FD}" scale="70" filter="1" showAutoFilter="1">
      <selection activeCell="Q353" sqref="Q353"/>
      <pageMargins left="0" right="0" top="0" bottom="0" header="0" footer="0"/>
      <pageSetup paperSize="9" orientation="portrait" r:id="rId4"/>
      <headerFooter>
        <oddFooter>&amp;C&amp;1#&amp;"Calibri"&amp;10&amp;KFF0000OFFICIAL</oddFooter>
      </headerFooter>
      <autoFilter ref="A1:Y346" xr:uid="{1860FAF6-71DD-44C7-968E-147597010CEB}">
        <filterColumn colId="18">
          <filters>
            <filter val="Sophie Midcalf"/>
          </filters>
        </filterColumn>
      </autoFilter>
    </customSheetView>
    <customSheetView guid="{C4CA1DDF-3AFE-43A6-8BB5-B707D5EB70E1}" scale="80" showPageBreaks="1" showAutoFilter="1">
      <pane xSplit="4" ySplit="1" topLeftCell="S2" activePane="bottomRight" state="frozen"/>
      <selection pane="bottomRight" activeCell="X221" sqref="X221"/>
      <pageMargins left="0" right="0" top="0" bottom="0" header="0" footer="0"/>
      <pageSetup paperSize="9" orientation="portrait" r:id="rId5"/>
      <headerFooter>
        <oddFooter>&amp;C&amp;1#&amp;"Calibri"&amp;10&amp;KFF0000OFFICIAL</oddFooter>
      </headerFooter>
      <autoFilter ref="A1:Y347" xr:uid="{0FE5FA17-D2AA-40B6-A448-21C83BCB3FDC}"/>
    </customSheetView>
    <customSheetView guid="{75DC90F1-9A33-4736-80DE-C58B8C19925D}" showPageBreaks="1" showAutoFilter="1">
      <pane xSplit="5" ySplit="1" topLeftCell="F341" activePane="bottomRight" state="frozen"/>
      <selection pane="bottomRight" activeCell="D347" sqref="D347"/>
      <pageMargins left="0" right="0" top="0" bottom="0" header="0" footer="0"/>
      <pageSetup paperSize="9" orientation="portrait" r:id="rId6"/>
      <headerFooter>
        <oddFooter>&amp;C&amp;1#&amp;"Calibri"&amp;10&amp;KFF0000OFFICIAL</oddFooter>
      </headerFooter>
      <autoFilter ref="A1:Y350" xr:uid="{1BB32AD5-4C76-4476-B9A0-266B2A32CC10}"/>
    </customSheetView>
    <customSheetView guid="{C50ED91D-25E4-46FC-8E07-25A27A03203F}" scale="66" showPageBreaks="1" showAutoFilter="1" topLeftCell="M1">
      <selection activeCell="U5" sqref="U5"/>
      <pageMargins left="0" right="0" top="0" bottom="0" header="0" footer="0"/>
      <pageSetup paperSize="9" orientation="portrait" r:id="rId7"/>
      <headerFooter>
        <oddFooter>&amp;C&amp;1#&amp;"Calibri"&amp;10&amp;KFF0000OFFICIAL</oddFooter>
      </headerFooter>
      <autoFilter ref="A1:Y353" xr:uid="{2016AD79-5BC5-4511-9D24-EB6177E2C715}"/>
    </customSheetView>
    <customSheetView guid="{B0C47159-7A10-4CD0-9C42-4D9C3E367478}" scale="66" showPageBreaks="1" filter="1" showAutoFilter="1">
      <selection activeCell="A44" sqref="A44:XFD44"/>
      <pageMargins left="0" right="0" top="0" bottom="0" header="0" footer="0"/>
      <pageSetup paperSize="9" orientation="portrait" r:id="rId8"/>
      <headerFooter>
        <oddFooter>&amp;C&amp;1#&amp;"Calibri"&amp;10&amp;KFF0000OFFICIAL</oddFooter>
      </headerFooter>
      <autoFilter ref="A1:Y352" xr:uid="{0B0BDE8D-4376-4EC2-8CE3-FFB86BCBE787}">
        <filterColumn colId="18">
          <filters>
            <filter val="Emma Richards"/>
          </filters>
        </filterColumn>
        <sortState xmlns:xlrd2="http://schemas.microsoft.com/office/spreadsheetml/2017/richdata2" ref="A6:Y352">
          <sortCondition ref="G1:G358"/>
        </sortState>
      </autoFilter>
    </customSheetView>
    <customSheetView guid="{93640DF0-8C30-49B3-9AEE-B443879E2D06}" scale="71" filter="1" showAutoFilter="1" topLeftCell="V62">
      <selection activeCell="W4" sqref="W4"/>
      <pageMargins left="0" right="0" top="0" bottom="0" header="0" footer="0"/>
      <pageSetup paperSize="9" orientation="portrait" r:id="rId9"/>
      <headerFooter>
        <oddFooter>&amp;C&amp;1#&amp;"Calibri"&amp;10&amp;KFF0000OFFICIAL</oddFooter>
      </headerFooter>
      <autoFilter ref="A1:Y362" xr:uid="{D4E35EC0-08E2-4AC6-B882-5088C500D76D}">
        <filterColumn colId="18">
          <filters>
            <filter val="Kate Chapman"/>
          </filters>
        </filterColumn>
        <sortState xmlns:xlrd2="http://schemas.microsoft.com/office/spreadsheetml/2017/richdata2" ref="A6:Y362">
          <sortCondition ref="G1:G358"/>
        </sortState>
      </autoFilter>
    </customSheetView>
    <customSheetView guid="{2B13F76B-25C3-4174-A739-40F22F721CD1}" scale="80" showAutoFilter="1">
      <pane xSplit="5" ySplit="1" topLeftCell="F128" activePane="bottomRight" state="frozen"/>
      <selection pane="bottomRight" activeCell="E130" sqref="E130"/>
      <pageMargins left="0" right="0" top="0" bottom="0" header="0" footer="0"/>
      <pageSetup paperSize="9" orientation="portrait" r:id="rId10"/>
      <headerFooter>
        <oddFooter>&amp;C&amp;1#&amp;"Calibri"&amp;10&amp;KFF0000OFFICIAL</oddFooter>
      </headerFooter>
      <autoFilter ref="A1:Y360" xr:uid="{953E21FA-4E3F-4A42-90E5-85A20841F04C}">
        <sortState xmlns:xlrd2="http://schemas.microsoft.com/office/spreadsheetml/2017/richdata2" ref="A6:Y360">
          <sortCondition ref="G1:G360"/>
        </sortState>
      </autoFilter>
    </customSheetView>
    <customSheetView guid="{D3FBC512-40E9-4DA3-B67A-E2456DB39E9B}" scale="90" showPageBreaks="1" filter="1" showAutoFilter="1" topLeftCell="D1">
      <pane xSplit="2" ySplit="1" topLeftCell="S6" activePane="bottomRight" state="frozen"/>
      <selection pane="bottomRight" activeCell="E6" sqref="E6"/>
      <pageMargins left="0" right="0" top="0" bottom="0" header="0" footer="0"/>
      <pageSetup paperSize="9" orientation="portrait" r:id="rId11"/>
      <headerFooter>
        <oddFooter>&amp;C&amp;1#&amp;"Calibri"&amp;10&amp;KFF0000OFFICIAL</oddFooter>
      </headerFooter>
      <autoFilter ref="A1:Y361" xr:uid="{07F5C4C5-75B0-41CB-8B1F-1D682532F737}">
        <filterColumn colId="18">
          <filters>
            <filter val="Patricia Murphy"/>
          </filters>
        </filterColumn>
      </autoFilter>
    </customSheetView>
    <customSheetView guid="{AADBAA3C-4A28-4138-8AFD-382151AB0505}" scale="66" showAutoFilter="1">
      <pane ySplit="45" topLeftCell="A47" activePane="bottomLeft" state="frozen"/>
      <selection pane="bottomLeft" activeCell="A47" sqref="A47"/>
      <pageMargins left="0" right="0" top="0" bottom="0" header="0" footer="0"/>
      <pageSetup paperSize="9" orientation="portrait" r:id="rId12"/>
      <headerFooter>
        <oddFooter>&amp;C&amp;1#&amp;"Calibri"&amp;10&amp;KFF0000OFFICIAL</oddFooter>
      </headerFooter>
      <autoFilter ref="A1:AD313" xr:uid="{73376E1F-2811-4206-B835-80A1FBBF0E30}"/>
    </customSheetView>
    <customSheetView guid="{111E1D8A-D793-4E39-8420-A0C5178E038A}" scale="70" showAutoFilter="1">
      <pane xSplit="5" ySplit="1" topLeftCell="O2" activePane="bottomRight" state="frozen"/>
      <selection pane="bottomRight" activeCell="R5" sqref="R5"/>
      <pageMargins left="0" right="0" top="0" bottom="0" header="0" footer="0"/>
      <pageSetup paperSize="9" orientation="portrait" r:id="rId13"/>
      <autoFilter ref="A1:AD319" xr:uid="{B1FC5EFB-7E5A-409F-99AB-9D8B2D156D23}">
        <sortState xmlns:xlrd2="http://schemas.microsoft.com/office/spreadsheetml/2017/richdata2" ref="A8:AD319">
          <sortCondition ref="G1:G319"/>
        </sortState>
      </autoFilter>
    </customSheetView>
    <customSheetView guid="{E8A71C07-35BC-410C-B8FF-F60CE1C03368}" scale="70" showAutoFilter="1" topLeftCell="G1">
      <selection activeCell="E68" sqref="E68"/>
      <pageMargins left="0" right="0" top="0" bottom="0" header="0" footer="0"/>
      <pageSetup paperSize="9" orientation="portrait" r:id="rId14"/>
      <autoFilter ref="A1:Z302" xr:uid="{EDE3F39C-6FEE-46F1-AB08-5F4AE0016ECC}"/>
    </customSheetView>
    <customSheetView guid="{55F42AF0-96B4-4083-9714-DAA8B604590B}" scale="80" showAutoFilter="1" topLeftCell="R1">
      <pane ySplit="1" topLeftCell="A138" activePane="bottomLeft" state="frozen"/>
      <selection pane="bottomLeft" activeCell="X140" sqref="X140"/>
      <pageMargins left="0" right="0" top="0" bottom="0" header="0" footer="0"/>
      <pageSetup paperSize="9" orientation="portrait" r:id="rId15"/>
      <autoFilter ref="A1:Y302" xr:uid="{B09F9C09-D101-46DC-9CB4-AB20C0A4C544}"/>
    </customSheetView>
    <customSheetView guid="{948D2E33-B086-46ED-A908-ACF03A36FD59}" showAutoFilter="1" topLeftCell="A317">
      <selection activeCell="E328" sqref="E328"/>
      <pageMargins left="0" right="0" top="0" bottom="0" header="0" footer="0"/>
      <pageSetup paperSize="9" orientation="portrait" r:id="rId16"/>
      <autoFilter ref="A1:AD321" xr:uid="{ED7BA2F3-5F93-4957-AF84-7857F1BF09A8}"/>
    </customSheetView>
    <customSheetView guid="{0075AE26-7AAE-449B-B498-05D3C89595DA}" scale="80" showAutoFilter="1">
      <pane xSplit="5" ySplit="8" topLeftCell="F9" activePane="bottomRight" state="frozen"/>
      <selection pane="bottomRight" activeCell="R4" sqref="R4"/>
      <pageMargins left="0" right="0" top="0" bottom="0" header="0" footer="0"/>
      <pageSetup paperSize="9" orientation="portrait" r:id="rId17"/>
      <headerFooter>
        <oddFooter>&amp;C&amp;1#&amp;"Calibri"&amp;10&amp;KFF0000OFFICIAL</oddFooter>
      </headerFooter>
      <autoFilter ref="A1:AD358" xr:uid="{F5AC03BE-C645-4E37-B7CF-62F56BAD1356}"/>
    </customSheetView>
    <customSheetView guid="{DC499C24-673D-41B7-8539-2D48464FEE75}" scale="80" showAutoFilter="1">
      <pane xSplit="5" ySplit="1" topLeftCell="V117" activePane="bottomRight" state="frozen"/>
      <selection pane="bottomRight" activeCell="X131" sqref="X131"/>
      <pageMargins left="0" right="0" top="0" bottom="0" header="0" footer="0"/>
      <pageSetup paperSize="9" orientation="portrait" r:id="rId18"/>
      <headerFooter>
        <oddFooter>&amp;C&amp;1#&amp;"Calibri"&amp;10&amp;KFF0000OFFICIAL</oddFooter>
      </headerFooter>
      <autoFilter ref="A1:AC347" xr:uid="{80F779FD-323E-457A-9CE5-EB1EEB724274}">
        <sortState xmlns:xlrd2="http://schemas.microsoft.com/office/spreadsheetml/2017/richdata2" ref="A8:AC347">
          <sortCondition ref="G1:G347"/>
        </sortState>
      </autoFilter>
    </customSheetView>
    <customSheetView guid="{60598B7A-9956-4AF7-BFA4-C4E2EC2FF791}" scale="70" showPageBreaks="1" showAutoFilter="1" topLeftCell="I1">
      <pane ySplit="1" topLeftCell="A65" activePane="bottomLeft" state="frozen"/>
      <selection pane="bottomLeft" activeCell="X68" sqref="X68"/>
      <pageMargins left="0" right="0" top="0" bottom="0" header="0" footer="0"/>
      <pageSetup paperSize="9" orientation="portrait" r:id="rId19"/>
      <headerFooter>
        <oddFooter>&amp;C&amp;1#&amp;"Calibri"&amp;10&amp;KFF0000OFFICIAL</oddFooter>
      </headerFooter>
      <autoFilter ref="A1:Y347" xr:uid="{10F7CA45-78B4-4316-A776-C21B8282C7B2}"/>
    </customSheetView>
    <customSheetView guid="{9E076E2C-7493-4447-AF1A-1D294B765C0C}" scale="70" showPageBreaks="1" filter="1" showAutoFilter="1">
      <selection activeCell="C354" sqref="C354"/>
      <pageMargins left="0" right="0" top="0" bottom="0" header="0" footer="0"/>
      <pageSetup paperSize="9" orientation="portrait" r:id="rId20"/>
      <headerFooter>
        <oddFooter>&amp;C&amp;1#&amp;"Calibri"&amp;10&amp;KFF0000OFFICIAL</oddFooter>
      </headerFooter>
      <autoFilter ref="A1:Y347" xr:uid="{30D6684C-47E3-47D3-A384-553322FF56F4}">
        <filterColumn colId="18">
          <filters>
            <filter val="Becky Naisbitt"/>
          </filters>
        </filterColumn>
      </autoFilter>
    </customSheetView>
  </customSheetViews>
  <dataValidations count="5">
    <dataValidation type="whole" allowBlank="1" showInputMessage="1" showErrorMessage="1" error="Please insert a whole number between 1 and 240" sqref="H183 H230" xr:uid="{1EF3A027-BCE3-4AA4-93B0-15B492CD0369}">
      <formula1>1</formula1>
      <formula2>240</formula2>
    </dataValidation>
    <dataValidation type="date" operator="greaterThan" allowBlank="1" showInputMessage="1" showErrorMessage="1" error="Please enter a valid date in the following format **/**/****" sqref="G183 G230" xr:uid="{5FFCFEE9-C2D7-47E5-AE75-6FB6578AC9A3}">
      <formula1>36526</formula1>
    </dataValidation>
    <dataValidation type="list" allowBlank="1" showInputMessage="1" showErrorMessage="1" sqref="D2:D4 D10:D11 D22 D20 D80 D57 D71:D72 D59 D75:D78 D53 D44 D41:D42 D46:D48 D7:D8 D16 D84:D91 D82 D64:D68 D229 D590 D585:D588 D408 D411 D415 D403:D406 D429 D346:D348 D397 D384 D364 D386:D387 D355 D399:D400 D350 D372 D375:D382 D327:D329 D310 D318 D335:D342 D316 D322 D533 D538 D544 D466 D478 D439 D454:D455 D445 D485 D506:D508 D496 D527:D530 D520:D521 D499 D525 D554:D555 D552 D566 D574 D582:D583 D576:D577 D307 D592 D595:D603 D223 D139:D140 D109:D111 D104:D105 D98:D102 D128 D123:D125 D94:D95 D120:D121 D189 D217 D291 D276:D279 D268:D270 D159:D164 D245:D246 D197 D209:D210 D178:D179 D147:D148 D187 D182:D184 D154 D169 D202 D618:D619 D255 D237 D226 D263 D252:D253 D258:D260 D239:D240 D35:D38 D561:D564 D27:D30 D568:D570 D548:D550 D144:D145 D459:D462 D359 D151 D475:D476 D205 D172:D173 D115:D117 D511:D517 D281:D282 D630:D633 D231:D235 D353" xr:uid="{46DD2BD7-060E-46C8-91D7-05D4780ACD48}">
      <formula1>INDIRECT($C2)</formula1>
    </dataValidation>
    <dataValidation type="list" allowBlank="1" showInputMessage="1" showErrorMessage="1" sqref="E700:E1048576" xr:uid="{632471BB-ABF8-48E6-B0ED-9C4C868C9C8D}">
      <formula1>#REF!</formula1>
    </dataValidation>
    <dataValidation type="list" allowBlank="1" showInputMessage="1" showErrorMessage="1" sqref="L500:L610 L617:L1048576 L1:L297 L299:L498" xr:uid="{709B8CB2-BFA5-4AAF-A3BB-D5773AFBCF51}">
      <formula1>"Yes, No, TBC, Decision Record"</formula1>
    </dataValidation>
  </dataValidations>
  <pageMargins left="0.7" right="0.7" top="0.75" bottom="0.75" header="0.3" footer="0.3"/>
  <pageSetup paperSize="8" scale="32" fitToHeight="0" orientation="landscape" r:id="rId21"/>
  <headerFooter>
    <oddFooter>&amp;C&amp;"Arial"&amp;12&amp;K000000_x000D_&amp;1#&amp;"Calibri"&amp;10&amp;KFF0000 OFFICIAL - SENSITIVE</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5F026475-A9B9-4A7E-8CB2-830DA30D4DCB}">
          <x14:formula1>
            <xm:f>list!$Y$1:$AH$1</xm:f>
          </x14:formula1>
          <xm:sqref>C634:C1048576 C1</xm:sqref>
        </x14:dataValidation>
        <x14:dataValidation type="list" allowBlank="1" showInputMessage="1" showErrorMessage="1" xr:uid="{C3C17692-16A7-433F-AE63-F0F5D3F216FA}">
          <x14:formula1>
            <xm:f>list!$A$2:$A$6</xm:f>
          </x14:formula1>
          <xm:sqref>A634:A1048576 A1</xm:sqref>
        </x14:dataValidation>
        <x14:dataValidation type="list" allowBlank="1" showInputMessage="1" showErrorMessage="1" xr:uid="{F9F992FE-651E-4D7F-B274-9142612942E2}">
          <x14:formula1>
            <xm:f>list!$R$9:$R$40</xm:f>
          </x14:formula1>
          <xm:sqref>E634:E699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435"/>
  <sheetViews>
    <sheetView zoomScale="70" zoomScaleNormal="70" workbookViewId="0">
      <pane ySplit="1" topLeftCell="A26" activePane="bottomLeft" state="frozen"/>
      <selection pane="bottomLeft" activeCell="O26" sqref="O26"/>
    </sheetView>
  </sheetViews>
  <sheetFormatPr defaultRowHeight="15.5" outlineLevelCol="1"/>
  <cols>
    <col min="1" max="1" width="8.84375" style="1119" customWidth="1" outlineLevel="1"/>
    <col min="2" max="2" width="8.84375" customWidth="1" outlineLevel="1"/>
    <col min="3" max="3" width="10.07421875" customWidth="1" outlineLevel="1"/>
    <col min="4" max="8" width="8.84375" customWidth="1" outlineLevel="1"/>
    <col min="9" max="9" width="9.4609375" customWidth="1" outlineLevel="1"/>
    <col min="10" max="10" width="46.69140625" customWidth="1"/>
    <col min="11" max="11" width="16.84375" customWidth="1" outlineLevel="1"/>
    <col min="12" max="12" width="15.07421875" customWidth="1" outlineLevel="1"/>
    <col min="13" max="13" width="10.84375" customWidth="1" outlineLevel="1"/>
    <col min="14" max="14" width="10" customWidth="1" outlineLevel="1"/>
    <col min="15" max="15" width="13.07421875" customWidth="1" outlineLevel="1"/>
    <col min="16" max="17" width="9.07421875" customWidth="1" outlineLevel="1"/>
    <col min="18" max="18" width="12.07421875" bestFit="1" customWidth="1"/>
    <col min="19" max="19" width="11.84375" customWidth="1"/>
    <col min="21" max="22" width="9.07421875" customWidth="1"/>
    <col min="23" max="23" width="18.84375" customWidth="1"/>
    <col min="24" max="24" width="17.07421875" customWidth="1"/>
    <col min="25" max="26" width="11.53515625" customWidth="1"/>
    <col min="27" max="27" width="14.84375" customWidth="1"/>
    <col min="28" max="28" width="14.07421875" customWidth="1"/>
    <col min="29" max="29" width="53.07421875" customWidth="1"/>
    <col min="30" max="30" width="25.84375" bestFit="1" customWidth="1"/>
    <col min="31" max="31" width="10.07421875" bestFit="1" customWidth="1"/>
    <col min="32" max="32" width="10.07421875" customWidth="1"/>
  </cols>
  <sheetData>
    <row r="1" spans="1:33" s="3" customFormat="1" ht="101.5">
      <c r="A1" s="938" t="s">
        <v>0</v>
      </c>
      <c r="B1" s="938" t="s">
        <v>1</v>
      </c>
      <c r="C1" s="939" t="s">
        <v>2</v>
      </c>
      <c r="D1" s="34" t="s">
        <v>3</v>
      </c>
      <c r="E1" s="1523" t="s">
        <v>4</v>
      </c>
      <c r="F1" s="1523" t="s">
        <v>5</v>
      </c>
      <c r="G1" s="1523" t="s">
        <v>6</v>
      </c>
      <c r="H1" s="21" t="s">
        <v>7</v>
      </c>
      <c r="I1" s="21" t="s">
        <v>8</v>
      </c>
      <c r="J1" s="1576" t="s">
        <v>9</v>
      </c>
      <c r="K1" s="2" t="s">
        <v>10</v>
      </c>
      <c r="L1" s="21" t="s">
        <v>11</v>
      </c>
      <c r="M1" s="21" t="s">
        <v>12</v>
      </c>
      <c r="N1" s="21" t="s">
        <v>13</v>
      </c>
      <c r="O1" s="21" t="s">
        <v>14</v>
      </c>
      <c r="P1" s="21" t="s">
        <v>15</v>
      </c>
      <c r="Q1" s="24" t="s">
        <v>16</v>
      </c>
      <c r="R1" s="39" t="s">
        <v>17</v>
      </c>
      <c r="S1" s="30" t="s">
        <v>18</v>
      </c>
      <c r="T1" s="21" t="s">
        <v>19</v>
      </c>
      <c r="U1" s="21" t="s">
        <v>20</v>
      </c>
      <c r="V1" s="2355" t="s">
        <v>21</v>
      </c>
      <c r="W1" s="2" t="s">
        <v>22</v>
      </c>
      <c r="X1" s="21" t="s">
        <v>23</v>
      </c>
      <c r="Y1" s="21" t="s">
        <v>24</v>
      </c>
      <c r="Z1" s="22" t="s">
        <v>25</v>
      </c>
      <c r="AA1" s="23" t="s">
        <v>26</v>
      </c>
      <c r="AB1" s="37" t="s">
        <v>27</v>
      </c>
      <c r="AC1" s="212" t="s">
        <v>28</v>
      </c>
      <c r="AD1" s="213" t="s">
        <v>1</v>
      </c>
      <c r="AE1" s="226" t="s">
        <v>29</v>
      </c>
      <c r="AF1" s="226" t="s">
        <v>30</v>
      </c>
    </row>
    <row r="2" spans="1:33" s="1" customFormat="1" ht="58">
      <c r="A2" s="1947"/>
      <c r="B2" s="330"/>
      <c r="C2" s="147" t="s">
        <v>31</v>
      </c>
      <c r="D2" s="31" t="s">
        <v>32</v>
      </c>
      <c r="E2" s="31"/>
      <c r="F2" s="31"/>
      <c r="G2" s="31"/>
      <c r="H2" s="2751" t="s">
        <v>33</v>
      </c>
      <c r="I2" s="2751" t="s">
        <v>34</v>
      </c>
      <c r="J2" s="2752" t="s">
        <v>35</v>
      </c>
      <c r="K2" s="2752"/>
      <c r="L2" s="2752"/>
      <c r="M2" s="5" t="e">
        <f>IF(OR(S2=#REF!,S2=#REF!,S2=#REF!,S2=#REF!,S2=#REF!,S2=#REF!,S2=#REF!,S2=#REF!),12,IF(OR(S2=#REF!,S2=#REF!,S2=#REF!,S2=#REF!,S2=#REF!,S2=#REF!,S2=#REF!),3,IF(S2=#REF!,1,IF(S2=#REF!,18,IF(OR(S2=#REF!,S2=#REF!,S2=#REF!,S2=#REF!,S2=#REF!),14,"Invalid proposed procurement method")))))</f>
        <v>#REF!</v>
      </c>
      <c r="N2" s="5"/>
      <c r="O2" s="199" t="str">
        <f>IFERROR(EDATE($P2,-3),"Invalid procurement method or date entered")</f>
        <v>Invalid procurement method or date entered</v>
      </c>
      <c r="P2" s="2751">
        <v>24</v>
      </c>
      <c r="Q2" s="2751" t="s">
        <v>36</v>
      </c>
      <c r="R2" s="18">
        <v>900</v>
      </c>
      <c r="S2" s="2751" t="s">
        <v>37</v>
      </c>
      <c r="T2" s="2753" t="s">
        <v>38</v>
      </c>
      <c r="U2" s="120"/>
      <c r="V2" s="120"/>
      <c r="W2" s="120"/>
      <c r="X2" s="5" t="s">
        <v>39</v>
      </c>
      <c r="Y2" s="5" t="s">
        <v>40</v>
      </c>
      <c r="Z2" s="5"/>
      <c r="AA2" s="2751"/>
      <c r="AB2" s="199" t="s">
        <v>41</v>
      </c>
      <c r="AC2" s="2752" t="s">
        <v>42</v>
      </c>
      <c r="AD2" s="20" t="s">
        <v>43</v>
      </c>
      <c r="AE2" s="186"/>
      <c r="AF2" t="str">
        <f t="shared" ref="AF2:AF65" ca="1" si="0">IFERROR(TODAY()-AB2,"N/A")</f>
        <v>N/A</v>
      </c>
      <c r="AG2"/>
    </row>
    <row r="3" spans="1:33" ht="39">
      <c r="A3" s="1244">
        <v>44894</v>
      </c>
      <c r="B3" s="695" t="s">
        <v>44</v>
      </c>
      <c r="C3" s="738" t="s">
        <v>45</v>
      </c>
      <c r="D3" s="1369" t="s">
        <v>32</v>
      </c>
      <c r="E3" s="1369"/>
      <c r="F3" s="1369"/>
      <c r="G3" s="1369"/>
      <c r="H3" s="1369"/>
      <c r="I3" s="700" t="s">
        <v>46</v>
      </c>
      <c r="J3" s="1982" t="s">
        <v>47</v>
      </c>
      <c r="K3" s="699" t="s">
        <v>48</v>
      </c>
      <c r="L3" s="700" t="s">
        <v>49</v>
      </c>
      <c r="M3" s="710">
        <v>1</v>
      </c>
      <c r="N3" s="769">
        <v>44894</v>
      </c>
      <c r="O3" s="1462"/>
      <c r="P3" s="1462">
        <v>44927</v>
      </c>
      <c r="Q3" s="2047" t="s">
        <v>50</v>
      </c>
      <c r="R3" s="2047" t="s">
        <v>50</v>
      </c>
      <c r="S3" s="1472">
        <v>50000</v>
      </c>
      <c r="T3" s="700" t="s">
        <v>51</v>
      </c>
      <c r="U3" s="710" t="s">
        <v>38</v>
      </c>
      <c r="V3" s="700"/>
      <c r="W3" s="1332" t="s">
        <v>52</v>
      </c>
      <c r="X3" s="843" t="s">
        <v>53</v>
      </c>
      <c r="Y3" s="843" t="s">
        <v>54</v>
      </c>
      <c r="Z3" s="843" t="s">
        <v>40</v>
      </c>
      <c r="AA3" s="843"/>
      <c r="AB3" s="1884" t="s">
        <v>38</v>
      </c>
      <c r="AC3" s="1499">
        <v>44946</v>
      </c>
      <c r="AD3" s="945" t="s">
        <v>55</v>
      </c>
      <c r="AE3" s="843" t="s">
        <v>46</v>
      </c>
      <c r="AF3" t="str">
        <f t="shared" ca="1" si="0"/>
        <v>N/A</v>
      </c>
      <c r="AG3" s="906"/>
    </row>
    <row r="4" spans="1:33" ht="50">
      <c r="B4" s="577" t="s">
        <v>56</v>
      </c>
      <c r="C4" s="510"/>
      <c r="D4" s="511" t="s">
        <v>57</v>
      </c>
      <c r="E4" s="511"/>
      <c r="F4" s="511"/>
      <c r="G4" s="511"/>
      <c r="H4" s="511" t="s">
        <v>58</v>
      </c>
      <c r="I4" s="510" t="s">
        <v>47</v>
      </c>
      <c r="J4" s="1580" t="s">
        <v>59</v>
      </c>
      <c r="K4" s="533"/>
      <c r="L4" s="533"/>
      <c r="M4" s="511">
        <v>3</v>
      </c>
      <c r="N4" s="514" t="str">
        <f>IF(O4="tbc","",(IFERROR(EDATE(#REF!,-3),"Invalid procurement method or date entered")))</f>
        <v/>
      </c>
      <c r="O4" s="534" t="s">
        <v>60</v>
      </c>
      <c r="P4" s="535" t="s">
        <v>60</v>
      </c>
      <c r="Q4" s="535" t="s">
        <v>60</v>
      </c>
      <c r="R4" s="528">
        <v>53000</v>
      </c>
      <c r="S4" s="515" t="s">
        <v>61</v>
      </c>
      <c r="T4" s="515" t="s">
        <v>62</v>
      </c>
      <c r="U4" s="515" t="s">
        <v>60</v>
      </c>
      <c r="V4" s="515"/>
      <c r="W4" s="510" t="s">
        <v>63</v>
      </c>
      <c r="AF4">
        <f t="shared" ca="1" si="0"/>
        <v>45308</v>
      </c>
    </row>
    <row r="5" spans="1:33" ht="50">
      <c r="B5" s="577" t="s">
        <v>56</v>
      </c>
      <c r="C5" s="510"/>
      <c r="D5" s="511" t="s">
        <v>57</v>
      </c>
      <c r="E5" s="511"/>
      <c r="F5" s="511"/>
      <c r="G5" s="511"/>
      <c r="H5" s="511" t="s">
        <v>58</v>
      </c>
      <c r="I5" s="510" t="s">
        <v>47</v>
      </c>
      <c r="J5" s="1580" t="s">
        <v>64</v>
      </c>
      <c r="K5" s="533"/>
      <c r="L5" s="533"/>
      <c r="M5" s="511">
        <v>3</v>
      </c>
      <c r="N5" s="514" t="str">
        <f>IF(O5="tbc","",(IFERROR(EDATE(#REF!,-3),"Invalid procurement method or date entered")))</f>
        <v/>
      </c>
      <c r="O5" s="534" t="s">
        <v>60</v>
      </c>
      <c r="P5" s="535" t="s">
        <v>60</v>
      </c>
      <c r="Q5" s="535" t="s">
        <v>60</v>
      </c>
      <c r="R5" s="528">
        <v>110400</v>
      </c>
      <c r="S5" s="515" t="s">
        <v>61</v>
      </c>
      <c r="T5" s="515" t="s">
        <v>62</v>
      </c>
      <c r="U5" s="515" t="s">
        <v>60</v>
      </c>
      <c r="V5" s="515"/>
      <c r="W5" s="510" t="s">
        <v>63</v>
      </c>
      <c r="AF5">
        <f t="shared" ca="1" si="0"/>
        <v>45308</v>
      </c>
    </row>
    <row r="6" spans="1:33" ht="50">
      <c r="B6" s="577" t="s">
        <v>56</v>
      </c>
      <c r="C6" s="510"/>
      <c r="D6" s="511" t="s">
        <v>57</v>
      </c>
      <c r="E6" s="511"/>
      <c r="F6" s="511"/>
      <c r="G6" s="511"/>
      <c r="H6" s="511" t="s">
        <v>58</v>
      </c>
      <c r="I6" s="510" t="s">
        <v>47</v>
      </c>
      <c r="J6" s="1580" t="s">
        <v>64</v>
      </c>
      <c r="K6" s="533"/>
      <c r="L6" s="533"/>
      <c r="M6" s="511">
        <v>3</v>
      </c>
      <c r="N6" s="514" t="str">
        <f>IF(O6="tbc","",(IFERROR(EDATE(#REF!,-3),"Invalid procurement method or date entered")))</f>
        <v/>
      </c>
      <c r="O6" s="534" t="s">
        <v>60</v>
      </c>
      <c r="P6" s="535" t="s">
        <v>60</v>
      </c>
      <c r="Q6" s="535" t="s">
        <v>60</v>
      </c>
      <c r="R6" s="528">
        <v>90000</v>
      </c>
      <c r="S6" s="515" t="s">
        <v>61</v>
      </c>
      <c r="T6" s="515" t="s">
        <v>62</v>
      </c>
      <c r="U6" s="515" t="s">
        <v>60</v>
      </c>
      <c r="V6" s="515"/>
      <c r="W6" s="510" t="s">
        <v>63</v>
      </c>
      <c r="AF6">
        <f t="shared" ca="1" si="0"/>
        <v>45308</v>
      </c>
    </row>
    <row r="7" spans="1:33" ht="26">
      <c r="A7" s="1244"/>
      <c r="B7" s="695" t="s">
        <v>44</v>
      </c>
      <c r="C7" s="738" t="s">
        <v>45</v>
      </c>
      <c r="D7" s="801" t="s">
        <v>32</v>
      </c>
      <c r="E7" s="801"/>
      <c r="F7" s="801"/>
      <c r="G7" s="801"/>
      <c r="H7" s="710" t="s">
        <v>65</v>
      </c>
      <c r="I7" s="1607" t="s">
        <v>47</v>
      </c>
      <c r="J7" s="748" t="s">
        <v>66</v>
      </c>
      <c r="K7" s="801"/>
      <c r="L7" s="710">
        <v>5</v>
      </c>
      <c r="M7" s="769">
        <f>IFERROR(EDATE($N7,-3),"Invalid procurement method or date entered")</f>
        <v>44774</v>
      </c>
      <c r="N7" s="769">
        <f t="shared" ref="N7:N22" si="1">IFERROR(EDATE(O7,-L7),"Invalid procurement method or date entered")</f>
        <v>44866</v>
      </c>
      <c r="O7" s="1243">
        <v>45017</v>
      </c>
      <c r="P7" s="738">
        <v>12</v>
      </c>
      <c r="Q7" s="801">
        <v>12</v>
      </c>
      <c r="R7" s="772">
        <v>25000</v>
      </c>
      <c r="S7" s="711" t="s">
        <v>37</v>
      </c>
      <c r="T7" s="710" t="s">
        <v>38</v>
      </c>
      <c r="U7" s="769" t="s">
        <v>67</v>
      </c>
      <c r="V7" s="1499"/>
      <c r="W7" s="843" t="s">
        <v>68</v>
      </c>
      <c r="X7" s="919" t="s">
        <v>45</v>
      </c>
      <c r="Y7" s="912" t="s">
        <v>40</v>
      </c>
      <c r="Z7" s="843" t="s">
        <v>69</v>
      </c>
      <c r="AA7" s="843" t="s">
        <v>70</v>
      </c>
      <c r="AB7" s="1499" t="s">
        <v>71</v>
      </c>
      <c r="AC7" s="1122" t="s">
        <v>72</v>
      </c>
      <c r="AD7" s="798" t="s">
        <v>73</v>
      </c>
      <c r="AE7" s="1938"/>
      <c r="AF7" t="str">
        <f t="shared" ca="1" si="0"/>
        <v>N/A</v>
      </c>
      <c r="AG7" s="906"/>
    </row>
    <row r="8" spans="1:33" ht="39">
      <c r="A8" s="1244" t="s">
        <v>71</v>
      </c>
      <c r="B8" s="695" t="s">
        <v>44</v>
      </c>
      <c r="C8" s="738"/>
      <c r="D8" s="808" t="s">
        <v>32</v>
      </c>
      <c r="E8" s="808"/>
      <c r="F8" s="808"/>
      <c r="G8" s="808"/>
      <c r="H8" s="710" t="s">
        <v>33</v>
      </c>
      <c r="I8" s="1608" t="s">
        <v>47</v>
      </c>
      <c r="J8" s="709" t="s">
        <v>74</v>
      </c>
      <c r="K8" s="710"/>
      <c r="L8" s="710">
        <v>6</v>
      </c>
      <c r="M8" s="769">
        <f>IFERROR(EDATE($N8,-3),"Invalid procurement method or date entered")</f>
        <v>44743</v>
      </c>
      <c r="N8" s="769">
        <f t="shared" si="1"/>
        <v>44835</v>
      </c>
      <c r="O8" s="769">
        <v>45017</v>
      </c>
      <c r="P8" s="738">
        <v>24</v>
      </c>
      <c r="Q8" s="710">
        <v>24</v>
      </c>
      <c r="R8" s="772">
        <v>187400</v>
      </c>
      <c r="S8" s="710" t="s">
        <v>75</v>
      </c>
      <c r="T8" s="885" t="s">
        <v>62</v>
      </c>
      <c r="U8" s="886" t="s">
        <v>67</v>
      </c>
      <c r="V8" s="2297"/>
      <c r="W8" s="843" t="s">
        <v>76</v>
      </c>
      <c r="X8" s="843" t="s">
        <v>77</v>
      </c>
      <c r="Y8" s="843" t="s">
        <v>40</v>
      </c>
      <c r="Z8" s="843" t="s">
        <v>69</v>
      </c>
      <c r="AA8" s="843" t="s">
        <v>70</v>
      </c>
      <c r="AB8" s="2146">
        <v>44946</v>
      </c>
      <c r="AC8" s="1922" t="s">
        <v>78</v>
      </c>
      <c r="AD8" s="843" t="s">
        <v>79</v>
      </c>
      <c r="AE8" s="806">
        <v>93700</v>
      </c>
      <c r="AF8">
        <f t="shared" ca="1" si="0"/>
        <v>362</v>
      </c>
      <c r="AG8" s="906"/>
    </row>
    <row r="9" spans="1:33" ht="29">
      <c r="A9" s="2754"/>
      <c r="B9" s="2755" t="s">
        <v>44</v>
      </c>
      <c r="C9" s="10">
        <v>29893</v>
      </c>
      <c r="D9" s="5" t="s">
        <v>32</v>
      </c>
      <c r="E9" s="5"/>
      <c r="F9" s="5"/>
      <c r="G9" s="5"/>
      <c r="H9" s="5" t="s">
        <v>80</v>
      </c>
      <c r="I9" s="5" t="s">
        <v>47</v>
      </c>
      <c r="J9" s="268" t="s">
        <v>81</v>
      </c>
      <c r="K9" s="268"/>
      <c r="L9" s="5">
        <v>15</v>
      </c>
      <c r="M9" s="199">
        <f>IFERROR(EDATE($N9,-3),"Invalid procurement method or date entered")</f>
        <v>44105</v>
      </c>
      <c r="N9" s="199">
        <f t="shared" si="1"/>
        <v>44197</v>
      </c>
      <c r="O9" s="182">
        <v>44652</v>
      </c>
      <c r="P9" s="12" t="s">
        <v>82</v>
      </c>
      <c r="Q9" s="7" t="s">
        <v>83</v>
      </c>
      <c r="R9" s="18">
        <v>6500000</v>
      </c>
      <c r="S9" s="2751" t="s">
        <v>84</v>
      </c>
      <c r="T9" s="5" t="s">
        <v>70</v>
      </c>
      <c r="U9" s="182">
        <v>44641</v>
      </c>
      <c r="V9" s="182"/>
      <c r="W9" s="2751" t="s">
        <v>85</v>
      </c>
      <c r="X9" s="80" t="s">
        <v>86</v>
      </c>
      <c r="Y9" s="80" t="s">
        <v>40</v>
      </c>
      <c r="Z9" s="80" t="s">
        <v>87</v>
      </c>
      <c r="AA9" s="80" t="s">
        <v>70</v>
      </c>
      <c r="AB9" s="354" t="s">
        <v>88</v>
      </c>
      <c r="AC9" s="101" t="s">
        <v>89</v>
      </c>
      <c r="AD9" s="76" t="s">
        <v>80</v>
      </c>
      <c r="AE9" s="1131">
        <v>1137500</v>
      </c>
      <c r="AF9" t="str">
        <f t="shared" ca="1" si="0"/>
        <v>N/A</v>
      </c>
    </row>
    <row r="10" spans="1:33" ht="58">
      <c r="A10" s="1184"/>
      <c r="B10" s="2755" t="s">
        <v>44</v>
      </c>
      <c r="C10" s="10">
        <v>30012</v>
      </c>
      <c r="D10" s="9" t="s">
        <v>57</v>
      </c>
      <c r="E10" s="9"/>
      <c r="F10" s="9"/>
      <c r="G10" s="9"/>
      <c r="H10" s="5" t="s">
        <v>33</v>
      </c>
      <c r="I10" s="5" t="s">
        <v>47</v>
      </c>
      <c r="J10" s="16" t="s">
        <v>90</v>
      </c>
      <c r="K10" s="8"/>
      <c r="L10" s="5" t="e">
        <f>IF(OR(S10=#REF!,S10=#REF!,S10=#REF!,S10=#REF!,S10=#REF!,S10=#REF!,S10=#REF!,S10=#REF!),12,IF(OR(S10=#REF!,S10=#REF!,S10=#REF!,S10=#REF!,S10=#REF!,S10=#REF!,S10=#REF!),3,IF(S10=#REF!,1,IF(S10=#REF!,18,IF(OR(S10=#REF!,S10=#REF!,S10=#REF!,S10=#REF!,S10=#REF!),14,"Invalid proposed procurement method")))))</f>
        <v>#REF!</v>
      </c>
      <c r="M10" s="199" t="str">
        <f>IFERROR(EDATE($N10,-3),"Invalid procurement method or date entered")</f>
        <v>Invalid procurement method or date entered</v>
      </c>
      <c r="N10" s="199" t="str">
        <f t="shared" si="1"/>
        <v>Invalid procurement method or date entered</v>
      </c>
      <c r="O10" s="182">
        <v>44652</v>
      </c>
      <c r="P10" s="5">
        <v>48</v>
      </c>
      <c r="Q10" s="7" t="s">
        <v>83</v>
      </c>
      <c r="R10" s="18">
        <v>4000000</v>
      </c>
      <c r="S10" s="5" t="s">
        <v>91</v>
      </c>
      <c r="T10" s="5" t="s">
        <v>92</v>
      </c>
      <c r="U10" s="326">
        <v>44428</v>
      </c>
      <c r="V10" s="2346"/>
      <c r="W10" s="80" t="s">
        <v>93</v>
      </c>
      <c r="X10" s="1076" t="s">
        <v>94</v>
      </c>
      <c r="Y10" s="80" t="s">
        <v>40</v>
      </c>
      <c r="Z10" s="80" t="s">
        <v>87</v>
      </c>
      <c r="AA10" s="80" t="s">
        <v>70</v>
      </c>
      <c r="AB10" s="354" t="s">
        <v>88</v>
      </c>
      <c r="AC10" s="101" t="s">
        <v>95</v>
      </c>
      <c r="AD10" s="80" t="s">
        <v>96</v>
      </c>
      <c r="AE10" s="197">
        <v>1000000</v>
      </c>
      <c r="AF10" t="str">
        <f t="shared" ca="1" si="0"/>
        <v>N/A</v>
      </c>
    </row>
    <row r="11" spans="1:33" ht="58">
      <c r="A11" s="1184"/>
      <c r="B11" s="2755" t="s">
        <v>44</v>
      </c>
      <c r="C11" s="10">
        <v>29612</v>
      </c>
      <c r="D11" s="1963" t="s">
        <v>57</v>
      </c>
      <c r="E11" s="1963"/>
      <c r="F11" s="1963"/>
      <c r="G11" s="1963"/>
      <c r="H11" s="5" t="s">
        <v>33</v>
      </c>
      <c r="I11" s="5" t="s">
        <v>47</v>
      </c>
      <c r="J11" s="16" t="s">
        <v>97</v>
      </c>
      <c r="K11" s="8"/>
      <c r="L11" s="5" t="e">
        <f>IF(OR(S11=#REF!,S11=#REF!,S11=#REF!,S11=#REF!,S11=#REF!,S11=#REF!,S11=#REF!,S11=#REF!),12,IF(OR(S11=#REF!,S11=#REF!,S11=#REF!,S11=#REF!,S11=#REF!,S11=#REF!,S11=#REF!),3,IF(S11=#REF!,1,IF(S11=#REF!,18,IF(OR(S11=#REF!,S11=#REF!,S11=#REF!,S11=#REF!,S11=#REF!),14,"Invalid proposed procurement method")))))</f>
        <v>#REF!</v>
      </c>
      <c r="M11" s="199" t="str">
        <f>IFERROR(EDATE($N11,-3),"Invalid procurement method or date entered")</f>
        <v>Invalid procurement method or date entered</v>
      </c>
      <c r="N11" s="199" t="str">
        <f t="shared" si="1"/>
        <v>Invalid procurement method or date entered</v>
      </c>
      <c r="O11" s="182">
        <v>44652</v>
      </c>
      <c r="P11" s="5">
        <v>36</v>
      </c>
      <c r="Q11" s="7" t="s">
        <v>98</v>
      </c>
      <c r="R11" s="18">
        <v>365978.7</v>
      </c>
      <c r="S11" s="5" t="s">
        <v>91</v>
      </c>
      <c r="T11" s="5" t="s">
        <v>92</v>
      </c>
      <c r="U11" s="326">
        <v>44428</v>
      </c>
      <c r="V11" s="326"/>
      <c r="W11" s="5" t="s">
        <v>93</v>
      </c>
      <c r="X11" s="1076" t="s">
        <v>94</v>
      </c>
      <c r="Y11" s="80" t="s">
        <v>40</v>
      </c>
      <c r="Z11" s="80" t="s">
        <v>87</v>
      </c>
      <c r="AA11" s="80" t="s">
        <v>70</v>
      </c>
      <c r="AB11" s="354" t="s">
        <v>88</v>
      </c>
      <c r="AC11" s="101" t="s">
        <v>99</v>
      </c>
      <c r="AD11" s="80" t="s">
        <v>96</v>
      </c>
      <c r="AE11" s="197">
        <v>120000</v>
      </c>
      <c r="AF11" t="str">
        <f t="shared" ca="1" si="0"/>
        <v>N/A</v>
      </c>
    </row>
    <row r="12" spans="1:33" ht="58">
      <c r="A12" s="1184"/>
      <c r="B12" s="200" t="s">
        <v>100</v>
      </c>
      <c r="C12" s="1956" t="s">
        <v>101</v>
      </c>
      <c r="D12" s="1965" t="s">
        <v>102</v>
      </c>
      <c r="E12" s="1965"/>
      <c r="F12" s="1965"/>
      <c r="G12" s="1965"/>
      <c r="H12" s="1967" t="s">
        <v>103</v>
      </c>
      <c r="I12" s="1967" t="s">
        <v>47</v>
      </c>
      <c r="J12" s="111" t="s">
        <v>104</v>
      </c>
      <c r="K12" s="101"/>
      <c r="L12" s="80">
        <v>14</v>
      </c>
      <c r="M12" s="354">
        <f>IFERROR(EDATE(N12,-3),"Invalid procurement method or date entered")</f>
        <v>44136</v>
      </c>
      <c r="N12" s="1108">
        <f t="shared" si="1"/>
        <v>44228</v>
      </c>
      <c r="O12" s="2024">
        <v>44652</v>
      </c>
      <c r="P12" s="361" t="s">
        <v>45</v>
      </c>
      <c r="Q12" s="361" t="s">
        <v>45</v>
      </c>
      <c r="R12" s="2066" t="s">
        <v>45</v>
      </c>
      <c r="S12" s="1555" t="s">
        <v>105</v>
      </c>
      <c r="T12" s="2085" t="s">
        <v>70</v>
      </c>
      <c r="U12" s="2085" t="s">
        <v>106</v>
      </c>
      <c r="V12" s="2085"/>
      <c r="W12" s="101" t="s">
        <v>107</v>
      </c>
      <c r="X12" s="111" t="s">
        <v>108</v>
      </c>
      <c r="Y12" s="111" t="s">
        <v>40</v>
      </c>
      <c r="Z12" s="111"/>
      <c r="AA12" s="1091" t="s">
        <v>87</v>
      </c>
      <c r="AB12" s="1101" t="s">
        <v>70</v>
      </c>
      <c r="AC12" s="432">
        <v>44691</v>
      </c>
      <c r="AD12" s="432"/>
      <c r="AE12" s="432"/>
      <c r="AF12" t="str">
        <f t="shared" ca="1" si="0"/>
        <v>N/A</v>
      </c>
    </row>
    <row r="13" spans="1:33" ht="58">
      <c r="A13" s="1184"/>
      <c r="B13" s="200" t="s">
        <v>100</v>
      </c>
      <c r="C13" s="1956" t="s">
        <v>109</v>
      </c>
      <c r="D13" s="1965" t="s">
        <v>110</v>
      </c>
      <c r="E13" s="1965"/>
      <c r="F13" s="1965"/>
      <c r="G13" s="1965"/>
      <c r="H13" s="1967" t="s">
        <v>103</v>
      </c>
      <c r="I13" s="1967" t="s">
        <v>47</v>
      </c>
      <c r="J13" s="111" t="s">
        <v>111</v>
      </c>
      <c r="K13" s="101"/>
      <c r="L13" s="80">
        <v>14</v>
      </c>
      <c r="M13" s="354">
        <f>IFERROR(EDATE(N13,-3),"Invalid procurement method or date entered")</f>
        <v>44136</v>
      </c>
      <c r="N13" s="1108">
        <f t="shared" si="1"/>
        <v>44228</v>
      </c>
      <c r="O13" s="2024">
        <v>44652</v>
      </c>
      <c r="P13" s="361">
        <v>74</v>
      </c>
      <c r="Q13" s="361" t="s">
        <v>112</v>
      </c>
      <c r="R13" s="1555">
        <v>1233471.8</v>
      </c>
      <c r="S13" s="1555" t="s">
        <v>105</v>
      </c>
      <c r="T13" s="2085" t="s">
        <v>70</v>
      </c>
      <c r="U13" s="2085" t="s">
        <v>113</v>
      </c>
      <c r="V13" s="2085"/>
      <c r="W13" s="101" t="s">
        <v>114</v>
      </c>
      <c r="X13" s="111" t="s">
        <v>108</v>
      </c>
      <c r="Y13" s="111" t="s">
        <v>115</v>
      </c>
      <c r="Z13" s="111"/>
      <c r="AA13" s="1091" t="s">
        <v>87</v>
      </c>
      <c r="AB13" s="1101" t="s">
        <v>70</v>
      </c>
      <c r="AC13" s="432">
        <v>44691</v>
      </c>
      <c r="AD13" s="432"/>
      <c r="AE13" s="432"/>
      <c r="AF13" t="str">
        <f t="shared" ca="1" si="0"/>
        <v>N/A</v>
      </c>
    </row>
    <row r="14" spans="1:33" ht="58">
      <c r="A14" s="1184"/>
      <c r="B14" s="200" t="s">
        <v>100</v>
      </c>
      <c r="C14" s="200" t="s">
        <v>45</v>
      </c>
      <c r="D14" s="8" t="s">
        <v>110</v>
      </c>
      <c r="E14" s="8"/>
      <c r="F14" s="8"/>
      <c r="G14" s="8"/>
      <c r="H14" s="16" t="s">
        <v>116</v>
      </c>
      <c r="I14" s="16" t="s">
        <v>34</v>
      </c>
      <c r="J14" s="16" t="s">
        <v>117</v>
      </c>
      <c r="K14" s="8"/>
      <c r="L14" s="5">
        <v>14</v>
      </c>
      <c r="M14" s="199">
        <f>IFERROR(EDATE(N14,-3),"Invalid procurement method or date entered")</f>
        <v>44136</v>
      </c>
      <c r="N14" s="149">
        <f t="shared" si="1"/>
        <v>44228</v>
      </c>
      <c r="O14" s="367">
        <v>44652</v>
      </c>
      <c r="P14" s="46">
        <v>60</v>
      </c>
      <c r="Q14" s="359">
        <v>60</v>
      </c>
      <c r="R14" s="358" t="s">
        <v>45</v>
      </c>
      <c r="S14" s="159" t="s">
        <v>105</v>
      </c>
      <c r="T14" s="365" t="s">
        <v>70</v>
      </c>
      <c r="U14" s="365" t="s">
        <v>118</v>
      </c>
      <c r="V14" s="2347"/>
      <c r="W14" s="348" t="s">
        <v>119</v>
      </c>
      <c r="X14" s="111" t="s">
        <v>120</v>
      </c>
      <c r="Y14" s="111" t="s">
        <v>40</v>
      </c>
      <c r="Z14" s="111"/>
      <c r="AA14" s="1091" t="s">
        <v>87</v>
      </c>
      <c r="AB14" s="1101" t="s">
        <v>70</v>
      </c>
      <c r="AC14" s="491">
        <v>44726</v>
      </c>
      <c r="AD14" s="491"/>
      <c r="AE14" s="491"/>
      <c r="AF14" t="str">
        <f t="shared" ca="1" si="0"/>
        <v>N/A</v>
      </c>
    </row>
    <row r="15" spans="1:33" ht="58">
      <c r="A15" s="1184"/>
      <c r="B15" s="200" t="s">
        <v>100</v>
      </c>
      <c r="C15" s="200" t="s">
        <v>45</v>
      </c>
      <c r="D15" s="8" t="s">
        <v>110</v>
      </c>
      <c r="E15" s="8"/>
      <c r="F15" s="8"/>
      <c r="G15" s="8"/>
      <c r="H15" s="16" t="s">
        <v>116</v>
      </c>
      <c r="I15" s="16" t="s">
        <v>34</v>
      </c>
      <c r="J15" s="16" t="s">
        <v>121</v>
      </c>
      <c r="K15" s="8"/>
      <c r="L15" s="5">
        <v>14</v>
      </c>
      <c r="M15" s="199">
        <f>IFERROR(EDATE(N15,-3),"Invalid procurement method or date entered")</f>
        <v>44136</v>
      </c>
      <c r="N15" s="149">
        <f t="shared" si="1"/>
        <v>44228</v>
      </c>
      <c r="O15" s="367">
        <v>44652</v>
      </c>
      <c r="P15" s="46">
        <v>60</v>
      </c>
      <c r="Q15" s="359">
        <v>60</v>
      </c>
      <c r="R15" s="358" t="s">
        <v>45</v>
      </c>
      <c r="S15" s="159" t="s">
        <v>105</v>
      </c>
      <c r="T15" s="365" t="s">
        <v>70</v>
      </c>
      <c r="U15" s="365" t="s">
        <v>118</v>
      </c>
      <c r="V15" s="365"/>
      <c r="W15" s="8" t="s">
        <v>119</v>
      </c>
      <c r="X15" s="111" t="s">
        <v>120</v>
      </c>
      <c r="Y15" s="111" t="s">
        <v>40</v>
      </c>
      <c r="Z15" s="111"/>
      <c r="AA15" s="1091" t="s">
        <v>87</v>
      </c>
      <c r="AB15" s="1101" t="s">
        <v>70</v>
      </c>
      <c r="AC15" s="491">
        <v>44726</v>
      </c>
      <c r="AD15" s="491"/>
      <c r="AE15" s="491"/>
      <c r="AF15" t="str">
        <f t="shared" ca="1" si="0"/>
        <v>N/A</v>
      </c>
    </row>
    <row r="16" spans="1:33">
      <c r="A16" s="1183"/>
      <c r="B16" s="200" t="s">
        <v>100</v>
      </c>
      <c r="C16" s="200" t="s">
        <v>45</v>
      </c>
      <c r="D16" s="8" t="s">
        <v>122</v>
      </c>
      <c r="E16" s="8"/>
      <c r="F16" s="8"/>
      <c r="G16" s="8"/>
      <c r="H16" s="16" t="s">
        <v>103</v>
      </c>
      <c r="I16" s="16" t="s">
        <v>47</v>
      </c>
      <c r="J16" s="16" t="s">
        <v>123</v>
      </c>
      <c r="K16" s="8"/>
      <c r="L16" s="5">
        <v>14</v>
      </c>
      <c r="M16" s="199">
        <f>IFERROR(EDATE(N16,-3),"Invalid procurement method or date entered")</f>
        <v>44136</v>
      </c>
      <c r="N16" s="149">
        <f t="shared" si="1"/>
        <v>44228</v>
      </c>
      <c r="O16" s="149">
        <v>44652</v>
      </c>
      <c r="P16" s="46">
        <v>60</v>
      </c>
      <c r="Q16" s="46">
        <v>60</v>
      </c>
      <c r="R16" s="159">
        <v>120000000</v>
      </c>
      <c r="S16" s="159" t="s">
        <v>105</v>
      </c>
      <c r="T16" s="190" t="s">
        <v>70</v>
      </c>
      <c r="U16" s="190" t="s">
        <v>45</v>
      </c>
      <c r="V16" s="2105"/>
      <c r="W16" s="101" t="s">
        <v>124</v>
      </c>
      <c r="X16" s="111" t="s">
        <v>125</v>
      </c>
      <c r="Y16" s="111" t="s">
        <v>126</v>
      </c>
      <c r="Z16" s="111"/>
      <c r="AA16" s="1091" t="s">
        <v>87</v>
      </c>
      <c r="AB16" s="1101" t="s">
        <v>70</v>
      </c>
      <c r="AC16" s="491">
        <v>44767</v>
      </c>
      <c r="AD16" s="491"/>
      <c r="AE16" s="491"/>
      <c r="AF16" t="str">
        <f t="shared" ca="1" si="0"/>
        <v>N/A</v>
      </c>
    </row>
    <row r="17" spans="1:32" ht="58">
      <c r="A17" s="2756"/>
      <c r="B17" s="4"/>
      <c r="C17" s="4" t="s">
        <v>45</v>
      </c>
      <c r="D17" s="9" t="s">
        <v>32</v>
      </c>
      <c r="E17" s="9"/>
      <c r="F17" s="9"/>
      <c r="G17" s="9"/>
      <c r="H17" s="5" t="s">
        <v>127</v>
      </c>
      <c r="I17" s="5" t="s">
        <v>34</v>
      </c>
      <c r="J17" s="16" t="s">
        <v>128</v>
      </c>
      <c r="K17" s="16"/>
      <c r="L17" s="5" t="e">
        <f>IF(OR(S17=#REF!,S17=#REF!,S17=#REF!,S17=#REF!,S17=#REF!,S17=#REF!,S17=#REF!,S17=#REF!),12,IF(OR(S17=#REF!,S17=#REF!,S17=#REF!,S17=#REF!,S17=#REF!,S17=#REF!,S17=#REF!),3,IF(S17=#REF!,1,IF(S17=#REF!,18,IF(OR(S17=#REF!,S17=#REF!,S17=#REF!,S17=#REF!,S17=#REF!),14,"Invalid proposed procurement method")))))</f>
        <v>#REF!</v>
      </c>
      <c r="M17" s="199" t="str">
        <f t="shared" ref="M17:M26" si="2">IFERROR(EDATE($N17,-3),"Invalid procurement method or date entered")</f>
        <v>Invalid procurement method or date entered</v>
      </c>
      <c r="N17" s="199" t="str">
        <f t="shared" si="1"/>
        <v>Invalid procurement method or date entered</v>
      </c>
      <c r="O17" s="182">
        <v>44652</v>
      </c>
      <c r="P17" s="12">
        <v>180</v>
      </c>
      <c r="Q17" s="12" t="s">
        <v>129</v>
      </c>
      <c r="R17" s="18">
        <v>9000000</v>
      </c>
      <c r="S17" s="5" t="s">
        <v>130</v>
      </c>
      <c r="T17" s="52" t="s">
        <v>70</v>
      </c>
      <c r="U17" s="48" t="s">
        <v>45</v>
      </c>
      <c r="V17" s="48"/>
      <c r="W17" s="5" t="s">
        <v>131</v>
      </c>
      <c r="X17" s="1076" t="s">
        <v>39</v>
      </c>
      <c r="Y17" s="80" t="s">
        <v>40</v>
      </c>
      <c r="Z17" s="80" t="s">
        <v>87</v>
      </c>
      <c r="AA17" s="80" t="s">
        <v>70</v>
      </c>
      <c r="AB17" s="354" t="s">
        <v>132</v>
      </c>
      <c r="AC17" s="1111" t="s">
        <v>133</v>
      </c>
      <c r="AD17" s="76" t="s">
        <v>127</v>
      </c>
      <c r="AE17" s="339">
        <v>600000</v>
      </c>
      <c r="AF17" t="str">
        <f t="shared" ca="1" si="0"/>
        <v>N/A</v>
      </c>
    </row>
    <row r="18" spans="1:32" ht="58">
      <c r="A18" s="2754"/>
      <c r="B18" s="2757"/>
      <c r="C18" s="2758" t="s">
        <v>134</v>
      </c>
      <c r="D18" s="2751" t="s">
        <v>32</v>
      </c>
      <c r="E18" s="2751"/>
      <c r="F18" s="2751"/>
      <c r="G18" s="2751"/>
      <c r="H18" s="5" t="s">
        <v>127</v>
      </c>
      <c r="I18" s="2751" t="s">
        <v>34</v>
      </c>
      <c r="J18" s="2752" t="s">
        <v>135</v>
      </c>
      <c r="K18" s="2758"/>
      <c r="L18" s="5" t="e">
        <f>IF(OR(S18=#REF!,S18=#REF!,S18=#REF!,S18=#REF!,S18=#REF!,S18=#REF!,S18=#REF!,S18=#REF!),12,IF(OR(S18=#REF!,S18=#REF!,S18=#REF!,S18=#REF!,S18=#REF!,S18=#REF!,S18=#REF!),3,IF(S18=#REF!,1,IF(S18=#REF!,18,IF(OR(S18=#REF!,S18=#REF!,S18=#REF!,S18=#REF!,S18=#REF!),14,"Invalid proposed procurement method")))))</f>
        <v>#REF!</v>
      </c>
      <c r="M18" s="199" t="str">
        <f t="shared" si="2"/>
        <v>Invalid procurement method or date entered</v>
      </c>
      <c r="N18" s="199" t="str">
        <f t="shared" si="1"/>
        <v>Invalid procurement method or date entered</v>
      </c>
      <c r="O18" s="2759">
        <v>44652</v>
      </c>
      <c r="P18" s="12">
        <v>48</v>
      </c>
      <c r="Q18" s="2751" t="s">
        <v>136</v>
      </c>
      <c r="R18" s="18">
        <v>100000</v>
      </c>
      <c r="S18" s="199" t="s">
        <v>130</v>
      </c>
      <c r="T18" s="5" t="s">
        <v>38</v>
      </c>
      <c r="U18" s="14" t="s">
        <v>67</v>
      </c>
      <c r="V18" s="14"/>
      <c r="W18" s="5" t="s">
        <v>137</v>
      </c>
      <c r="X18" s="2760" t="s">
        <v>39</v>
      </c>
      <c r="Y18" s="2760" t="s">
        <v>115</v>
      </c>
      <c r="Z18" s="80" t="s">
        <v>87</v>
      </c>
      <c r="AA18" s="80" t="s">
        <v>70</v>
      </c>
      <c r="AB18" s="354">
        <v>44340</v>
      </c>
      <c r="AC18" s="2761" t="s">
        <v>138</v>
      </c>
      <c r="AD18" s="76" t="s">
        <v>127</v>
      </c>
      <c r="AE18" s="339">
        <v>25000</v>
      </c>
      <c r="AF18">
        <f t="shared" ca="1" si="0"/>
        <v>968</v>
      </c>
    </row>
    <row r="19" spans="1:32" ht="58">
      <c r="A19" s="1184"/>
      <c r="B19" s="2757"/>
      <c r="C19" s="4" t="s">
        <v>139</v>
      </c>
      <c r="D19" s="5" t="s">
        <v>32</v>
      </c>
      <c r="E19" s="5"/>
      <c r="F19" s="5"/>
      <c r="G19" s="5"/>
      <c r="H19" s="5" t="s">
        <v>33</v>
      </c>
      <c r="I19" s="5" t="s">
        <v>34</v>
      </c>
      <c r="J19" s="16" t="s">
        <v>140</v>
      </c>
      <c r="K19" s="8"/>
      <c r="L19" s="5" t="e">
        <f>IF(OR(S19=#REF!,S19=#REF!,S19=#REF!,S19=#REF!,S19=#REF!,S19=#REF!,S19=#REF!,S19=#REF!),12,IF(OR(S19=#REF!,S19=#REF!,S19=#REF!,S19=#REF!,S19=#REF!,S19=#REF!,S19=#REF!),3,IF(S19=#REF!,1,IF(S19=#REF!,18,IF(OR(S19=#REF!,S19=#REF!,S19=#REF!,S19=#REF!,S19=#REF!),14,"Invalid proposed procurement method")))))</f>
        <v>#REF!</v>
      </c>
      <c r="M19" s="199" t="str">
        <f t="shared" si="2"/>
        <v>Invalid procurement method or date entered</v>
      </c>
      <c r="N19" s="199" t="str">
        <f t="shared" si="1"/>
        <v>Invalid procurement method or date entered</v>
      </c>
      <c r="O19" s="199">
        <v>44652</v>
      </c>
      <c r="P19" s="5">
        <v>48</v>
      </c>
      <c r="Q19" s="5" t="s">
        <v>141</v>
      </c>
      <c r="R19" s="245">
        <v>116160</v>
      </c>
      <c r="S19" s="5" t="s">
        <v>130</v>
      </c>
      <c r="T19" s="11" t="s">
        <v>62</v>
      </c>
      <c r="U19" s="12" t="s">
        <v>67</v>
      </c>
      <c r="V19" s="12"/>
      <c r="W19" s="5" t="s">
        <v>142</v>
      </c>
      <c r="X19" s="80" t="s">
        <v>39</v>
      </c>
      <c r="Y19" s="80" t="s">
        <v>40</v>
      </c>
      <c r="Z19" s="80" t="s">
        <v>69</v>
      </c>
      <c r="AA19" s="80" t="s">
        <v>70</v>
      </c>
      <c r="AB19" s="354" t="s">
        <v>143</v>
      </c>
      <c r="AC19" s="1110" t="s">
        <v>144</v>
      </c>
      <c r="AD19" s="80" t="s">
        <v>145</v>
      </c>
      <c r="AE19">
        <v>29040</v>
      </c>
      <c r="AF19" t="str">
        <f t="shared" ca="1" si="0"/>
        <v>N/A</v>
      </c>
    </row>
    <row r="20" spans="1:32" ht="58">
      <c r="A20" s="2756"/>
      <c r="B20" s="2755" t="s">
        <v>44</v>
      </c>
      <c r="C20" s="2762" t="s">
        <v>146</v>
      </c>
      <c r="D20" s="5" t="s">
        <v>32</v>
      </c>
      <c r="E20" s="5"/>
      <c r="F20" s="5"/>
      <c r="G20" s="5"/>
      <c r="H20" s="5" t="s">
        <v>33</v>
      </c>
      <c r="I20" s="2763" t="s">
        <v>34</v>
      </c>
      <c r="J20" s="2752" t="s">
        <v>147</v>
      </c>
      <c r="K20" s="2758"/>
      <c r="L20" s="5" t="e">
        <f>IF(OR(S20=#REF!,S20=#REF!,S20=#REF!,S20=#REF!,S20=#REF!,S20=#REF!,S20=#REF!,S20=#REF!),12,IF(OR(S20=#REF!,S20=#REF!,S20=#REF!,S20=#REF!,S20=#REF!,S20=#REF!,S20=#REF!),3,IF(S20=#REF!,1,IF(S20=#REF!,18,IF(OR(S20=#REF!,S20=#REF!,S20=#REF!,S20=#REF!,S20=#REF!),14,"Invalid proposed procurement method")))))</f>
        <v>#REF!</v>
      </c>
      <c r="M20" s="199" t="str">
        <f t="shared" si="2"/>
        <v>Invalid procurement method or date entered</v>
      </c>
      <c r="N20" s="199" t="str">
        <f t="shared" si="1"/>
        <v>Invalid procurement method or date entered</v>
      </c>
      <c r="O20" s="2764">
        <v>44652</v>
      </c>
      <c r="P20" s="2763">
        <v>48</v>
      </c>
      <c r="Q20" s="2751" t="s">
        <v>148</v>
      </c>
      <c r="R20" s="18">
        <v>58036.03</v>
      </c>
      <c r="S20" s="5" t="s">
        <v>130</v>
      </c>
      <c r="T20" s="53" t="s">
        <v>62</v>
      </c>
      <c r="U20" s="53" t="s">
        <v>67</v>
      </c>
      <c r="V20" s="2348"/>
      <c r="W20" s="2765" t="s">
        <v>149</v>
      </c>
      <c r="X20" s="80" t="s">
        <v>39</v>
      </c>
      <c r="Y20" s="80" t="s">
        <v>40</v>
      </c>
      <c r="Z20" s="80" t="s">
        <v>69</v>
      </c>
      <c r="AA20" s="2765" t="s">
        <v>70</v>
      </c>
      <c r="AB20" s="354" t="s">
        <v>88</v>
      </c>
      <c r="AC20" s="1110" t="s">
        <v>150</v>
      </c>
      <c r="AD20" s="80" t="s">
        <v>96</v>
      </c>
      <c r="AE20" s="486">
        <v>50000</v>
      </c>
      <c r="AF20" t="str">
        <f t="shared" ca="1" si="0"/>
        <v>N/A</v>
      </c>
    </row>
    <row r="21" spans="1:32" ht="58">
      <c r="A21" s="1184"/>
      <c r="B21" s="2755" t="s">
        <v>44</v>
      </c>
      <c r="C21" s="16" t="s">
        <v>151</v>
      </c>
      <c r="D21" s="9" t="s">
        <v>32</v>
      </c>
      <c r="E21" s="9"/>
      <c r="F21" s="9"/>
      <c r="G21" s="9"/>
      <c r="H21" s="5" t="s">
        <v>33</v>
      </c>
      <c r="I21" s="5" t="s">
        <v>47</v>
      </c>
      <c r="J21" s="16" t="s">
        <v>152</v>
      </c>
      <c r="K21" s="8"/>
      <c r="L21" s="5" t="e">
        <f>IF(OR(S21=#REF!,S21=#REF!,S21=#REF!,S21=#REF!,S21=#REF!,S21=#REF!,S21=#REF!,S21=#REF!),12,IF(OR(S21=#REF!,S21=#REF!,S21=#REF!,S21=#REF!,S21=#REF!,S21=#REF!,S21=#REF!),3,IF(S21=#REF!,1,IF(S21=#REF!,18,IF(OR(S21=#REF!,S21=#REF!,S21=#REF!,S21=#REF!,S21=#REF!),14,"Invalid proposed procurement method")))))</f>
        <v>#REF!</v>
      </c>
      <c r="M21" s="199" t="str">
        <f t="shared" si="2"/>
        <v>Invalid procurement method or date entered</v>
      </c>
      <c r="N21" s="199" t="str">
        <f t="shared" si="1"/>
        <v>Invalid procurement method or date entered</v>
      </c>
      <c r="O21" s="199">
        <v>44652</v>
      </c>
      <c r="P21" s="5">
        <v>12</v>
      </c>
      <c r="Q21" s="7" t="s">
        <v>50</v>
      </c>
      <c r="R21" s="18">
        <v>36691.49</v>
      </c>
      <c r="S21" s="5" t="s">
        <v>84</v>
      </c>
      <c r="T21" s="52" t="s">
        <v>62</v>
      </c>
      <c r="U21" s="48" t="s">
        <v>67</v>
      </c>
      <c r="V21" s="48"/>
      <c r="W21" s="5" t="s">
        <v>153</v>
      </c>
      <c r="X21" s="80" t="s">
        <v>54</v>
      </c>
      <c r="Y21" s="80" t="s">
        <v>40</v>
      </c>
      <c r="Z21" s="80" t="s">
        <v>154</v>
      </c>
      <c r="AA21" s="80" t="s">
        <v>70</v>
      </c>
      <c r="AB21" s="354" t="s">
        <v>88</v>
      </c>
      <c r="AC21" s="101" t="s">
        <v>155</v>
      </c>
      <c r="AD21" s="80" t="s">
        <v>156</v>
      </c>
      <c r="AE21" s="2765"/>
      <c r="AF21" t="str">
        <f t="shared" ca="1" si="0"/>
        <v>N/A</v>
      </c>
    </row>
    <row r="22" spans="1:32" ht="58">
      <c r="A22" s="2756"/>
      <c r="B22" s="2755" t="s">
        <v>44</v>
      </c>
      <c r="C22" s="10">
        <v>36403</v>
      </c>
      <c r="D22" s="5" t="s">
        <v>32</v>
      </c>
      <c r="E22" s="5"/>
      <c r="F22" s="5"/>
      <c r="G22" s="5"/>
      <c r="H22" s="5" t="s">
        <v>80</v>
      </c>
      <c r="I22" s="5" t="s">
        <v>47</v>
      </c>
      <c r="J22" s="16" t="s">
        <v>157</v>
      </c>
      <c r="K22" s="16"/>
      <c r="L22" s="5" t="e">
        <f>IF(OR(S22=#REF!,S22=#REF!,S22=#REF!,S22=#REF!,S22=#REF!,S22=#REF!,S22=#REF!,S22=#REF!),12,IF(OR(S22=#REF!,S22=#REF!,S22=#REF!,S22=#REF!,S22=#REF!,S22=#REF!,S22=#REF!),3,IF(S22=#REF!,1,IF(S22=#REF!,18,IF(OR(S22=#REF!,S22=#REF!,S22=#REF!,S22=#REF!,S22=#REF!),14,"Invalid proposed procurement method")))))</f>
        <v>#REF!</v>
      </c>
      <c r="M22" s="199" t="str">
        <f t="shared" si="2"/>
        <v>Invalid procurement method or date entered</v>
      </c>
      <c r="N22" s="199" t="str">
        <f t="shared" si="1"/>
        <v>Invalid procurement method or date entered</v>
      </c>
      <c r="O22" s="182">
        <v>44652</v>
      </c>
      <c r="P22" s="12">
        <v>48</v>
      </c>
      <c r="Q22" s="12" t="s">
        <v>82</v>
      </c>
      <c r="R22" s="1547">
        <v>8000000</v>
      </c>
      <c r="S22" s="5" t="s">
        <v>158</v>
      </c>
      <c r="T22" s="41" t="s">
        <v>70</v>
      </c>
      <c r="U22" s="182">
        <v>44515</v>
      </c>
      <c r="V22" s="182"/>
      <c r="W22" s="5" t="s">
        <v>85</v>
      </c>
      <c r="X22" s="493" t="s">
        <v>86</v>
      </c>
      <c r="Y22" s="80" t="s">
        <v>40</v>
      </c>
      <c r="Z22" s="80" t="s">
        <v>87</v>
      </c>
      <c r="AA22" s="80" t="s">
        <v>70</v>
      </c>
      <c r="AB22" s="354" t="s">
        <v>88</v>
      </c>
      <c r="AC22" s="101" t="s">
        <v>89</v>
      </c>
      <c r="AD22" s="80" t="s">
        <v>80</v>
      </c>
      <c r="AE22" s="1132"/>
      <c r="AF22" t="str">
        <f t="shared" ca="1" si="0"/>
        <v>N/A</v>
      </c>
    </row>
    <row r="23" spans="1:32" ht="203">
      <c r="A23" s="1184"/>
      <c r="B23" s="2755" t="s">
        <v>44</v>
      </c>
      <c r="C23" s="4" t="s">
        <v>45</v>
      </c>
      <c r="D23" s="9" t="s">
        <v>32</v>
      </c>
      <c r="E23" s="9"/>
      <c r="F23" s="9"/>
      <c r="G23" s="9"/>
      <c r="H23" s="5" t="s">
        <v>33</v>
      </c>
      <c r="I23" s="12" t="s">
        <v>47</v>
      </c>
      <c r="J23" s="268" t="s">
        <v>159</v>
      </c>
      <c r="K23" s="268"/>
      <c r="L23" s="5" t="e">
        <f>IF(OR(S23=#REF!,S23=#REF!,S23=#REF!,S23=#REF!,S23=#REF!,S23=#REF!,S23=#REF!,S23=#REF!),12,IF(OR(S23=#REF!,S23=#REF!,S23=#REF!,S23=#REF!,S23=#REF!,S23=#REF!,S23=#REF!),3,IF(S23=#REF!,1,IF(S23=#REF!,18,IF(OR(S23=#REF!,S23=#REF!,S23=#REF!,S23=#REF!,S23=#REF!),14,"Invalid proposed procurement method")))))</f>
        <v>#REF!</v>
      </c>
      <c r="M23" s="199">
        <f t="shared" si="2"/>
        <v>44197</v>
      </c>
      <c r="N23" s="199">
        <v>44287</v>
      </c>
      <c r="O23" s="182">
        <v>44652</v>
      </c>
      <c r="P23" s="12">
        <v>36</v>
      </c>
      <c r="Q23" s="12" t="s">
        <v>160</v>
      </c>
      <c r="R23" s="95">
        <v>158000</v>
      </c>
      <c r="S23" s="5" t="s">
        <v>84</v>
      </c>
      <c r="T23" s="41" t="s">
        <v>38</v>
      </c>
      <c r="U23" s="12" t="s">
        <v>71</v>
      </c>
      <c r="V23" s="12"/>
      <c r="W23" s="12" t="s">
        <v>161</v>
      </c>
      <c r="X23" s="80" t="s">
        <v>162</v>
      </c>
      <c r="Y23" s="80" t="s">
        <v>40</v>
      </c>
      <c r="Z23" s="80" t="s">
        <v>154</v>
      </c>
      <c r="AA23" s="80" t="s">
        <v>70</v>
      </c>
      <c r="AB23" s="354" t="s">
        <v>88</v>
      </c>
      <c r="AC23" s="101" t="s">
        <v>163</v>
      </c>
      <c r="AD23" s="80" t="s">
        <v>164</v>
      </c>
      <c r="AE23" s="339"/>
      <c r="AF23" t="str">
        <f t="shared" ca="1" si="0"/>
        <v>N/A</v>
      </c>
    </row>
    <row r="24" spans="1:32" ht="58">
      <c r="A24" s="2756"/>
      <c r="B24" s="2755" t="s">
        <v>44</v>
      </c>
      <c r="C24" s="4" t="s">
        <v>45</v>
      </c>
      <c r="D24" s="5" t="s">
        <v>57</v>
      </c>
      <c r="E24" s="5"/>
      <c r="F24" s="5"/>
      <c r="G24" s="5"/>
      <c r="H24" s="2751" t="s">
        <v>165</v>
      </c>
      <c r="I24" s="2751" t="s">
        <v>34</v>
      </c>
      <c r="J24" s="2766" t="s">
        <v>166</v>
      </c>
      <c r="K24" s="2766"/>
      <c r="L24" s="5" t="e">
        <f>IF(OR(S24=#REF!,S24=#REF!,S24=#REF!,S24=#REF!,S24=#REF!,S24=#REF!,S24=#REF!,S24=#REF!),12,IF(OR(S24=#REF!,S24=#REF!,S24=#REF!,S24=#REF!,S24=#REF!,S24=#REF!,S24=#REF!),3,IF(S24=#REF!,1,IF(S24=#REF!,18,IF(OR(S24=#REF!,S24=#REF!,S24=#REF!,S24=#REF!,S24=#REF!),14,"Invalid proposed procurement method")))))</f>
        <v>#REF!</v>
      </c>
      <c r="M24" s="199" t="str">
        <f t="shared" si="2"/>
        <v>Invalid procurement method or date entered</v>
      </c>
      <c r="N24" s="199" t="str">
        <f t="shared" ref="N24:N33" si="3">IFERROR(EDATE(O24,-L24),"Invalid procurement method or date entered")</f>
        <v>Invalid procurement method or date entered</v>
      </c>
      <c r="O24" s="199">
        <v>44652</v>
      </c>
      <c r="P24" s="2763">
        <v>48</v>
      </c>
      <c r="Q24" s="2751" t="s">
        <v>136</v>
      </c>
      <c r="R24" s="18">
        <v>22217516.18</v>
      </c>
      <c r="S24" s="5" t="s">
        <v>130</v>
      </c>
      <c r="T24" s="5" t="s">
        <v>70</v>
      </c>
      <c r="U24" s="182">
        <v>44656</v>
      </c>
      <c r="V24" s="182"/>
      <c r="W24" s="2751" t="s">
        <v>167</v>
      </c>
      <c r="X24" s="80" t="s">
        <v>168</v>
      </c>
      <c r="Y24" s="80" t="s">
        <v>40</v>
      </c>
      <c r="Z24" s="80" t="s">
        <v>87</v>
      </c>
      <c r="AA24" s="80" t="s">
        <v>70</v>
      </c>
      <c r="AB24" s="354">
        <v>44657</v>
      </c>
      <c r="AC24" s="101" t="s">
        <v>169</v>
      </c>
      <c r="AD24" s="76" t="s">
        <v>165</v>
      </c>
      <c r="AE24" s="211">
        <v>5554379</v>
      </c>
      <c r="AF24">
        <f t="shared" ca="1" si="0"/>
        <v>651</v>
      </c>
    </row>
    <row r="25" spans="1:32" ht="58">
      <c r="A25" s="2756"/>
      <c r="B25" s="2755" t="s">
        <v>44</v>
      </c>
      <c r="C25" s="10">
        <v>48922</v>
      </c>
      <c r="D25" s="5" t="s">
        <v>32</v>
      </c>
      <c r="E25" s="5"/>
      <c r="F25" s="5"/>
      <c r="G25" s="5"/>
      <c r="H25" s="5" t="s">
        <v>33</v>
      </c>
      <c r="I25" s="5" t="s">
        <v>47</v>
      </c>
      <c r="J25" s="16" t="s">
        <v>170</v>
      </c>
      <c r="K25" s="16"/>
      <c r="L25" s="5" t="e">
        <f>IF(OR(S25=#REF!,S25=#REF!,S25=#REF!,S25=#REF!,S25=#REF!,S25=#REF!,S25=#REF!,S25=#REF!),12,IF(OR(S25=#REF!,S25=#REF!,S25=#REF!,S25=#REF!,S25=#REF!,S25=#REF!,S25=#REF!),3,IF(S25=#REF!,1,IF(S25=#REF!,18,IF(OR(S25=#REF!,S25=#REF!,S25=#REF!,S25=#REF!,S25=#REF!),14,"Invalid proposed procurement method")))))</f>
        <v>#REF!</v>
      </c>
      <c r="M25" s="199" t="str">
        <f t="shared" si="2"/>
        <v>Invalid procurement method or date entered</v>
      </c>
      <c r="N25" s="199" t="str">
        <f t="shared" si="3"/>
        <v>Invalid procurement method or date entered</v>
      </c>
      <c r="O25" s="182">
        <v>44652</v>
      </c>
      <c r="P25" s="12">
        <v>60</v>
      </c>
      <c r="Q25" s="12" t="s">
        <v>171</v>
      </c>
      <c r="R25" s="18">
        <v>79000</v>
      </c>
      <c r="S25" s="5" t="s">
        <v>84</v>
      </c>
      <c r="T25" s="5" t="s">
        <v>62</v>
      </c>
      <c r="U25" s="12" t="s">
        <v>67</v>
      </c>
      <c r="V25" s="12"/>
      <c r="W25" s="5" t="s">
        <v>172</v>
      </c>
      <c r="X25" s="493" t="s">
        <v>86</v>
      </c>
      <c r="Y25" s="80" t="s">
        <v>40</v>
      </c>
      <c r="Z25" s="80" t="s">
        <v>69</v>
      </c>
      <c r="AA25" s="80" t="s">
        <v>70</v>
      </c>
      <c r="AB25" s="354">
        <v>44722</v>
      </c>
      <c r="AC25" s="101" t="s">
        <v>89</v>
      </c>
      <c r="AD25" s="80" t="s">
        <v>145</v>
      </c>
      <c r="AE25" s="1132">
        <v>24000</v>
      </c>
      <c r="AF25">
        <f t="shared" ca="1" si="0"/>
        <v>586</v>
      </c>
    </row>
    <row r="26" spans="1:32" ht="58">
      <c r="A26" s="1183"/>
      <c r="B26" s="2755" t="s">
        <v>44</v>
      </c>
      <c r="C26" s="4" t="s">
        <v>173</v>
      </c>
      <c r="D26" s="9" t="s">
        <v>32</v>
      </c>
      <c r="E26" s="9"/>
      <c r="F26" s="9"/>
      <c r="G26" s="9"/>
      <c r="H26" s="5" t="s">
        <v>33</v>
      </c>
      <c r="I26" s="12" t="s">
        <v>47</v>
      </c>
      <c r="J26" s="16" t="s">
        <v>174</v>
      </c>
      <c r="K26" s="16"/>
      <c r="L26" s="5" t="e">
        <f>IF(OR(S26=#REF!,S26=#REF!,S26=#REF!,S26=#REF!,S26=#REF!,S26=#REF!,S26=#REF!,S26=#REF!),12,IF(OR(S26=#REF!,S26=#REF!,S26=#REF!,S26=#REF!,S26=#REF!,S26=#REF!,S26=#REF!),3,IF(S26=#REF!,1,IF(S26=#REF!,18,IF(OR(S26=#REF!,S26=#REF!,S26=#REF!,S26=#REF!,S26=#REF!),14,"Invalid proposed procurement method")))))</f>
        <v>#REF!</v>
      </c>
      <c r="M26" s="199" t="str">
        <f t="shared" si="2"/>
        <v>Invalid procurement method or date entered</v>
      </c>
      <c r="N26" s="199" t="str">
        <f t="shared" si="3"/>
        <v>Invalid procurement method or date entered</v>
      </c>
      <c r="O26" s="77">
        <v>44652</v>
      </c>
      <c r="P26" s="78">
        <v>72</v>
      </c>
      <c r="Q26" s="78" t="s">
        <v>175</v>
      </c>
      <c r="R26" s="18">
        <v>93775.3</v>
      </c>
      <c r="S26" s="199" t="s">
        <v>176</v>
      </c>
      <c r="T26" s="5" t="s">
        <v>62</v>
      </c>
      <c r="U26" s="12" t="s">
        <v>67</v>
      </c>
      <c r="V26" s="12"/>
      <c r="W26" s="5" t="s">
        <v>177</v>
      </c>
      <c r="X26" s="1076" t="s">
        <v>94</v>
      </c>
      <c r="Y26" s="80" t="s">
        <v>40</v>
      </c>
      <c r="Z26" s="80" t="s">
        <v>154</v>
      </c>
      <c r="AA26" s="76" t="s">
        <v>70</v>
      </c>
      <c r="AB26" s="354" t="s">
        <v>88</v>
      </c>
      <c r="AC26" s="101" t="s">
        <v>178</v>
      </c>
      <c r="AD26" s="80" t="s">
        <v>164</v>
      </c>
      <c r="AE26" s="211">
        <v>16000</v>
      </c>
      <c r="AF26" t="str">
        <f t="shared" ca="1" si="0"/>
        <v>N/A</v>
      </c>
    </row>
    <row r="27" spans="1:32" ht="29">
      <c r="A27" s="1184"/>
      <c r="B27" s="362" t="s">
        <v>100</v>
      </c>
      <c r="C27" s="362" t="s">
        <v>179</v>
      </c>
      <c r="D27" s="8" t="s">
        <v>110</v>
      </c>
      <c r="E27" s="8"/>
      <c r="F27" s="8"/>
      <c r="G27" s="8"/>
      <c r="H27" s="8" t="s">
        <v>103</v>
      </c>
      <c r="I27" s="8" t="s">
        <v>180</v>
      </c>
      <c r="J27" s="16" t="s">
        <v>181</v>
      </c>
      <c r="K27" s="8"/>
      <c r="L27" s="84">
        <v>12</v>
      </c>
      <c r="M27" s="436">
        <f t="shared" ref="M27:M33" si="4">IFERROR(EDATE(N27,-3),"Invalid procurement method or date entered")</f>
        <v>44197</v>
      </c>
      <c r="N27" s="386">
        <f t="shared" si="3"/>
        <v>44287</v>
      </c>
      <c r="O27" s="367">
        <v>44652</v>
      </c>
      <c r="P27" s="71"/>
      <c r="Q27" s="71"/>
      <c r="R27" s="159">
        <v>7500000</v>
      </c>
      <c r="S27" s="434" t="s">
        <v>182</v>
      </c>
      <c r="T27" s="365" t="s">
        <v>38</v>
      </c>
      <c r="U27" s="365"/>
      <c r="V27" s="2349"/>
      <c r="W27" s="101" t="s">
        <v>183</v>
      </c>
      <c r="X27" s="101" t="s">
        <v>108</v>
      </c>
      <c r="Y27" s="101" t="s">
        <v>115</v>
      </c>
      <c r="Z27" s="101"/>
      <c r="AA27" s="101" t="s">
        <v>69</v>
      </c>
      <c r="AB27" s="1099" t="s">
        <v>70</v>
      </c>
      <c r="AC27" s="432">
        <v>44244</v>
      </c>
      <c r="AD27" s="432"/>
      <c r="AE27" s="432"/>
      <c r="AF27" t="str">
        <f t="shared" ca="1" si="0"/>
        <v>N/A</v>
      </c>
    </row>
    <row r="28" spans="1:32" ht="29">
      <c r="A28" s="1184"/>
      <c r="B28" s="362" t="s">
        <v>100</v>
      </c>
      <c r="C28" s="362" t="s">
        <v>45</v>
      </c>
      <c r="D28" s="84" t="s">
        <v>110</v>
      </c>
      <c r="E28" s="84"/>
      <c r="F28" s="84"/>
      <c r="G28" s="84"/>
      <c r="H28" s="84" t="s">
        <v>103</v>
      </c>
      <c r="I28" s="84" t="s">
        <v>180</v>
      </c>
      <c r="J28" s="1586" t="s">
        <v>184</v>
      </c>
      <c r="K28" s="84"/>
      <c r="L28" s="84">
        <v>12</v>
      </c>
      <c r="M28" s="436">
        <f t="shared" si="4"/>
        <v>44197</v>
      </c>
      <c r="N28" s="386">
        <f t="shared" si="3"/>
        <v>44287</v>
      </c>
      <c r="O28" s="386">
        <v>44652</v>
      </c>
      <c r="P28" s="454"/>
      <c r="Q28" s="454"/>
      <c r="R28" s="435">
        <v>7500000</v>
      </c>
      <c r="S28" s="434" t="s">
        <v>182</v>
      </c>
      <c r="T28" s="405" t="s">
        <v>38</v>
      </c>
      <c r="U28" s="405"/>
      <c r="V28" s="405"/>
      <c r="W28" s="84" t="s">
        <v>183</v>
      </c>
      <c r="X28" s="495" t="s">
        <v>108</v>
      </c>
      <c r="Y28" s="495" t="s">
        <v>115</v>
      </c>
      <c r="Z28" s="495"/>
      <c r="AA28" s="495" t="s">
        <v>69</v>
      </c>
      <c r="AB28" s="1099" t="s">
        <v>70</v>
      </c>
      <c r="AC28" s="437">
        <v>44244</v>
      </c>
      <c r="AD28" s="437"/>
      <c r="AE28" s="437"/>
      <c r="AF28" t="str">
        <f t="shared" ca="1" si="0"/>
        <v>N/A</v>
      </c>
    </row>
    <row r="29" spans="1:32" ht="29">
      <c r="A29" s="1184"/>
      <c r="B29" s="362" t="s">
        <v>100</v>
      </c>
      <c r="C29" s="362" t="s">
        <v>45</v>
      </c>
      <c r="D29" s="84" t="s">
        <v>110</v>
      </c>
      <c r="E29" s="84"/>
      <c r="F29" s="84"/>
      <c r="G29" s="84"/>
      <c r="H29" s="84" t="s">
        <v>103</v>
      </c>
      <c r="I29" s="84" t="s">
        <v>180</v>
      </c>
      <c r="J29" s="1586" t="s">
        <v>185</v>
      </c>
      <c r="K29" s="84"/>
      <c r="L29" s="84">
        <v>12</v>
      </c>
      <c r="M29" s="436">
        <f t="shared" si="4"/>
        <v>44197</v>
      </c>
      <c r="N29" s="386">
        <f t="shared" si="3"/>
        <v>44287</v>
      </c>
      <c r="O29" s="386">
        <v>44652</v>
      </c>
      <c r="P29" s="454"/>
      <c r="Q29" s="454"/>
      <c r="R29" s="435">
        <v>7500000</v>
      </c>
      <c r="S29" s="434" t="s">
        <v>182</v>
      </c>
      <c r="T29" s="405" t="s">
        <v>38</v>
      </c>
      <c r="U29" s="405"/>
      <c r="V29" s="405"/>
      <c r="W29" s="84" t="s">
        <v>183</v>
      </c>
      <c r="X29" s="495" t="s">
        <v>108</v>
      </c>
      <c r="Y29" s="495" t="s">
        <v>115</v>
      </c>
      <c r="Z29" s="495"/>
      <c r="AA29" s="495" t="s">
        <v>69</v>
      </c>
      <c r="AB29" s="1099" t="s">
        <v>70</v>
      </c>
      <c r="AC29" s="437">
        <v>44244</v>
      </c>
      <c r="AD29" s="437"/>
      <c r="AE29" s="437"/>
      <c r="AF29" t="str">
        <f t="shared" ca="1" si="0"/>
        <v>N/A</v>
      </c>
    </row>
    <row r="30" spans="1:32" ht="29">
      <c r="A30" s="1184"/>
      <c r="B30" s="362" t="s">
        <v>100</v>
      </c>
      <c r="C30" s="389"/>
      <c r="D30" s="8" t="s">
        <v>110</v>
      </c>
      <c r="E30" s="8"/>
      <c r="F30" s="8"/>
      <c r="G30" s="8"/>
      <c r="H30" s="8" t="s">
        <v>103</v>
      </c>
      <c r="I30" s="8" t="s">
        <v>34</v>
      </c>
      <c r="J30" s="16" t="s">
        <v>186</v>
      </c>
      <c r="K30" s="8"/>
      <c r="L30" s="84">
        <v>12</v>
      </c>
      <c r="M30" s="436">
        <f t="shared" si="4"/>
        <v>44197</v>
      </c>
      <c r="N30" s="386">
        <f t="shared" si="3"/>
        <v>44287</v>
      </c>
      <c r="O30" s="367">
        <v>44652</v>
      </c>
      <c r="P30" s="71">
        <v>60</v>
      </c>
      <c r="Q30" s="71" t="s">
        <v>187</v>
      </c>
      <c r="R30" s="159">
        <v>351800</v>
      </c>
      <c r="S30" s="159" t="s">
        <v>130</v>
      </c>
      <c r="T30" s="5" t="s">
        <v>38</v>
      </c>
      <c r="U30" s="5" t="s">
        <v>38</v>
      </c>
      <c r="V30" s="5"/>
      <c r="W30" s="8" t="s">
        <v>188</v>
      </c>
      <c r="X30" s="101" t="s">
        <v>189</v>
      </c>
      <c r="Y30" s="101" t="s">
        <v>115</v>
      </c>
      <c r="Z30" s="101"/>
      <c r="AA30" s="101" t="s">
        <v>69</v>
      </c>
      <c r="AB30" s="1099" t="s">
        <v>70</v>
      </c>
      <c r="AC30" s="432">
        <v>44519</v>
      </c>
      <c r="AD30" s="432"/>
      <c r="AE30" s="432"/>
      <c r="AF30" t="str">
        <f t="shared" ca="1" si="0"/>
        <v>N/A</v>
      </c>
    </row>
    <row r="31" spans="1:32" ht="58">
      <c r="A31" s="1184"/>
      <c r="B31" s="200" t="s">
        <v>100</v>
      </c>
      <c r="C31" s="200" t="s">
        <v>45</v>
      </c>
      <c r="D31" s="8" t="s">
        <v>110</v>
      </c>
      <c r="E31" s="8"/>
      <c r="F31" s="8"/>
      <c r="G31" s="8"/>
      <c r="H31" s="16" t="s">
        <v>103</v>
      </c>
      <c r="I31" s="16" t="s">
        <v>34</v>
      </c>
      <c r="J31" s="16" t="s">
        <v>190</v>
      </c>
      <c r="K31" s="8"/>
      <c r="L31" s="5">
        <v>12</v>
      </c>
      <c r="M31" s="199">
        <f t="shared" si="4"/>
        <v>44197</v>
      </c>
      <c r="N31" s="149">
        <f t="shared" si="3"/>
        <v>44287</v>
      </c>
      <c r="O31" s="367">
        <v>44652</v>
      </c>
      <c r="P31" s="71">
        <v>84</v>
      </c>
      <c r="Q31" s="71" t="s">
        <v>112</v>
      </c>
      <c r="R31" s="159">
        <f>SUM(470575-38897)*5</f>
        <v>2158390</v>
      </c>
      <c r="S31" s="159" t="s">
        <v>130</v>
      </c>
      <c r="T31" s="395" t="s">
        <v>70</v>
      </c>
      <c r="U31" s="393" t="s">
        <v>191</v>
      </c>
      <c r="V31" s="393"/>
      <c r="W31" s="8" t="s">
        <v>192</v>
      </c>
      <c r="X31" s="111" t="s">
        <v>120</v>
      </c>
      <c r="Y31" s="111" t="s">
        <v>115</v>
      </c>
      <c r="Z31" s="111"/>
      <c r="AA31" s="1091" t="s">
        <v>87</v>
      </c>
      <c r="AB31" s="1101" t="s">
        <v>70</v>
      </c>
      <c r="AC31" s="432">
        <v>44690</v>
      </c>
      <c r="AD31" s="432"/>
      <c r="AE31" s="432"/>
      <c r="AF31" t="str">
        <f t="shared" ca="1" si="0"/>
        <v>N/A</v>
      </c>
    </row>
    <row r="32" spans="1:32" ht="29">
      <c r="A32" s="1184"/>
      <c r="B32" s="200" t="s">
        <v>100</v>
      </c>
      <c r="C32" s="200" t="s">
        <v>45</v>
      </c>
      <c r="D32" s="8" t="s">
        <v>193</v>
      </c>
      <c r="E32" s="8"/>
      <c r="F32" s="8"/>
      <c r="G32" s="8"/>
      <c r="H32" s="16" t="s">
        <v>116</v>
      </c>
      <c r="I32" s="16" t="s">
        <v>47</v>
      </c>
      <c r="J32" s="16" t="s">
        <v>194</v>
      </c>
      <c r="K32" s="8"/>
      <c r="L32" s="5">
        <v>12</v>
      </c>
      <c r="M32" s="199">
        <f t="shared" si="4"/>
        <v>44197</v>
      </c>
      <c r="N32" s="149">
        <f t="shared" si="3"/>
        <v>44287</v>
      </c>
      <c r="O32" s="367">
        <v>44652</v>
      </c>
      <c r="P32" s="369">
        <v>120</v>
      </c>
      <c r="Q32" s="369" t="s">
        <v>195</v>
      </c>
      <c r="R32" s="371">
        <v>3180000</v>
      </c>
      <c r="S32" s="159" t="s">
        <v>84</v>
      </c>
      <c r="T32" s="365" t="s">
        <v>70</v>
      </c>
      <c r="U32" s="388">
        <v>43805</v>
      </c>
      <c r="V32" s="388"/>
      <c r="W32" s="8" t="s">
        <v>196</v>
      </c>
      <c r="X32" s="111" t="s">
        <v>108</v>
      </c>
      <c r="Y32" s="111" t="s">
        <v>40</v>
      </c>
      <c r="Z32" s="111"/>
      <c r="AA32" s="1091" t="s">
        <v>87</v>
      </c>
      <c r="AB32" s="1101" t="s">
        <v>70</v>
      </c>
      <c r="AC32" s="432">
        <v>44449</v>
      </c>
      <c r="AD32" s="432"/>
      <c r="AE32" s="432"/>
      <c r="AF32" t="str">
        <f t="shared" ca="1" si="0"/>
        <v>N/A</v>
      </c>
    </row>
    <row r="33" spans="1:33" ht="29">
      <c r="A33" s="1184"/>
      <c r="B33" s="200" t="s">
        <v>100</v>
      </c>
      <c r="C33" s="200" t="s">
        <v>45</v>
      </c>
      <c r="D33" s="8" t="s">
        <v>122</v>
      </c>
      <c r="E33" s="8"/>
      <c r="F33" s="8"/>
      <c r="G33" s="8"/>
      <c r="H33" s="16" t="s">
        <v>197</v>
      </c>
      <c r="I33" s="16" t="s">
        <v>34</v>
      </c>
      <c r="J33" s="63" t="s">
        <v>198</v>
      </c>
      <c r="K33" s="6"/>
      <c r="L33" s="5">
        <v>12</v>
      </c>
      <c r="M33" s="199">
        <f t="shared" si="4"/>
        <v>44197</v>
      </c>
      <c r="N33" s="149">
        <f t="shared" si="3"/>
        <v>44287</v>
      </c>
      <c r="O33" s="367">
        <v>44652</v>
      </c>
      <c r="P33" s="369">
        <v>36</v>
      </c>
      <c r="Q33" s="369" t="s">
        <v>199</v>
      </c>
      <c r="R33" s="372">
        <v>582900</v>
      </c>
      <c r="S33" s="159" t="s">
        <v>130</v>
      </c>
      <c r="T33" s="1063" t="s">
        <v>200</v>
      </c>
      <c r="U33" s="373" t="s">
        <v>201</v>
      </c>
      <c r="V33" s="373"/>
      <c r="W33" s="8" t="s">
        <v>202</v>
      </c>
      <c r="X33" s="111" t="s">
        <v>120</v>
      </c>
      <c r="Y33" s="111" t="s">
        <v>40</v>
      </c>
      <c r="Z33" s="111"/>
      <c r="AA33" s="1091" t="s">
        <v>87</v>
      </c>
      <c r="AB33" s="1101" t="s">
        <v>70</v>
      </c>
      <c r="AC33" s="491">
        <v>44726</v>
      </c>
      <c r="AD33" s="491"/>
      <c r="AE33" s="491"/>
      <c r="AF33" t="str">
        <f t="shared" ca="1" si="0"/>
        <v>N/A</v>
      </c>
    </row>
    <row r="34" spans="1:33" ht="208">
      <c r="A34" s="911"/>
      <c r="B34" s="726" t="s">
        <v>56</v>
      </c>
      <c r="C34" s="726" t="s">
        <v>60</v>
      </c>
      <c r="D34" s="730" t="s">
        <v>57</v>
      </c>
      <c r="E34" s="730"/>
      <c r="F34" s="730"/>
      <c r="G34" s="730"/>
      <c r="H34" s="728" t="s">
        <v>203</v>
      </c>
      <c r="I34" s="728" t="s">
        <v>47</v>
      </c>
      <c r="J34" s="1604" t="s">
        <v>204</v>
      </c>
      <c r="K34" s="729"/>
      <c r="L34" s="730">
        <v>12</v>
      </c>
      <c r="M34" s="731">
        <f>IF(O34="tbc","",(IFERROR(EDATE($N34,-3),"Invalid procurement method or date entered")))</f>
        <v>44197</v>
      </c>
      <c r="N34" s="712">
        <f>IF(O34="tbc","",(IFERROR(EDATE(O34,-L34),"Invalid procurement method or date entered")))</f>
        <v>44287</v>
      </c>
      <c r="O34" s="759">
        <v>44652</v>
      </c>
      <c r="P34" s="891">
        <v>48</v>
      </c>
      <c r="Q34" s="891" t="s">
        <v>82</v>
      </c>
      <c r="R34" s="772">
        <f>40000*4</f>
        <v>160000</v>
      </c>
      <c r="S34" s="711" t="s">
        <v>84</v>
      </c>
      <c r="T34" s="711" t="s">
        <v>62</v>
      </c>
      <c r="U34" s="711" t="s">
        <v>60</v>
      </c>
      <c r="V34" s="711"/>
      <c r="W34" s="729" t="s">
        <v>205</v>
      </c>
      <c r="X34" s="922" t="s">
        <v>206</v>
      </c>
      <c r="Y34" s="111" t="s">
        <v>40</v>
      </c>
      <c r="Z34" s="1087" t="s">
        <v>69</v>
      </c>
      <c r="AA34" s="889" t="s">
        <v>70</v>
      </c>
      <c r="AB34" s="1890">
        <v>44817</v>
      </c>
      <c r="AC34" s="1515" t="s">
        <v>207</v>
      </c>
      <c r="AD34" s="1502"/>
      <c r="AE34" s="1502"/>
      <c r="AF34">
        <f t="shared" ca="1" si="0"/>
        <v>491</v>
      </c>
      <c r="AG34" s="906"/>
    </row>
    <row r="35" spans="1:33" ht="91">
      <c r="A35" s="1652" t="s">
        <v>71</v>
      </c>
      <c r="B35" s="1218" t="s">
        <v>100</v>
      </c>
      <c r="C35" s="1218" t="s">
        <v>208</v>
      </c>
      <c r="D35" s="1216" t="s">
        <v>209</v>
      </c>
      <c r="E35" s="1216"/>
      <c r="F35" s="1216"/>
      <c r="G35" s="1216"/>
      <c r="H35" s="1211" t="s">
        <v>103</v>
      </c>
      <c r="I35" s="1211" t="s">
        <v>34</v>
      </c>
      <c r="J35" s="1618" t="s">
        <v>210</v>
      </c>
      <c r="K35" s="709"/>
      <c r="L35" s="710">
        <v>12</v>
      </c>
      <c r="M35" s="1213">
        <f>IFERROR(EDATE(N35,-3),"Invalid procurement method or date entered")</f>
        <v>44197</v>
      </c>
      <c r="N35" s="1219">
        <f t="shared" ref="N35:N59" si="5">IFERROR(EDATE(O35,-L35),"Invalid procurement method or date entered")</f>
        <v>44287</v>
      </c>
      <c r="O35" s="1220">
        <v>44652</v>
      </c>
      <c r="P35" s="1221">
        <v>60</v>
      </c>
      <c r="Q35" s="1221" t="s">
        <v>211</v>
      </c>
      <c r="R35" s="1820">
        <v>165600</v>
      </c>
      <c r="S35" s="1226" t="s">
        <v>176</v>
      </c>
      <c r="T35" s="1221" t="s">
        <v>38</v>
      </c>
      <c r="U35" s="1216" t="s">
        <v>71</v>
      </c>
      <c r="V35" s="1216"/>
      <c r="W35" s="1211" t="s">
        <v>212</v>
      </c>
      <c r="X35" s="1868" t="s">
        <v>189</v>
      </c>
      <c r="Y35" s="1868" t="s">
        <v>40</v>
      </c>
      <c r="Z35" s="1868" t="s">
        <v>69</v>
      </c>
      <c r="AA35" s="1885" t="s">
        <v>70</v>
      </c>
      <c r="AB35" s="1896">
        <v>44691</v>
      </c>
      <c r="AC35" s="1918" t="s">
        <v>213</v>
      </c>
      <c r="AD35" s="1933"/>
      <c r="AE35" s="1933"/>
      <c r="AF35">
        <f t="shared" ca="1" si="0"/>
        <v>617</v>
      </c>
      <c r="AG35" s="1217"/>
    </row>
    <row r="36" spans="1:33" ht="65">
      <c r="A36" s="1651" t="s">
        <v>71</v>
      </c>
      <c r="B36" s="1207" t="s">
        <v>44</v>
      </c>
      <c r="C36" s="1209" t="s">
        <v>45</v>
      </c>
      <c r="D36" s="1216" t="s">
        <v>57</v>
      </c>
      <c r="E36" s="1216"/>
      <c r="F36" s="1216"/>
      <c r="G36" s="1216"/>
      <c r="H36" s="1211" t="s">
        <v>33</v>
      </c>
      <c r="I36" s="1212" t="s">
        <v>47</v>
      </c>
      <c r="J36" s="1602" t="s">
        <v>214</v>
      </c>
      <c r="K36" s="709"/>
      <c r="L36" s="710" t="e">
        <f>IF(OR(S36=#REF!,S36=#REF!,S36=#REF!,S36=#REF!,S36=#REF!,S36=#REF!,S36=#REF!,S36=#REF!),12,IF(OR(S36=#REF!,S36=#REF!,S36=#REF!,S36=#REF!,S36=#REF!,S36=#REF!,S36=#REF!),3,IF(S36=#REF!,1,IF(S36=#REF!,18,IF(OR(S36=#REF!,S36=#REF!,S36=#REF!,S36=#REF!,S36=#REF!),14,"Invalid proposed procurement method")))))</f>
        <v>#REF!</v>
      </c>
      <c r="M36" s="1232" t="str">
        <f>IFERROR(EDATE($N36,-3),"Invalid procurement method or date entered")</f>
        <v>Invalid procurement method or date entered</v>
      </c>
      <c r="N36" s="1232" t="str">
        <f t="shared" si="5"/>
        <v>Invalid procurement method or date entered</v>
      </c>
      <c r="O36" s="1232">
        <v>44652</v>
      </c>
      <c r="P36" s="1216">
        <v>48</v>
      </c>
      <c r="Q36" s="1792" t="s">
        <v>215</v>
      </c>
      <c r="R36" s="1820" t="s">
        <v>45</v>
      </c>
      <c r="S36" s="1216" t="s">
        <v>84</v>
      </c>
      <c r="T36" s="1846" t="s">
        <v>38</v>
      </c>
      <c r="U36" s="1209" t="s">
        <v>67</v>
      </c>
      <c r="V36" s="1209"/>
      <c r="W36" s="1211" t="s">
        <v>216</v>
      </c>
      <c r="X36" s="1868" t="s">
        <v>189</v>
      </c>
      <c r="Y36" s="1868" t="s">
        <v>40</v>
      </c>
      <c r="Z36" s="1868" t="s">
        <v>154</v>
      </c>
      <c r="AA36" s="1868" t="s">
        <v>70</v>
      </c>
      <c r="AB36" s="1896">
        <v>44841</v>
      </c>
      <c r="AC36" s="1862" t="s">
        <v>217</v>
      </c>
      <c r="AD36" s="1868" t="s">
        <v>96</v>
      </c>
      <c r="AE36" s="1939"/>
      <c r="AF36">
        <f t="shared" ca="1" si="0"/>
        <v>467</v>
      </c>
      <c r="AG36" s="906"/>
    </row>
    <row r="37" spans="1:33" ht="26">
      <c r="A37" s="1244" t="s">
        <v>71</v>
      </c>
      <c r="B37" s="695" t="s">
        <v>44</v>
      </c>
      <c r="C37" s="738">
        <v>60471</v>
      </c>
      <c r="D37" s="808" t="s">
        <v>32</v>
      </c>
      <c r="E37" s="808"/>
      <c r="F37" s="808"/>
      <c r="G37" s="808"/>
      <c r="H37" s="710" t="s">
        <v>33</v>
      </c>
      <c r="I37" s="710" t="s">
        <v>47</v>
      </c>
      <c r="J37" s="1608" t="s">
        <v>218</v>
      </c>
      <c r="K37" s="710" t="s">
        <v>219</v>
      </c>
      <c r="L37" s="710">
        <v>12</v>
      </c>
      <c r="M37" s="769">
        <f>IFERROR(EDATE($N37,-3),"Invalid procurement method or date entered")</f>
        <v>44197</v>
      </c>
      <c r="N37" s="769">
        <f t="shared" si="5"/>
        <v>44287</v>
      </c>
      <c r="O37" s="769">
        <v>44652</v>
      </c>
      <c r="P37" s="738">
        <v>84</v>
      </c>
      <c r="Q37" s="738" t="s">
        <v>112</v>
      </c>
      <c r="R37" s="772">
        <v>1414000</v>
      </c>
      <c r="S37" s="710" t="s">
        <v>84</v>
      </c>
      <c r="T37" s="710" t="s">
        <v>70</v>
      </c>
      <c r="U37" s="770">
        <v>44326</v>
      </c>
      <c r="V37" s="770"/>
      <c r="W37" s="710" t="s">
        <v>142</v>
      </c>
      <c r="X37" s="922" t="s">
        <v>86</v>
      </c>
      <c r="Y37" s="843" t="s">
        <v>40</v>
      </c>
      <c r="Z37" s="843" t="s">
        <v>87</v>
      </c>
      <c r="AA37" s="919" t="s">
        <v>70</v>
      </c>
      <c r="AB37" s="1499">
        <v>44894</v>
      </c>
      <c r="AC37" s="1915" t="s">
        <v>89</v>
      </c>
      <c r="AD37" s="843" t="s">
        <v>220</v>
      </c>
      <c r="AE37" s="806"/>
      <c r="AF37">
        <f t="shared" ca="1" si="0"/>
        <v>414</v>
      </c>
      <c r="AG37" s="906"/>
    </row>
    <row r="38" spans="1:33" ht="58">
      <c r="A38" s="2754"/>
      <c r="B38" s="2755" t="s">
        <v>44</v>
      </c>
      <c r="C38" s="4" t="s">
        <v>221</v>
      </c>
      <c r="D38" s="9" t="s">
        <v>32</v>
      </c>
      <c r="E38" s="9"/>
      <c r="F38" s="9"/>
      <c r="G38" s="9"/>
      <c r="H38" s="9" t="s">
        <v>33</v>
      </c>
      <c r="I38" s="15" t="s">
        <v>34</v>
      </c>
      <c r="J38" s="16" t="s">
        <v>222</v>
      </c>
      <c r="K38" s="16"/>
      <c r="L38" s="5" t="e">
        <f>IF(OR(S38=#REF!,S38=#REF!,S38=#REF!,S38=#REF!,S38=#REF!,S38=#REF!,S38=#REF!,S38=#REF!),12,IF(OR(S38=#REF!,S38=#REF!,S38=#REF!,S38=#REF!,S38=#REF!,S38=#REF!,S38=#REF!),3,IF(S38=#REF!,1,IF(S38=#REF!,18,IF(OR(S38=#REF!,S38=#REF!,S38=#REF!,S38=#REF!,S38=#REF!),14,"Invalid proposed procurement method")))))</f>
        <v>#REF!</v>
      </c>
      <c r="M38" s="199" t="str">
        <f>IFERROR(EDATE($N38,-3),"Invalid procurement method or date entered")</f>
        <v>Invalid procurement method or date entered</v>
      </c>
      <c r="N38" s="199" t="str">
        <f t="shared" si="5"/>
        <v>Invalid procurement method or date entered</v>
      </c>
      <c r="O38" s="182">
        <v>44658</v>
      </c>
      <c r="P38" s="12">
        <v>48</v>
      </c>
      <c r="Q38" s="7" t="s">
        <v>141</v>
      </c>
      <c r="R38" s="18">
        <v>96000</v>
      </c>
      <c r="S38" s="5" t="s">
        <v>130</v>
      </c>
      <c r="T38" s="52" t="s">
        <v>62</v>
      </c>
      <c r="U38" s="48" t="s">
        <v>67</v>
      </c>
      <c r="V38" s="48"/>
      <c r="W38" s="12" t="s">
        <v>223</v>
      </c>
      <c r="X38" s="1076" t="s">
        <v>39</v>
      </c>
      <c r="Y38" s="80" t="s">
        <v>40</v>
      </c>
      <c r="Z38" s="80" t="s">
        <v>154</v>
      </c>
      <c r="AA38" s="80" t="s">
        <v>70</v>
      </c>
      <c r="AB38" s="354" t="s">
        <v>224</v>
      </c>
      <c r="AC38" s="1111" t="s">
        <v>225</v>
      </c>
      <c r="AD38" s="80" t="s">
        <v>164</v>
      </c>
      <c r="AE38" s="339">
        <v>24000</v>
      </c>
      <c r="AF38" t="str">
        <f t="shared" ca="1" si="0"/>
        <v>N/A</v>
      </c>
    </row>
    <row r="39" spans="1:33" ht="58">
      <c r="A39" s="2754"/>
      <c r="B39" s="2755" t="s">
        <v>44</v>
      </c>
      <c r="C39" s="4" t="s">
        <v>45</v>
      </c>
      <c r="D39" s="5" t="s">
        <v>32</v>
      </c>
      <c r="E39" s="5"/>
      <c r="F39" s="5"/>
      <c r="G39" s="5"/>
      <c r="H39" s="5" t="s">
        <v>33</v>
      </c>
      <c r="I39" s="5" t="s">
        <v>47</v>
      </c>
      <c r="J39" s="16" t="s">
        <v>226</v>
      </c>
      <c r="K39" s="16"/>
      <c r="L39" s="5" t="e">
        <f>IF(OR(S39=#REF!,S39=#REF!,S39=#REF!,S39=#REF!,S39=#REF!,S39=#REF!,S39=#REF!,S39=#REF!),12,IF(OR(S39=#REF!,S39=#REF!,S39=#REF!,S39=#REF!,S39=#REF!,S39=#REF!,S39=#REF!),3,IF(S39=#REF!,1,IF(S39=#REF!,18,IF(OR(S39=#REF!,S39=#REF!,S39=#REF!,S39=#REF!,S39=#REF!),14,"Invalid proposed procurement method")))))</f>
        <v>#REF!</v>
      </c>
      <c r="M39" s="199">
        <v>44209</v>
      </c>
      <c r="N39" s="199" t="str">
        <f t="shared" si="5"/>
        <v>Invalid procurement method or date entered</v>
      </c>
      <c r="O39" s="182">
        <v>44671</v>
      </c>
      <c r="P39" s="71">
        <v>48</v>
      </c>
      <c r="Q39" s="71" t="s">
        <v>82</v>
      </c>
      <c r="R39" s="2767">
        <v>38000</v>
      </c>
      <c r="S39" s="5" t="s">
        <v>75</v>
      </c>
      <c r="T39" s="41" t="s">
        <v>38</v>
      </c>
      <c r="U39" s="12" t="s">
        <v>67</v>
      </c>
      <c r="V39" s="12"/>
      <c r="W39" s="5" t="s">
        <v>227</v>
      </c>
      <c r="X39" s="80" t="s">
        <v>206</v>
      </c>
      <c r="Y39" s="80" t="s">
        <v>40</v>
      </c>
      <c r="Z39" s="80" t="s">
        <v>69</v>
      </c>
      <c r="AA39" s="80" t="s">
        <v>70</v>
      </c>
      <c r="AB39" s="354">
        <v>44654</v>
      </c>
      <c r="AC39" s="101" t="s">
        <v>228</v>
      </c>
      <c r="AD39" s="80" t="s">
        <v>164</v>
      </c>
      <c r="AE39" s="2768"/>
      <c r="AF39">
        <f t="shared" ca="1" si="0"/>
        <v>654</v>
      </c>
    </row>
    <row r="40" spans="1:33" ht="26">
      <c r="A40" s="1652" t="s">
        <v>71</v>
      </c>
      <c r="B40" s="1218" t="s">
        <v>100</v>
      </c>
      <c r="C40" s="1218" t="s">
        <v>45</v>
      </c>
      <c r="D40" s="1216" t="s">
        <v>32</v>
      </c>
      <c r="E40" s="1216"/>
      <c r="F40" s="1216"/>
      <c r="G40" s="1216"/>
      <c r="H40" s="1211" t="s">
        <v>197</v>
      </c>
      <c r="I40" s="1211" t="s">
        <v>47</v>
      </c>
      <c r="J40" s="1618" t="s">
        <v>229</v>
      </c>
      <c r="K40" s="709"/>
      <c r="L40" s="710">
        <v>12</v>
      </c>
      <c r="M40" s="1213">
        <f>IFERROR(EDATE(N40,-3),"Invalid procurement method or date entered")</f>
        <v>44218</v>
      </c>
      <c r="N40" s="1219">
        <f t="shared" si="5"/>
        <v>44308</v>
      </c>
      <c r="O40" s="1220">
        <v>44673</v>
      </c>
      <c r="P40" s="1783">
        <v>60</v>
      </c>
      <c r="Q40" s="1221" t="s">
        <v>187</v>
      </c>
      <c r="R40" s="1820">
        <v>300000</v>
      </c>
      <c r="S40" s="1226" t="s">
        <v>158</v>
      </c>
      <c r="T40" s="1216" t="s">
        <v>38</v>
      </c>
      <c r="U40" s="1216" t="s">
        <v>71</v>
      </c>
      <c r="V40" s="1216"/>
      <c r="W40" s="1211" t="s">
        <v>230</v>
      </c>
      <c r="X40" s="1868" t="s">
        <v>189</v>
      </c>
      <c r="Y40" s="1868" t="s">
        <v>40</v>
      </c>
      <c r="Z40" s="1868" t="s">
        <v>69</v>
      </c>
      <c r="AA40" s="1885" t="s">
        <v>70</v>
      </c>
      <c r="AB40" s="1896">
        <v>44691</v>
      </c>
      <c r="AC40" s="1918" t="s">
        <v>231</v>
      </c>
      <c r="AD40" s="1933"/>
      <c r="AE40" s="1933"/>
      <c r="AF40">
        <f t="shared" ca="1" si="0"/>
        <v>617</v>
      </c>
      <c r="AG40" s="1217"/>
    </row>
    <row r="41" spans="1:33" ht="58">
      <c r="A41" s="2756"/>
      <c r="B41" s="2755" t="s">
        <v>44</v>
      </c>
      <c r="C41" s="4" t="s">
        <v>45</v>
      </c>
      <c r="D41" s="9" t="s">
        <v>57</v>
      </c>
      <c r="E41" s="9"/>
      <c r="F41" s="9"/>
      <c r="G41" s="9"/>
      <c r="H41" s="5" t="s">
        <v>165</v>
      </c>
      <c r="I41" s="5" t="s">
        <v>34</v>
      </c>
      <c r="J41" s="16" t="s">
        <v>232</v>
      </c>
      <c r="K41" s="16"/>
      <c r="L41" s="5" t="e">
        <f>IF(OR(S41=#REF!,S41=#REF!,S41=#REF!,S41=#REF!,S41=#REF!,S41=#REF!,S41=#REF!,S41=#REF!),12,IF(OR(S41=#REF!,S41=#REF!,S41=#REF!,S41=#REF!,S41=#REF!,S41=#REF!,S41=#REF!),3,IF(S41=#REF!,1,IF(S41=#REF!,18,IF(OR(S41=#REF!,S41=#REF!,S41=#REF!,S41=#REF!,S41=#REF!),14,"Invalid proposed procurement method")))))</f>
        <v>#REF!</v>
      </c>
      <c r="M41" s="199" t="str">
        <f>IFERROR(EDATE($N41,-3),"Invalid procurement method or date entered")</f>
        <v>Invalid procurement method or date entered</v>
      </c>
      <c r="N41" s="199" t="str">
        <f t="shared" si="5"/>
        <v>Invalid procurement method or date entered</v>
      </c>
      <c r="O41" s="199">
        <v>44676</v>
      </c>
      <c r="P41" s="12" t="s">
        <v>45</v>
      </c>
      <c r="Q41" s="1557" t="s">
        <v>233</v>
      </c>
      <c r="R41" s="18"/>
      <c r="S41" s="5" t="s">
        <v>130</v>
      </c>
      <c r="T41" s="5" t="s">
        <v>70</v>
      </c>
      <c r="U41" s="182">
        <v>44656</v>
      </c>
      <c r="V41" s="182"/>
      <c r="W41" s="5" t="s">
        <v>167</v>
      </c>
      <c r="X41" s="1076" t="s">
        <v>168</v>
      </c>
      <c r="Y41" s="80" t="s">
        <v>40</v>
      </c>
      <c r="Z41" s="80" t="s">
        <v>234</v>
      </c>
      <c r="AA41" s="80" t="s">
        <v>70</v>
      </c>
      <c r="AB41" s="354">
        <v>44657</v>
      </c>
      <c r="AC41" s="101" t="s">
        <v>169</v>
      </c>
      <c r="AD41" s="76" t="s">
        <v>165</v>
      </c>
      <c r="AE41" s="197"/>
      <c r="AF41">
        <f t="shared" ca="1" si="0"/>
        <v>651</v>
      </c>
    </row>
    <row r="42" spans="1:33" ht="58">
      <c r="A42" s="2756"/>
      <c r="B42" s="2755" t="s">
        <v>44</v>
      </c>
      <c r="C42" s="4" t="s">
        <v>45</v>
      </c>
      <c r="D42" s="9" t="s">
        <v>57</v>
      </c>
      <c r="E42" s="9"/>
      <c r="F42" s="9"/>
      <c r="G42" s="9"/>
      <c r="H42" s="5" t="s">
        <v>165</v>
      </c>
      <c r="I42" s="5" t="s">
        <v>34</v>
      </c>
      <c r="J42" s="16" t="s">
        <v>235</v>
      </c>
      <c r="K42" s="16"/>
      <c r="L42" s="5" t="e">
        <f>IF(OR(S42=#REF!,S42=#REF!,S42=#REF!,S42=#REF!,S42=#REF!,S42=#REF!,S42=#REF!,S42=#REF!),12,IF(OR(S42=#REF!,S42=#REF!,S42=#REF!,S42=#REF!,S42=#REF!,S42=#REF!,S42=#REF!),3,IF(S42=#REF!,1,IF(S42=#REF!,18,IF(OR(S42=#REF!,S42=#REF!,S42=#REF!,S42=#REF!,S42=#REF!),14,"Invalid proposed procurement method")))))</f>
        <v>#REF!</v>
      </c>
      <c r="M42" s="199" t="str">
        <f>IFERROR(EDATE($N42,-3),"Invalid procurement method or date entered")</f>
        <v>Invalid procurement method or date entered</v>
      </c>
      <c r="N42" s="199" t="str">
        <f t="shared" si="5"/>
        <v>Invalid procurement method or date entered</v>
      </c>
      <c r="O42" s="199">
        <v>44676</v>
      </c>
      <c r="P42" s="12" t="s">
        <v>45</v>
      </c>
      <c r="Q42" s="1557" t="s">
        <v>233</v>
      </c>
      <c r="R42" s="18" t="s">
        <v>45</v>
      </c>
      <c r="S42" s="5" t="s">
        <v>130</v>
      </c>
      <c r="T42" s="41" t="s">
        <v>70</v>
      </c>
      <c r="U42" s="182">
        <v>44656</v>
      </c>
      <c r="V42" s="182"/>
      <c r="W42" s="5" t="s">
        <v>167</v>
      </c>
      <c r="X42" s="80" t="s">
        <v>168</v>
      </c>
      <c r="Y42" s="80" t="s">
        <v>40</v>
      </c>
      <c r="Z42" s="80" t="s">
        <v>234</v>
      </c>
      <c r="AA42" s="80" t="s">
        <v>70</v>
      </c>
      <c r="AB42" s="354">
        <v>44657</v>
      </c>
      <c r="AC42" s="101" t="s">
        <v>169</v>
      </c>
      <c r="AD42" s="76" t="s">
        <v>165</v>
      </c>
      <c r="AE42" s="211">
        <v>2542515</v>
      </c>
      <c r="AF42">
        <f t="shared" ca="1" si="0"/>
        <v>651</v>
      </c>
    </row>
    <row r="43" spans="1:33" ht="58">
      <c r="A43" s="1184"/>
      <c r="B43" s="2755" t="s">
        <v>44</v>
      </c>
      <c r="C43" s="4" t="s">
        <v>45</v>
      </c>
      <c r="D43" s="9" t="s">
        <v>57</v>
      </c>
      <c r="E43" s="9"/>
      <c r="F43" s="9"/>
      <c r="G43" s="9"/>
      <c r="H43" s="2751" t="s">
        <v>165</v>
      </c>
      <c r="I43" s="2763" t="s">
        <v>34</v>
      </c>
      <c r="J43" s="16" t="s">
        <v>236</v>
      </c>
      <c r="K43" s="8"/>
      <c r="L43" s="5" t="e">
        <f>IF(OR(S43=#REF!,S43=#REF!,S43=#REF!,S43=#REF!,S43=#REF!,S43=#REF!,S43=#REF!,S43=#REF!),12,IF(OR(S43=#REF!,S43=#REF!,S43=#REF!,S43=#REF!,S43=#REF!,S43=#REF!,S43=#REF!),3,IF(S43=#REF!,1,IF(S43=#REF!,18,IF(OR(S43=#REF!,S43=#REF!,S43=#REF!,S43=#REF!,S43=#REF!),14,"Invalid proposed procurement method")))))</f>
        <v>#REF!</v>
      </c>
      <c r="M43" s="199" t="str">
        <f>IFERROR(EDATE($N43,-3),"Invalid procurement method or date entered")</f>
        <v>Invalid procurement method or date entered</v>
      </c>
      <c r="N43" s="199" t="str">
        <f t="shared" si="5"/>
        <v>Invalid procurement method or date entered</v>
      </c>
      <c r="O43" s="199">
        <v>44676</v>
      </c>
      <c r="P43" s="12" t="s">
        <v>45</v>
      </c>
      <c r="Q43" s="1557" t="s">
        <v>233</v>
      </c>
      <c r="R43" s="18" t="s">
        <v>45</v>
      </c>
      <c r="S43" s="5" t="s">
        <v>130</v>
      </c>
      <c r="T43" s="5" t="s">
        <v>70</v>
      </c>
      <c r="U43" s="182">
        <v>44656</v>
      </c>
      <c r="V43" s="182"/>
      <c r="W43" s="2763" t="s">
        <v>167</v>
      </c>
      <c r="X43" s="80" t="s">
        <v>168</v>
      </c>
      <c r="Y43" s="80" t="s">
        <v>40</v>
      </c>
      <c r="Z43" s="80" t="s">
        <v>87</v>
      </c>
      <c r="AA43" s="80" t="s">
        <v>70</v>
      </c>
      <c r="AB43" s="354">
        <v>44657</v>
      </c>
      <c r="AC43" s="101" t="s">
        <v>169</v>
      </c>
      <c r="AD43" s="76" t="s">
        <v>165</v>
      </c>
      <c r="AE43" s="197">
        <v>3419209</v>
      </c>
      <c r="AF43">
        <f t="shared" ca="1" si="0"/>
        <v>651</v>
      </c>
    </row>
    <row r="44" spans="1:33" ht="58">
      <c r="A44" s="1184"/>
      <c r="B44" s="2755" t="s">
        <v>44</v>
      </c>
      <c r="C44" s="10">
        <v>48923</v>
      </c>
      <c r="D44" s="9" t="s">
        <v>32</v>
      </c>
      <c r="E44" s="9"/>
      <c r="F44" s="9"/>
      <c r="G44" s="9"/>
      <c r="H44" s="5" t="s">
        <v>33</v>
      </c>
      <c r="I44" s="12" t="s">
        <v>47</v>
      </c>
      <c r="J44" s="16" t="s">
        <v>237</v>
      </c>
      <c r="K44" s="8"/>
      <c r="L44" s="5" t="e">
        <f>IF(OR(S44=#REF!,S44=#REF!,S44=#REF!,S44=#REF!,S44=#REF!,S44=#REF!,S44=#REF!,S44=#REF!),12,IF(OR(S44=#REF!,S44=#REF!,S44=#REF!,S44=#REF!,S44=#REF!,S44=#REF!,S44=#REF!),3,IF(S44=#REF!,1,IF(S44=#REF!,18,IF(OR(S44=#REF!,S44=#REF!,S44=#REF!,S44=#REF!,S44=#REF!),14,"Invalid proposed procurement method")))))</f>
        <v>#REF!</v>
      </c>
      <c r="M44" s="199">
        <v>44228</v>
      </c>
      <c r="N44" s="199" t="str">
        <f t="shared" si="5"/>
        <v>Invalid procurement method or date entered</v>
      </c>
      <c r="O44" s="199">
        <v>44652</v>
      </c>
      <c r="P44" s="5">
        <v>36</v>
      </c>
      <c r="Q44" s="7" t="s">
        <v>98</v>
      </c>
      <c r="R44" s="1547">
        <v>470000</v>
      </c>
      <c r="S44" s="5" t="s">
        <v>84</v>
      </c>
      <c r="T44" s="5" t="s">
        <v>38</v>
      </c>
      <c r="U44" s="12" t="s">
        <v>238</v>
      </c>
      <c r="V44" s="12"/>
      <c r="W44" s="5" t="s">
        <v>239</v>
      </c>
      <c r="X44" s="1076" t="s">
        <v>86</v>
      </c>
      <c r="Y44" s="80" t="s">
        <v>40</v>
      </c>
      <c r="Z44" s="80" t="s">
        <v>154</v>
      </c>
      <c r="AA44" s="80" t="s">
        <v>70</v>
      </c>
      <c r="AB44" s="354" t="s">
        <v>88</v>
      </c>
      <c r="AC44" s="1110" t="s">
        <v>89</v>
      </c>
      <c r="AD44" s="80" t="s">
        <v>240</v>
      </c>
      <c r="AE44" s="2769"/>
      <c r="AF44" t="str">
        <f t="shared" ca="1" si="0"/>
        <v>N/A</v>
      </c>
    </row>
    <row r="45" spans="1:33" ht="52">
      <c r="A45" s="1244" t="s">
        <v>71</v>
      </c>
      <c r="B45" s="695" t="s">
        <v>44</v>
      </c>
      <c r="C45" s="738" t="s">
        <v>45</v>
      </c>
      <c r="D45" s="808" t="s">
        <v>32</v>
      </c>
      <c r="E45" s="808"/>
      <c r="F45" s="808"/>
      <c r="G45" s="808"/>
      <c r="H45" s="709" t="s">
        <v>33</v>
      </c>
      <c r="I45" s="709" t="s">
        <v>47</v>
      </c>
      <c r="J45" s="1609" t="s">
        <v>241</v>
      </c>
      <c r="K45" s="780"/>
      <c r="L45" s="710" t="e">
        <f>IF(OR(S45=#REF!,S45=#REF!,S45=#REF!,S45=#REF!,S45=#REF!,S45=#REF!,S45=#REF!,S45=#REF!),12,IF(OR(S45=#REF!,S45=#REF!,S45=#REF!,S45=#REF!,S45=#REF!,S45=#REF!,S45=#REF!),3,IF(S45=#REF!,1,IF(S45=#REF!,18,IF(OR(S45=#REF!,S45=#REF!,S45=#REF!,S45=#REF!,S45=#REF!),14,"Invalid proposed procurement method")))))</f>
        <v>#REF!</v>
      </c>
      <c r="M45" s="769">
        <v>44228</v>
      </c>
      <c r="N45" s="769" t="str">
        <f t="shared" si="5"/>
        <v>Invalid procurement method or date entered</v>
      </c>
      <c r="O45" s="947">
        <v>44652</v>
      </c>
      <c r="P45" s="738">
        <v>5</v>
      </c>
      <c r="Q45" s="738">
        <v>5</v>
      </c>
      <c r="R45" s="772">
        <v>50000</v>
      </c>
      <c r="S45" s="710" t="s">
        <v>84</v>
      </c>
      <c r="T45" s="710" t="s">
        <v>62</v>
      </c>
      <c r="U45" s="738" t="s">
        <v>67</v>
      </c>
      <c r="V45" s="738"/>
      <c r="W45" s="765" t="s">
        <v>142</v>
      </c>
      <c r="X45" s="919" t="s">
        <v>86</v>
      </c>
      <c r="Y45" s="843" t="s">
        <v>40</v>
      </c>
      <c r="Z45" s="843" t="s">
        <v>154</v>
      </c>
      <c r="AA45" s="843" t="s">
        <v>70</v>
      </c>
      <c r="AB45" s="1102">
        <v>44739</v>
      </c>
      <c r="AC45" s="945" t="s">
        <v>242</v>
      </c>
      <c r="AD45" s="843" t="s">
        <v>145</v>
      </c>
      <c r="AE45" s="1938">
        <v>90000</v>
      </c>
      <c r="AF45">
        <f t="shared" ca="1" si="0"/>
        <v>569</v>
      </c>
      <c r="AG45" s="906"/>
    </row>
    <row r="46" spans="1:33" ht="26">
      <c r="A46" s="1244" t="s">
        <v>71</v>
      </c>
      <c r="B46" s="695" t="s">
        <v>44</v>
      </c>
      <c r="C46" s="738" t="s">
        <v>45</v>
      </c>
      <c r="D46" s="808" t="s">
        <v>32</v>
      </c>
      <c r="E46" s="808"/>
      <c r="F46" s="808"/>
      <c r="G46" s="808"/>
      <c r="H46" s="709" t="s">
        <v>33</v>
      </c>
      <c r="I46" s="709" t="s">
        <v>47</v>
      </c>
      <c r="J46" s="1602" t="s">
        <v>243</v>
      </c>
      <c r="K46" s="709"/>
      <c r="L46" s="710">
        <v>12</v>
      </c>
      <c r="M46" s="769">
        <f>IFERROR(EDATE($N46,-3),"Invalid procurement method or date entered")</f>
        <v>44228</v>
      </c>
      <c r="N46" s="769">
        <f t="shared" si="5"/>
        <v>44317</v>
      </c>
      <c r="O46" s="769">
        <v>44682</v>
      </c>
      <c r="P46" s="738">
        <v>84</v>
      </c>
      <c r="Q46" s="738" t="s">
        <v>112</v>
      </c>
      <c r="R46" s="772">
        <v>410331</v>
      </c>
      <c r="S46" s="710" t="s">
        <v>84</v>
      </c>
      <c r="T46" s="710" t="s">
        <v>70</v>
      </c>
      <c r="U46" s="770">
        <v>44326</v>
      </c>
      <c r="V46" s="770"/>
      <c r="W46" s="709" t="s">
        <v>244</v>
      </c>
      <c r="X46" s="922" t="s">
        <v>86</v>
      </c>
      <c r="Y46" s="843" t="s">
        <v>40</v>
      </c>
      <c r="Z46" s="843" t="s">
        <v>87</v>
      </c>
      <c r="AA46" s="919" t="s">
        <v>70</v>
      </c>
      <c r="AB46" s="1102">
        <v>44848</v>
      </c>
      <c r="AC46" s="1915" t="s">
        <v>89</v>
      </c>
      <c r="AD46" s="843" t="s">
        <v>220</v>
      </c>
      <c r="AE46" s="883"/>
      <c r="AF46">
        <f t="shared" ca="1" si="0"/>
        <v>460</v>
      </c>
      <c r="AG46" s="906"/>
    </row>
    <row r="47" spans="1:33" ht="52">
      <c r="A47" s="889" t="s">
        <v>71</v>
      </c>
      <c r="B47" s="707" t="s">
        <v>100</v>
      </c>
      <c r="C47" s="707" t="s">
        <v>245</v>
      </c>
      <c r="D47" s="710" t="s">
        <v>193</v>
      </c>
      <c r="E47" s="710"/>
      <c r="F47" s="710"/>
      <c r="G47" s="710"/>
      <c r="H47" s="709" t="s">
        <v>103</v>
      </c>
      <c r="I47" s="709" t="s">
        <v>246</v>
      </c>
      <c r="J47" s="1608" t="s">
        <v>247</v>
      </c>
      <c r="K47" s="709"/>
      <c r="L47" s="710">
        <v>14</v>
      </c>
      <c r="M47" s="711">
        <f>IFERROR(EDATE(N47,-3),"Invalid procurement method or date entered")</f>
        <v>44228</v>
      </c>
      <c r="N47" s="712">
        <f t="shared" si="5"/>
        <v>44317</v>
      </c>
      <c r="O47" s="713">
        <v>44743</v>
      </c>
      <c r="P47" s="777">
        <v>60</v>
      </c>
      <c r="Q47" s="777" t="s">
        <v>248</v>
      </c>
      <c r="R47" s="772">
        <v>2300000</v>
      </c>
      <c r="S47" s="758" t="s">
        <v>105</v>
      </c>
      <c r="T47" s="710" t="s">
        <v>70</v>
      </c>
      <c r="U47" s="710" t="s">
        <v>249</v>
      </c>
      <c r="V47" s="710"/>
      <c r="W47" s="709" t="s">
        <v>250</v>
      </c>
      <c r="X47" s="843" t="s">
        <v>108</v>
      </c>
      <c r="Y47" s="843" t="s">
        <v>40</v>
      </c>
      <c r="Z47" s="843" t="s">
        <v>87</v>
      </c>
      <c r="AA47" s="1092" t="s">
        <v>70</v>
      </c>
      <c r="AB47" s="1102">
        <v>44768</v>
      </c>
      <c r="AC47" s="1115" t="s">
        <v>251</v>
      </c>
      <c r="AD47" s="922"/>
      <c r="AE47" s="922"/>
      <c r="AF47">
        <f t="shared" ca="1" si="0"/>
        <v>540</v>
      </c>
      <c r="AG47" s="906"/>
    </row>
    <row r="48" spans="1:33" ht="58">
      <c r="A48" s="2756"/>
      <c r="B48" s="2755" t="s">
        <v>44</v>
      </c>
      <c r="C48" s="4">
        <v>53503</v>
      </c>
      <c r="D48" s="5" t="s">
        <v>32</v>
      </c>
      <c r="E48" s="5"/>
      <c r="F48" s="5"/>
      <c r="G48" s="5"/>
      <c r="H48" s="5" t="s">
        <v>33</v>
      </c>
      <c r="I48" s="5" t="s">
        <v>47</v>
      </c>
      <c r="J48" s="16" t="s">
        <v>252</v>
      </c>
      <c r="K48" s="16"/>
      <c r="L48" s="5" t="e">
        <f>IF(OR(S48=#REF!,S48=#REF!,S48=#REF!,S48=#REF!,S48=#REF!,S48=#REF!,S48=#REF!,S48=#REF!),12,IF(OR(S48=#REF!,S48=#REF!,S48=#REF!,S48=#REF!,S48=#REF!,S48=#REF!,S48=#REF!),3,IF(S48=#REF!,1,IF(S48=#REF!,18,IF(OR(S48=#REF!,S48=#REF!,S48=#REF!,S48=#REF!,S48=#REF!),14,"Invalid proposed procurement method")))))</f>
        <v>#REF!</v>
      </c>
      <c r="M48" s="199" t="str">
        <f>IFERROR(EDATE($N48,-3),"Invalid procurement method or date entered")</f>
        <v>Invalid procurement method or date entered</v>
      </c>
      <c r="N48" s="199" t="str">
        <f t="shared" si="5"/>
        <v>Invalid procurement method or date entered</v>
      </c>
      <c r="O48" s="182">
        <v>44699</v>
      </c>
      <c r="P48" s="12">
        <v>48</v>
      </c>
      <c r="Q48" s="182" t="s">
        <v>215</v>
      </c>
      <c r="R48" s="18">
        <v>28700</v>
      </c>
      <c r="S48" s="5" t="s">
        <v>84</v>
      </c>
      <c r="T48" s="11" t="s">
        <v>38</v>
      </c>
      <c r="U48" s="12" t="s">
        <v>71</v>
      </c>
      <c r="V48" s="12"/>
      <c r="W48" s="5" t="s">
        <v>253</v>
      </c>
      <c r="X48" s="80" t="s">
        <v>254</v>
      </c>
      <c r="Y48" s="80" t="s">
        <v>40</v>
      </c>
      <c r="Z48" s="80" t="s">
        <v>154</v>
      </c>
      <c r="AA48" s="80" t="s">
        <v>70</v>
      </c>
      <c r="AB48" s="354">
        <v>44700</v>
      </c>
      <c r="AC48" s="101" t="s">
        <v>255</v>
      </c>
      <c r="AD48" s="76" t="s">
        <v>127</v>
      </c>
      <c r="AE48" s="211"/>
      <c r="AF48">
        <f t="shared" ca="1" si="0"/>
        <v>608</v>
      </c>
    </row>
    <row r="49" spans="1:33" ht="58">
      <c r="A49" s="2756"/>
      <c r="B49" s="2755" t="s">
        <v>44</v>
      </c>
      <c r="C49" s="4" t="s">
        <v>256</v>
      </c>
      <c r="D49" s="5" t="s">
        <v>32</v>
      </c>
      <c r="E49" s="5"/>
      <c r="F49" s="5"/>
      <c r="G49" s="5"/>
      <c r="H49" s="5" t="s">
        <v>33</v>
      </c>
      <c r="I49" s="5" t="s">
        <v>34</v>
      </c>
      <c r="J49" s="268" t="s">
        <v>257</v>
      </c>
      <c r="K49" s="268"/>
      <c r="L49" s="5" t="e">
        <f>IF(OR(S49=#REF!,S49=#REF!,S49=#REF!,S49=#REF!,S49=#REF!,S49=#REF!,S49=#REF!,S49=#REF!),12,IF(OR(S49=#REF!,S49=#REF!,S49=#REF!,S49=#REF!,S49=#REF!,S49=#REF!,S49=#REF!),3,IF(S49=#REF!,1,IF(S49=#REF!,18,IF(OR(S49=#REF!,S49=#REF!,S49=#REF!,S49=#REF!,S49=#REF!),14,"Invalid proposed procurement method")))))</f>
        <v>#REF!</v>
      </c>
      <c r="M49" s="199" t="str">
        <f>IFERROR(EDATE($N49,-3),"Invalid procurement method or date entered")</f>
        <v>Invalid procurement method or date entered</v>
      </c>
      <c r="N49" s="199" t="str">
        <f t="shared" si="5"/>
        <v>Invalid procurement method or date entered</v>
      </c>
      <c r="O49" s="182">
        <v>44702</v>
      </c>
      <c r="P49" s="12">
        <v>48</v>
      </c>
      <c r="Q49" s="13" t="s">
        <v>258</v>
      </c>
      <c r="R49" s="18">
        <v>320000</v>
      </c>
      <c r="S49" s="5" t="s">
        <v>130</v>
      </c>
      <c r="T49" s="14" t="s">
        <v>38</v>
      </c>
      <c r="U49" s="5" t="s">
        <v>67</v>
      </c>
      <c r="V49" s="5"/>
      <c r="W49" s="5" t="s">
        <v>259</v>
      </c>
      <c r="X49" s="80" t="s">
        <v>39</v>
      </c>
      <c r="Y49" s="80" t="s">
        <v>40</v>
      </c>
      <c r="Z49" s="80" t="s">
        <v>69</v>
      </c>
      <c r="AA49" s="80" t="s">
        <v>70</v>
      </c>
      <c r="AB49" s="354">
        <v>44663</v>
      </c>
      <c r="AC49" s="101" t="s">
        <v>260</v>
      </c>
      <c r="AD49" s="76" t="s">
        <v>96</v>
      </c>
      <c r="AE49" s="211">
        <v>64000</v>
      </c>
      <c r="AF49">
        <f t="shared" ca="1" si="0"/>
        <v>645</v>
      </c>
    </row>
    <row r="50" spans="1:33" ht="116">
      <c r="A50" s="2756"/>
      <c r="B50" s="2755" t="s">
        <v>44</v>
      </c>
      <c r="C50" s="4">
        <v>49924</v>
      </c>
      <c r="D50" s="9" t="s">
        <v>32</v>
      </c>
      <c r="E50" s="9"/>
      <c r="F50" s="9"/>
      <c r="G50" s="9"/>
      <c r="H50" s="5" t="s">
        <v>33</v>
      </c>
      <c r="I50" s="5" t="s">
        <v>47</v>
      </c>
      <c r="J50" s="1590" t="s">
        <v>261</v>
      </c>
      <c r="K50" s="64"/>
      <c r="L50" s="5" t="e">
        <f>IF(OR(S50=#REF!,S50=#REF!,S50=#REF!,S50=#REF!,S50=#REF!,S50=#REF!,S50=#REF!,S50=#REF!),12,IF(OR(S50=#REF!,S50=#REF!,S50=#REF!,S50=#REF!,S50=#REF!,S50=#REF!,S50=#REF!),3,IF(S50=#REF!,1,IF(S50=#REF!,18,IF(OR(S50=#REF!,S50=#REF!,S50=#REF!,S50=#REF!,S50=#REF!),14,"Invalid proposed procurement method")))))</f>
        <v>#REF!</v>
      </c>
      <c r="M50" s="199">
        <v>44256</v>
      </c>
      <c r="N50" s="199" t="str">
        <f t="shared" si="5"/>
        <v>Invalid procurement method or date entered</v>
      </c>
      <c r="O50" s="65">
        <v>44652</v>
      </c>
      <c r="P50" s="66">
        <v>48</v>
      </c>
      <c r="Q50" s="345" t="s">
        <v>215</v>
      </c>
      <c r="R50" s="18">
        <v>620000</v>
      </c>
      <c r="S50" s="66" t="s">
        <v>84</v>
      </c>
      <c r="T50" s="47" t="s">
        <v>70</v>
      </c>
      <c r="U50" s="47">
        <v>44578</v>
      </c>
      <c r="V50" s="47"/>
      <c r="W50" s="12" t="s">
        <v>262</v>
      </c>
      <c r="X50" s="80" t="s">
        <v>162</v>
      </c>
      <c r="Y50" s="80" t="s">
        <v>40</v>
      </c>
      <c r="Z50" s="80" t="s">
        <v>69</v>
      </c>
      <c r="AA50" s="80" t="s">
        <v>38</v>
      </c>
      <c r="AB50" s="354" t="s">
        <v>88</v>
      </c>
      <c r="AC50" s="1114" t="s">
        <v>263</v>
      </c>
      <c r="AD50" s="80" t="s">
        <v>264</v>
      </c>
      <c r="AE50" s="339">
        <v>10294</v>
      </c>
      <c r="AF50" t="str">
        <f t="shared" ca="1" si="0"/>
        <v>N/A</v>
      </c>
    </row>
    <row r="51" spans="1:33" ht="29">
      <c r="A51" s="1184"/>
      <c r="B51" s="2755" t="s">
        <v>44</v>
      </c>
      <c r="C51" s="4" t="s">
        <v>265</v>
      </c>
      <c r="D51" s="9" t="s">
        <v>32</v>
      </c>
      <c r="E51" s="9"/>
      <c r="F51" s="9"/>
      <c r="G51" s="9"/>
      <c r="H51" s="5" t="s">
        <v>33</v>
      </c>
      <c r="I51" s="5" t="s">
        <v>47</v>
      </c>
      <c r="J51" s="16" t="s">
        <v>266</v>
      </c>
      <c r="K51" s="16"/>
      <c r="L51" s="5">
        <v>10</v>
      </c>
      <c r="M51" s="199">
        <f>IFERROR(EDATE($N51,-3),"Invalid procurement method or date entered")</f>
        <v>44256</v>
      </c>
      <c r="N51" s="199">
        <f t="shared" si="5"/>
        <v>44348</v>
      </c>
      <c r="O51" s="199">
        <v>44652</v>
      </c>
      <c r="P51" s="5">
        <v>36</v>
      </c>
      <c r="Q51" s="7" t="s">
        <v>160</v>
      </c>
      <c r="R51" s="18">
        <v>169776</v>
      </c>
      <c r="S51" s="183" t="s">
        <v>84</v>
      </c>
      <c r="T51" s="5" t="s">
        <v>62</v>
      </c>
      <c r="U51" s="12" t="s">
        <v>67</v>
      </c>
      <c r="V51" s="12"/>
      <c r="W51" s="5" t="s">
        <v>142</v>
      </c>
      <c r="X51" s="1076" t="s">
        <v>86</v>
      </c>
      <c r="Y51" s="80" t="s">
        <v>40</v>
      </c>
      <c r="Z51" s="80" t="s">
        <v>69</v>
      </c>
      <c r="AA51" s="80" t="s">
        <v>70</v>
      </c>
      <c r="AB51" s="354">
        <v>44768</v>
      </c>
      <c r="AC51" s="101" t="s">
        <v>267</v>
      </c>
      <c r="AD51" s="80" t="s">
        <v>145</v>
      </c>
      <c r="AE51" s="1141">
        <v>60000</v>
      </c>
      <c r="AF51">
        <f t="shared" ca="1" si="0"/>
        <v>540</v>
      </c>
    </row>
    <row r="52" spans="1:33" ht="130.5">
      <c r="A52" s="2754"/>
      <c r="B52" s="120"/>
      <c r="C52" s="4" t="s">
        <v>45</v>
      </c>
      <c r="D52" s="9" t="s">
        <v>32</v>
      </c>
      <c r="E52" s="9"/>
      <c r="F52" s="9"/>
      <c r="G52" s="9"/>
      <c r="H52" s="5" t="s">
        <v>33</v>
      </c>
      <c r="I52" s="5" t="s">
        <v>268</v>
      </c>
      <c r="J52" s="1590" t="s">
        <v>269</v>
      </c>
      <c r="K52" s="64"/>
      <c r="L52" s="5" t="e">
        <f>IF(OR(S52=#REF!,S52=#REF!,S52=#REF!,S52=#REF!,S52=#REF!,S52=#REF!,S52=#REF!,S52=#REF!),12,IF(OR(S52=#REF!,S52=#REF!,S52=#REF!,S52=#REF!,S52=#REF!,S52=#REF!,S52=#REF!),3,IF(S52=#REF!,1,IF(S52=#REF!,18,IF(OR(S52=#REF!,S52=#REF!,S52=#REF!,S52=#REF!,S52=#REF!),14,"Invalid proposed procurement method")))))</f>
        <v>#REF!</v>
      </c>
      <c r="M52" s="199">
        <v>44256</v>
      </c>
      <c r="N52" s="199" t="str">
        <f t="shared" si="5"/>
        <v>Invalid procurement method or date entered</v>
      </c>
      <c r="O52" s="65">
        <v>44666</v>
      </c>
      <c r="P52" s="66" t="s">
        <v>45</v>
      </c>
      <c r="Q52" s="345" t="s">
        <v>45</v>
      </c>
      <c r="R52" s="18" t="s">
        <v>45</v>
      </c>
      <c r="S52" s="66" t="s">
        <v>270</v>
      </c>
      <c r="T52" s="47" t="s">
        <v>62</v>
      </c>
      <c r="U52" s="47" t="s">
        <v>45</v>
      </c>
      <c r="V52" s="47"/>
      <c r="W52" s="12" t="s">
        <v>262</v>
      </c>
      <c r="X52" s="80" t="s">
        <v>39</v>
      </c>
      <c r="Y52" s="80" t="s">
        <v>115</v>
      </c>
      <c r="Z52" s="80" t="s">
        <v>87</v>
      </c>
      <c r="AA52" s="80" t="s">
        <v>70</v>
      </c>
      <c r="AB52" s="354" t="s">
        <v>271</v>
      </c>
      <c r="AC52" s="1114" t="s">
        <v>272</v>
      </c>
      <c r="AD52" s="80" t="s">
        <v>264</v>
      </c>
      <c r="AE52" s="339"/>
      <c r="AF52" t="str">
        <f t="shared" ca="1" si="0"/>
        <v>N/A</v>
      </c>
    </row>
    <row r="53" spans="1:33" ht="58">
      <c r="A53" s="2756"/>
      <c r="B53" s="2755" t="s">
        <v>44</v>
      </c>
      <c r="C53" s="4" t="s">
        <v>273</v>
      </c>
      <c r="D53" s="9" t="s">
        <v>32</v>
      </c>
      <c r="E53" s="9"/>
      <c r="F53" s="9"/>
      <c r="G53" s="9"/>
      <c r="H53" s="9" t="s">
        <v>46</v>
      </c>
      <c r="I53" s="9" t="s">
        <v>34</v>
      </c>
      <c r="J53" s="16" t="s">
        <v>274</v>
      </c>
      <c r="K53" s="8"/>
      <c r="L53" s="5" t="e">
        <f>IF(OR(S53=#REF!,S53=#REF!,S53=#REF!,S53=#REF!,S53=#REF!,S53=#REF!,S53=#REF!,S53=#REF!),12,IF(OR(S53=#REF!,S53=#REF!,S53=#REF!,S53=#REF!,S53=#REF!,S53=#REF!,S53=#REF!),3,IF(S53=#REF!,1,IF(S53=#REF!,18,IF(OR(S53=#REF!,S53=#REF!,S53=#REF!,S53=#REF!,S53=#REF!),14,"Invalid proposed procurement method")))))</f>
        <v>#REF!</v>
      </c>
      <c r="M53" s="199" t="str">
        <f>IFERROR(EDATE($N53,-3),"Invalid procurement method or date entered")</f>
        <v>Invalid procurement method or date entered</v>
      </c>
      <c r="N53" s="199" t="str">
        <f t="shared" si="5"/>
        <v>Invalid procurement method or date entered</v>
      </c>
      <c r="O53" s="183">
        <v>44713</v>
      </c>
      <c r="P53" s="9">
        <v>18</v>
      </c>
      <c r="Q53" s="269" t="s">
        <v>275</v>
      </c>
      <c r="R53" s="18">
        <v>15000</v>
      </c>
      <c r="S53" s="5" t="s">
        <v>130</v>
      </c>
      <c r="T53" s="5" t="s">
        <v>38</v>
      </c>
      <c r="U53" s="14" t="s">
        <v>67</v>
      </c>
      <c r="V53" s="14"/>
      <c r="W53" s="9" t="s">
        <v>276</v>
      </c>
      <c r="X53" s="1076" t="s">
        <v>39</v>
      </c>
      <c r="Y53" s="80" t="s">
        <v>40</v>
      </c>
      <c r="Z53" s="80" t="s">
        <v>154</v>
      </c>
      <c r="AA53" s="80" t="s">
        <v>70</v>
      </c>
      <c r="AB53" s="354" t="s">
        <v>224</v>
      </c>
      <c r="AC53" s="993" t="s">
        <v>277</v>
      </c>
      <c r="AD53" s="76" t="s">
        <v>46</v>
      </c>
      <c r="AE53" s="211">
        <v>7500</v>
      </c>
      <c r="AF53" t="str">
        <f t="shared" ca="1" si="0"/>
        <v>N/A</v>
      </c>
    </row>
    <row r="54" spans="1:33" ht="58">
      <c r="A54" s="2756"/>
      <c r="B54" s="2757"/>
      <c r="C54" s="4" t="s">
        <v>278</v>
      </c>
      <c r="D54" s="5" t="s">
        <v>32</v>
      </c>
      <c r="E54" s="5"/>
      <c r="F54" s="5"/>
      <c r="G54" s="5"/>
      <c r="H54" s="5" t="s">
        <v>279</v>
      </c>
      <c r="I54" s="12" t="s">
        <v>34</v>
      </c>
      <c r="J54" s="16" t="s">
        <v>280</v>
      </c>
      <c r="K54" s="8"/>
      <c r="L54" s="5" t="e">
        <f>IF(OR(S54=#REF!,S54=#REF!,S54=#REF!,S54=#REF!,S54=#REF!,S54=#REF!,S54=#REF!,S54=#REF!),12,IF(OR(S54=#REF!,S54=#REF!,S54=#REF!,S54=#REF!,S54=#REF!,S54=#REF!,S54=#REF!),3,IF(S54=#REF!,1,IF(S54=#REF!,18,IF(OR(S54=#REF!,S54=#REF!,S54=#REF!,S54=#REF!,S54=#REF!),14,"Invalid proposed procurement method")))))</f>
        <v>#REF!</v>
      </c>
      <c r="M54" s="199" t="str">
        <f>IFERROR(EDATE($N54,-3),"Invalid procurement method or date entered")</f>
        <v>Invalid procurement method or date entered</v>
      </c>
      <c r="N54" s="199" t="str">
        <f t="shared" si="5"/>
        <v>Invalid procurement method or date entered</v>
      </c>
      <c r="O54" s="199">
        <v>44723</v>
      </c>
      <c r="P54" s="5">
        <v>48</v>
      </c>
      <c r="Q54" s="7" t="s">
        <v>281</v>
      </c>
      <c r="R54" s="18">
        <v>40000</v>
      </c>
      <c r="S54" s="182" t="s">
        <v>130</v>
      </c>
      <c r="T54" s="11" t="s">
        <v>38</v>
      </c>
      <c r="U54" s="11" t="s">
        <v>67</v>
      </c>
      <c r="V54" s="11"/>
      <c r="W54" s="5" t="s">
        <v>282</v>
      </c>
      <c r="X54" s="80" t="s">
        <v>283</v>
      </c>
      <c r="Y54" s="80" t="s">
        <v>40</v>
      </c>
      <c r="Z54" s="80" t="s">
        <v>154</v>
      </c>
      <c r="AA54" s="80" t="s">
        <v>38</v>
      </c>
      <c r="AB54" s="1187" t="s">
        <v>143</v>
      </c>
      <c r="AC54" s="101" t="s">
        <v>284</v>
      </c>
      <c r="AD54" s="80" t="s">
        <v>285</v>
      </c>
      <c r="AE54" s="1132">
        <v>10000</v>
      </c>
      <c r="AF54" t="str">
        <f t="shared" ca="1" si="0"/>
        <v>N/A</v>
      </c>
    </row>
    <row r="55" spans="1:33" ht="65">
      <c r="A55" s="1651" t="s">
        <v>71</v>
      </c>
      <c r="B55" s="1207" t="s">
        <v>44</v>
      </c>
      <c r="C55" s="1209" t="s">
        <v>45</v>
      </c>
      <c r="D55" s="1216" t="s">
        <v>32</v>
      </c>
      <c r="E55" s="1216"/>
      <c r="F55" s="1216"/>
      <c r="G55" s="1216"/>
      <c r="H55" s="1211" t="s">
        <v>33</v>
      </c>
      <c r="I55" s="1211" t="s">
        <v>47</v>
      </c>
      <c r="J55" s="1602" t="s">
        <v>286</v>
      </c>
      <c r="K55" s="709"/>
      <c r="L55" s="710" t="e">
        <f>IF(OR(S55=#REF!,S55=#REF!,S55=#REF!,S55=#REF!,S55=#REF!,S55=#REF!,S55=#REF!,S55=#REF!),12,IF(OR(S55=#REF!,S55=#REF!,S55=#REF!,S55=#REF!,S55=#REF!,S55=#REF!,S55=#REF!),3,IF(S55=#REF!,1,IF(S55=#REF!,18,IF(OR(S55=#REF!,S55=#REF!,S55=#REF!,S55=#REF!,S55=#REF!),14,"Invalid proposed procurement method")))))</f>
        <v>#REF!</v>
      </c>
      <c r="M55" s="1232" t="str">
        <f>IFERROR(EDATE($N55,-3),"Invalid procurement method or date entered")</f>
        <v>Invalid procurement method or date entered</v>
      </c>
      <c r="N55" s="1232" t="str">
        <f t="shared" si="5"/>
        <v>Invalid procurement method or date entered</v>
      </c>
      <c r="O55" s="1232">
        <v>44727</v>
      </c>
      <c r="P55" s="1216">
        <v>36</v>
      </c>
      <c r="Q55" s="1216">
        <v>36</v>
      </c>
      <c r="R55" s="1820">
        <v>120000</v>
      </c>
      <c r="S55" s="1216" t="s">
        <v>84</v>
      </c>
      <c r="T55" s="1216" t="s">
        <v>38</v>
      </c>
      <c r="U55" s="1209" t="s">
        <v>238</v>
      </c>
      <c r="V55" s="1209"/>
      <c r="W55" s="1211" t="s">
        <v>287</v>
      </c>
      <c r="X55" s="1868" t="s">
        <v>189</v>
      </c>
      <c r="Y55" s="1868" t="s">
        <v>40</v>
      </c>
      <c r="Z55" s="1868" t="s">
        <v>154</v>
      </c>
      <c r="AA55" s="1868" t="s">
        <v>70</v>
      </c>
      <c r="AB55" s="1900">
        <v>44739</v>
      </c>
      <c r="AC55" s="1862" t="s">
        <v>288</v>
      </c>
      <c r="AD55" s="1868" t="s">
        <v>240</v>
      </c>
      <c r="AE55" s="1939">
        <v>40000</v>
      </c>
      <c r="AF55">
        <f t="shared" ca="1" si="0"/>
        <v>569</v>
      </c>
      <c r="AG55" s="1217"/>
    </row>
    <row r="56" spans="1:33" ht="101.5">
      <c r="A56" s="2754"/>
      <c r="B56" s="2755" t="s">
        <v>44</v>
      </c>
      <c r="C56" s="4" t="s">
        <v>45</v>
      </c>
      <c r="D56" s="2751" t="s">
        <v>32</v>
      </c>
      <c r="E56" s="2751"/>
      <c r="F56" s="2751"/>
      <c r="G56" s="2751"/>
      <c r="H56" s="5" t="s">
        <v>65</v>
      </c>
      <c r="I56" s="2751" t="s">
        <v>47</v>
      </c>
      <c r="J56" s="2752" t="s">
        <v>66</v>
      </c>
      <c r="K56" s="2758"/>
      <c r="L56" s="5" t="e">
        <f>IF(OR(S56=#REF!,S56=#REF!,S56=#REF!,S56=#REF!,S56=#REF!,S56=#REF!,S56=#REF!,S56=#REF!),12,IF(OR(S56=#REF!,S56=#REF!,S56=#REF!,S56=#REF!,S56=#REF!,S56=#REF!,S56=#REF!),3,IF(S56=#REF!,1,IF(S56=#REF!,18,IF(OR(S56=#REF!,S56=#REF!,S56=#REF!,S56=#REF!,S56=#REF!),14,"Invalid proposed procurement method")))))</f>
        <v>#REF!</v>
      </c>
      <c r="M56" s="199">
        <v>44287</v>
      </c>
      <c r="N56" s="199" t="str">
        <f t="shared" si="5"/>
        <v>Invalid procurement method or date entered</v>
      </c>
      <c r="O56" s="2759">
        <v>44652</v>
      </c>
      <c r="P56" s="12">
        <v>12</v>
      </c>
      <c r="Q56" s="2751">
        <v>12</v>
      </c>
      <c r="R56" s="18">
        <v>25000</v>
      </c>
      <c r="S56" s="199" t="s">
        <v>37</v>
      </c>
      <c r="T56" s="5" t="s">
        <v>38</v>
      </c>
      <c r="U56" s="14" t="s">
        <v>67</v>
      </c>
      <c r="V56" s="2350"/>
      <c r="W56" s="80" t="s">
        <v>68</v>
      </c>
      <c r="X56" s="1076" t="s">
        <v>289</v>
      </c>
      <c r="Y56" s="2760" t="s">
        <v>290</v>
      </c>
      <c r="Z56" s="80" t="s">
        <v>69</v>
      </c>
      <c r="AA56" s="80" t="s">
        <v>70</v>
      </c>
      <c r="AB56" s="354" t="s">
        <v>224</v>
      </c>
      <c r="AC56" s="2761" t="s">
        <v>291</v>
      </c>
      <c r="AD56" s="76" t="s">
        <v>73</v>
      </c>
      <c r="AE56" s="339"/>
      <c r="AF56" t="str">
        <f t="shared" ca="1" si="0"/>
        <v>N/A</v>
      </c>
    </row>
    <row r="57" spans="1:33" ht="58">
      <c r="A57" s="2754"/>
      <c r="B57" s="2755" t="s">
        <v>44</v>
      </c>
      <c r="C57" s="4" t="s">
        <v>45</v>
      </c>
      <c r="D57" s="5" t="s">
        <v>32</v>
      </c>
      <c r="E57" s="5"/>
      <c r="F57" s="5"/>
      <c r="G57" s="5"/>
      <c r="H57" s="5" t="s">
        <v>127</v>
      </c>
      <c r="I57" s="5" t="s">
        <v>34</v>
      </c>
      <c r="J57" s="16" t="s">
        <v>292</v>
      </c>
      <c r="K57" s="8"/>
      <c r="L57" s="5" t="e">
        <f>IF(OR(S57=#REF!,S57=#REF!,S57=#REF!,S57=#REF!,S57=#REF!,S57=#REF!,S57=#REF!,S57=#REF!),12,IF(OR(S57=#REF!,S57=#REF!,S57=#REF!,S57=#REF!,S57=#REF!,S57=#REF!,S57=#REF!),3,IF(S57=#REF!,1,IF(S57=#REF!,18,IF(OR(S57=#REF!,S57=#REF!,S57=#REF!,S57=#REF!,S57=#REF!),14,"Invalid proposed procurement method")))))</f>
        <v>#REF!</v>
      </c>
      <c r="M57" s="199" t="str">
        <f>IFERROR(EDATE($N57,-3),"Invalid procurement method or date entered")</f>
        <v>Invalid procurement method or date entered</v>
      </c>
      <c r="N57" s="199" t="str">
        <f t="shared" si="5"/>
        <v>Invalid procurement method or date entered</v>
      </c>
      <c r="O57" s="199">
        <v>44743</v>
      </c>
      <c r="P57" s="5">
        <v>72</v>
      </c>
      <c r="Q57" s="5" t="s">
        <v>293</v>
      </c>
      <c r="R57" s="18">
        <v>18000</v>
      </c>
      <c r="S57" s="5" t="s">
        <v>130</v>
      </c>
      <c r="T57" s="5" t="s">
        <v>38</v>
      </c>
      <c r="U57" s="12" t="s">
        <v>67</v>
      </c>
      <c r="V57" s="12"/>
      <c r="W57" s="5" t="s">
        <v>294</v>
      </c>
      <c r="X57" s="80" t="s">
        <v>39</v>
      </c>
      <c r="Y57" s="80" t="s">
        <v>40</v>
      </c>
      <c r="Z57" s="80" t="s">
        <v>154</v>
      </c>
      <c r="AA57" s="80" t="s">
        <v>70</v>
      </c>
      <c r="AB57" s="354" t="s">
        <v>224</v>
      </c>
      <c r="AC57" s="1117" t="s">
        <v>295</v>
      </c>
      <c r="AD57" s="76" t="s">
        <v>127</v>
      </c>
      <c r="AE57" s="1136"/>
      <c r="AF57" t="str">
        <f t="shared" ca="1" si="0"/>
        <v>N/A</v>
      </c>
    </row>
    <row r="58" spans="1:33" ht="58">
      <c r="A58" s="1184"/>
      <c r="B58" s="200" t="s">
        <v>100</v>
      </c>
      <c r="C58" s="200" t="s">
        <v>45</v>
      </c>
      <c r="D58" s="8" t="s">
        <v>110</v>
      </c>
      <c r="E58" s="8"/>
      <c r="F58" s="8"/>
      <c r="G58" s="8"/>
      <c r="H58" s="16" t="s">
        <v>116</v>
      </c>
      <c r="I58" s="16" t="s">
        <v>34</v>
      </c>
      <c r="J58" s="16" t="s">
        <v>296</v>
      </c>
      <c r="K58" s="8"/>
      <c r="L58" s="5">
        <v>12</v>
      </c>
      <c r="M58" s="199">
        <f>IFERROR(EDATE(N58,-3),"Invalid procurement method or date entered")</f>
        <v>44287</v>
      </c>
      <c r="N58" s="149">
        <f t="shared" si="5"/>
        <v>44378</v>
      </c>
      <c r="O58" s="367">
        <v>44743</v>
      </c>
      <c r="P58" s="368">
        <v>78</v>
      </c>
      <c r="Q58" s="71" t="s">
        <v>297</v>
      </c>
      <c r="R58" s="159">
        <v>2213251</v>
      </c>
      <c r="S58" s="159" t="s">
        <v>130</v>
      </c>
      <c r="T58" s="395" t="s">
        <v>70</v>
      </c>
      <c r="U58" s="395" t="s">
        <v>298</v>
      </c>
      <c r="V58" s="395"/>
      <c r="W58" s="8" t="s">
        <v>119</v>
      </c>
      <c r="X58" s="111" t="s">
        <v>120</v>
      </c>
      <c r="Y58" s="111" t="s">
        <v>115</v>
      </c>
      <c r="Z58" s="111"/>
      <c r="AA58" s="1091" t="s">
        <v>87</v>
      </c>
      <c r="AB58" s="1101" t="s">
        <v>70</v>
      </c>
      <c r="AC58" s="432">
        <v>44690</v>
      </c>
      <c r="AD58" s="432"/>
      <c r="AE58" s="432"/>
      <c r="AF58" t="str">
        <f t="shared" ca="1" si="0"/>
        <v>N/A</v>
      </c>
    </row>
    <row r="59" spans="1:33" ht="39">
      <c r="A59" s="911" t="s">
        <v>71</v>
      </c>
      <c r="B59" s="695" t="s">
        <v>44</v>
      </c>
      <c r="C59" s="738" t="s">
        <v>45</v>
      </c>
      <c r="D59" s="710" t="s">
        <v>32</v>
      </c>
      <c r="E59" s="710"/>
      <c r="F59" s="710"/>
      <c r="G59" s="710"/>
      <c r="H59" s="709" t="s">
        <v>33</v>
      </c>
      <c r="I59" s="709" t="s">
        <v>47</v>
      </c>
      <c r="J59" s="1602" t="s">
        <v>299</v>
      </c>
      <c r="K59" s="709" t="s">
        <v>300</v>
      </c>
      <c r="L59" s="710">
        <v>13</v>
      </c>
      <c r="M59" s="711">
        <f>IFERROR(EDATE($N59,-3),"Invalid procurement method or date entered")</f>
        <v>44287</v>
      </c>
      <c r="N59" s="711">
        <f t="shared" si="5"/>
        <v>44378</v>
      </c>
      <c r="O59" s="770">
        <v>44774</v>
      </c>
      <c r="P59" s="738">
        <v>48</v>
      </c>
      <c r="Q59" s="738" t="s">
        <v>215</v>
      </c>
      <c r="R59" s="772">
        <v>751406.25</v>
      </c>
      <c r="S59" s="710" t="s">
        <v>84</v>
      </c>
      <c r="T59" s="710" t="s">
        <v>70</v>
      </c>
      <c r="U59" s="770">
        <v>44733</v>
      </c>
      <c r="V59" s="770"/>
      <c r="W59" s="709" t="s">
        <v>301</v>
      </c>
      <c r="X59" s="843" t="s">
        <v>254</v>
      </c>
      <c r="Y59" s="843" t="s">
        <v>40</v>
      </c>
      <c r="Z59" s="843" t="s">
        <v>154</v>
      </c>
      <c r="AA59" s="843" t="s">
        <v>70</v>
      </c>
      <c r="AB59" s="956" t="s">
        <v>302</v>
      </c>
      <c r="AC59" s="945" t="s">
        <v>303</v>
      </c>
      <c r="AD59" s="843" t="s">
        <v>164</v>
      </c>
      <c r="AE59" s="806"/>
      <c r="AF59" t="str">
        <f t="shared" ca="1" si="0"/>
        <v>N/A</v>
      </c>
    </row>
    <row r="60" spans="1:33" ht="101.5">
      <c r="A60" s="2754"/>
      <c r="B60" s="2755" t="s">
        <v>44</v>
      </c>
      <c r="C60" s="4" t="s">
        <v>45</v>
      </c>
      <c r="D60" s="9" t="s">
        <v>32</v>
      </c>
      <c r="E60" s="9"/>
      <c r="F60" s="9"/>
      <c r="G60" s="9"/>
      <c r="H60" s="9" t="s">
        <v>304</v>
      </c>
      <c r="I60" s="9" t="s">
        <v>47</v>
      </c>
      <c r="J60" s="16" t="s">
        <v>305</v>
      </c>
      <c r="K60" s="16"/>
      <c r="L60" s="5">
        <v>12</v>
      </c>
      <c r="M60" s="199">
        <v>44292</v>
      </c>
      <c r="N60" s="199">
        <v>44353</v>
      </c>
      <c r="O60" s="182">
        <v>44713</v>
      </c>
      <c r="P60" s="12">
        <v>22</v>
      </c>
      <c r="Q60" s="12">
        <v>22</v>
      </c>
      <c r="R60" s="214">
        <v>36000</v>
      </c>
      <c r="S60" s="2751" t="s">
        <v>270</v>
      </c>
      <c r="T60" s="5" t="s">
        <v>38</v>
      </c>
      <c r="U60" s="14" t="s">
        <v>67</v>
      </c>
      <c r="V60" s="2350"/>
      <c r="W60" s="80" t="s">
        <v>306</v>
      </c>
      <c r="X60" s="80" t="s">
        <v>162</v>
      </c>
      <c r="Y60" s="80" t="s">
        <v>40</v>
      </c>
      <c r="Z60" s="80" t="s">
        <v>154</v>
      </c>
      <c r="AA60" s="80" t="s">
        <v>70</v>
      </c>
      <c r="AB60" s="354">
        <v>44694</v>
      </c>
      <c r="AC60" s="101" t="s">
        <v>307</v>
      </c>
      <c r="AD60" s="76"/>
      <c r="AE60" s="1132"/>
      <c r="AF60">
        <f t="shared" ca="1" si="0"/>
        <v>614</v>
      </c>
    </row>
    <row r="61" spans="1:33" ht="101.5">
      <c r="A61" s="2754"/>
      <c r="B61" s="2755" t="s">
        <v>44</v>
      </c>
      <c r="C61" s="4" t="s">
        <v>45</v>
      </c>
      <c r="D61" s="9" t="s">
        <v>32</v>
      </c>
      <c r="E61" s="9"/>
      <c r="F61" s="9"/>
      <c r="G61" s="9"/>
      <c r="H61" s="9" t="s">
        <v>304</v>
      </c>
      <c r="I61" s="9" t="s">
        <v>47</v>
      </c>
      <c r="J61" s="268" t="s">
        <v>305</v>
      </c>
      <c r="K61" s="268"/>
      <c r="L61" s="5">
        <v>12</v>
      </c>
      <c r="M61" s="199">
        <v>44292</v>
      </c>
      <c r="N61" s="199">
        <v>44353</v>
      </c>
      <c r="O61" s="182">
        <v>44713</v>
      </c>
      <c r="P61" s="12">
        <v>22</v>
      </c>
      <c r="Q61" s="12">
        <v>22</v>
      </c>
      <c r="R61" s="214">
        <v>36000</v>
      </c>
      <c r="S61" s="2751" t="s">
        <v>270</v>
      </c>
      <c r="T61" s="5" t="s">
        <v>38</v>
      </c>
      <c r="U61" s="14" t="s">
        <v>67</v>
      </c>
      <c r="V61" s="14"/>
      <c r="W61" s="5" t="s">
        <v>306</v>
      </c>
      <c r="X61" s="80" t="s">
        <v>162</v>
      </c>
      <c r="Y61" s="80" t="s">
        <v>40</v>
      </c>
      <c r="Z61" s="80" t="s">
        <v>154</v>
      </c>
      <c r="AA61" s="80" t="s">
        <v>70</v>
      </c>
      <c r="AB61" s="354">
        <v>44694</v>
      </c>
      <c r="AC61" s="101" t="s">
        <v>307</v>
      </c>
      <c r="AD61" s="76"/>
      <c r="AE61" s="1132"/>
      <c r="AF61">
        <f t="shared" ca="1" si="0"/>
        <v>614</v>
      </c>
    </row>
    <row r="62" spans="1:33" ht="351">
      <c r="A62" s="911"/>
      <c r="B62" s="726" t="s">
        <v>56</v>
      </c>
      <c r="C62" s="726" t="s">
        <v>60</v>
      </c>
      <c r="D62" s="730" t="s">
        <v>32</v>
      </c>
      <c r="E62" s="730"/>
      <c r="F62" s="730"/>
      <c r="G62" s="730"/>
      <c r="H62" s="730" t="s">
        <v>308</v>
      </c>
      <c r="I62" s="710" t="s">
        <v>47</v>
      </c>
      <c r="J62" s="1608" t="s">
        <v>309</v>
      </c>
      <c r="K62" s="710"/>
      <c r="L62" s="730">
        <v>14</v>
      </c>
      <c r="M62" s="731">
        <f>IF(O62="tbc","",(IFERROR(EDATE($N62,-3),"Invalid procurement method or date entered")))</f>
        <v>44293</v>
      </c>
      <c r="N62" s="712">
        <f>IF(O62="tbc","",(IFERROR(EDATE(O62,-L62),"Invalid procurement method or date entered")))</f>
        <v>44384</v>
      </c>
      <c r="O62" s="711">
        <v>44811</v>
      </c>
      <c r="P62" s="893">
        <v>12</v>
      </c>
      <c r="Q62" s="893">
        <v>12</v>
      </c>
      <c r="R62" s="772">
        <v>21000000</v>
      </c>
      <c r="S62" s="711" t="s">
        <v>60</v>
      </c>
      <c r="T62" s="711" t="s">
        <v>310</v>
      </c>
      <c r="U62" s="711" t="s">
        <v>60</v>
      </c>
      <c r="V62" s="711"/>
      <c r="W62" s="710" t="s">
        <v>311</v>
      </c>
      <c r="X62" s="1502" t="s">
        <v>312</v>
      </c>
      <c r="Y62" s="900" t="s">
        <v>40</v>
      </c>
      <c r="Z62" s="900" t="s">
        <v>69</v>
      </c>
      <c r="AA62" s="889" t="s">
        <v>70</v>
      </c>
      <c r="AB62" s="1902">
        <v>44910</v>
      </c>
      <c r="AC62" s="1921" t="s">
        <v>313</v>
      </c>
      <c r="AD62" s="919"/>
      <c r="AE62" s="919"/>
      <c r="AF62">
        <f t="shared" ca="1" si="0"/>
        <v>398</v>
      </c>
      <c r="AG62" s="906"/>
    </row>
    <row r="63" spans="1:33" ht="58">
      <c r="A63" s="2754"/>
      <c r="B63" s="2755" t="s">
        <v>44</v>
      </c>
      <c r="C63" s="2770" t="s">
        <v>314</v>
      </c>
      <c r="D63" s="9" t="s">
        <v>32</v>
      </c>
      <c r="E63" s="9"/>
      <c r="F63" s="9"/>
      <c r="G63" s="9"/>
      <c r="H63" s="5" t="s">
        <v>33</v>
      </c>
      <c r="I63" s="5" t="s">
        <v>34</v>
      </c>
      <c r="J63" s="16" t="s">
        <v>315</v>
      </c>
      <c r="K63" s="8"/>
      <c r="L63" s="5" t="e">
        <f>IF(OR(S63=#REF!,S63=#REF!,S63=#REF!,S63=#REF!,S63=#REF!,S63=#REF!,S63=#REF!,S63=#REF!),12,IF(OR(S63=#REF!,S63=#REF!,S63=#REF!,S63=#REF!,S63=#REF!,S63=#REF!,S63=#REF!),3,IF(S63=#REF!,1,IF(S63=#REF!,18,IF(OR(S63=#REF!,S63=#REF!,S63=#REF!,S63=#REF!,S63=#REF!),14,"Invalid proposed procurement method")))))</f>
        <v>#REF!</v>
      </c>
      <c r="M63" s="199" t="str">
        <f>IFERROR(EDATE($N63,-3),"Invalid procurement method or date entered")</f>
        <v>Invalid procurement method or date entered</v>
      </c>
      <c r="N63" s="199" t="str">
        <f t="shared" ref="N63:N70" si="6">IFERROR(EDATE(O63,-L63),"Invalid procurement method or date entered")</f>
        <v>Invalid procurement method or date entered</v>
      </c>
      <c r="O63" s="199">
        <v>44758</v>
      </c>
      <c r="P63" s="12">
        <v>48</v>
      </c>
      <c r="Q63" s="5" t="s">
        <v>316</v>
      </c>
      <c r="R63" s="18">
        <v>15696</v>
      </c>
      <c r="S63" s="5" t="s">
        <v>130</v>
      </c>
      <c r="T63" s="11" t="s">
        <v>38</v>
      </c>
      <c r="U63" s="15" t="s">
        <v>67</v>
      </c>
      <c r="V63" s="15"/>
      <c r="W63" s="5" t="s">
        <v>153</v>
      </c>
      <c r="X63" s="80" t="s">
        <v>39</v>
      </c>
      <c r="Y63" s="80" t="s">
        <v>40</v>
      </c>
      <c r="Z63" s="80" t="s">
        <v>87</v>
      </c>
      <c r="AA63" s="80" t="s">
        <v>70</v>
      </c>
      <c r="AB63" s="354" t="s">
        <v>224</v>
      </c>
      <c r="AC63" s="1111" t="s">
        <v>317</v>
      </c>
      <c r="AD63" s="80" t="s">
        <v>164</v>
      </c>
      <c r="AE63" s="1131">
        <v>3924</v>
      </c>
      <c r="AF63" t="str">
        <f t="shared" ca="1" si="0"/>
        <v>N/A</v>
      </c>
    </row>
    <row r="64" spans="1:33" ht="58">
      <c r="A64" s="1184"/>
      <c r="B64" s="2757"/>
      <c r="C64" s="4" t="s">
        <v>318</v>
      </c>
      <c r="D64" s="5" t="s">
        <v>32</v>
      </c>
      <c r="E64" s="5"/>
      <c r="F64" s="5"/>
      <c r="G64" s="5"/>
      <c r="H64" s="5" t="s">
        <v>33</v>
      </c>
      <c r="I64" s="5" t="s">
        <v>34</v>
      </c>
      <c r="J64" s="16" t="s">
        <v>319</v>
      </c>
      <c r="K64" s="8"/>
      <c r="L64" s="5" t="e">
        <f>IF(OR(S64=#REF!,S64=#REF!,S64=#REF!,S64=#REF!,S64=#REF!,S64=#REF!,S64=#REF!,S64=#REF!),12,IF(OR(S64=#REF!,S64=#REF!,S64=#REF!,S64=#REF!,S64=#REF!,S64=#REF!,S64=#REF!),3,IF(S64=#REF!,1,IF(S64=#REF!,18,IF(OR(S64=#REF!,S64=#REF!,S64=#REF!,S64=#REF!,S64=#REF!),14,"Invalid proposed procurement method")))))</f>
        <v>#REF!</v>
      </c>
      <c r="M64" s="199" t="str">
        <f>IFERROR(EDATE($N64,-3),"Invalid procurement method or date entered")</f>
        <v>Invalid procurement method or date entered</v>
      </c>
      <c r="N64" s="199" t="str">
        <f t="shared" si="6"/>
        <v>Invalid procurement method or date entered</v>
      </c>
      <c r="O64" s="199">
        <v>44774</v>
      </c>
      <c r="P64" s="5">
        <v>48</v>
      </c>
      <c r="Q64" s="5" t="s">
        <v>141</v>
      </c>
      <c r="R64" s="245">
        <v>67000</v>
      </c>
      <c r="S64" s="5" t="s">
        <v>130</v>
      </c>
      <c r="T64" s="11" t="s">
        <v>62</v>
      </c>
      <c r="U64" s="12" t="s">
        <v>67</v>
      </c>
      <c r="V64" s="12"/>
      <c r="W64" s="5" t="s">
        <v>320</v>
      </c>
      <c r="X64" s="80" t="s">
        <v>39</v>
      </c>
      <c r="Y64" s="80" t="s">
        <v>40</v>
      </c>
      <c r="Z64" s="80" t="s">
        <v>154</v>
      </c>
      <c r="AA64" s="80" t="s">
        <v>70</v>
      </c>
      <c r="AB64" s="354" t="s">
        <v>143</v>
      </c>
      <c r="AC64" s="1110" t="s">
        <v>321</v>
      </c>
      <c r="AD64" s="80" t="s">
        <v>220</v>
      </c>
      <c r="AE64" s="211"/>
      <c r="AF64" t="str">
        <f t="shared" ca="1" si="0"/>
        <v>N/A</v>
      </c>
    </row>
    <row r="65" spans="1:33" ht="43.5">
      <c r="A65" s="2756"/>
      <c r="B65" s="2757"/>
      <c r="C65" s="4" t="s">
        <v>322</v>
      </c>
      <c r="D65" s="9" t="s">
        <v>32</v>
      </c>
      <c r="E65" s="9"/>
      <c r="F65" s="9"/>
      <c r="G65" s="9"/>
      <c r="H65" s="5" t="s">
        <v>323</v>
      </c>
      <c r="I65" s="272" t="s">
        <v>34</v>
      </c>
      <c r="J65" s="16" t="s">
        <v>324</v>
      </c>
      <c r="K65" s="8"/>
      <c r="L65" s="5">
        <v>12</v>
      </c>
      <c r="M65" s="199">
        <f>IFERROR(EDATE($N65,-3),"Invalid procurement method or date entered")</f>
        <v>44317</v>
      </c>
      <c r="N65" s="199">
        <f t="shared" si="6"/>
        <v>44409</v>
      </c>
      <c r="O65" s="199">
        <v>44774</v>
      </c>
      <c r="P65" s="5">
        <v>48</v>
      </c>
      <c r="Q65" s="5" t="s">
        <v>325</v>
      </c>
      <c r="R65" s="85">
        <v>360000</v>
      </c>
      <c r="S65" s="5" t="s">
        <v>130</v>
      </c>
      <c r="T65" s="11" t="s">
        <v>38</v>
      </c>
      <c r="U65" s="15" t="s">
        <v>67</v>
      </c>
      <c r="V65" s="15"/>
      <c r="W65" s="5" t="s">
        <v>326</v>
      </c>
      <c r="X65" s="80" t="s">
        <v>283</v>
      </c>
      <c r="Y65" s="80" t="s">
        <v>40</v>
      </c>
      <c r="Z65" s="80" t="s">
        <v>154</v>
      </c>
      <c r="AA65" s="80" t="s">
        <v>70</v>
      </c>
      <c r="AB65" s="354" t="s">
        <v>143</v>
      </c>
      <c r="AC65" s="1110" t="s">
        <v>327</v>
      </c>
      <c r="AD65" s="80" t="s">
        <v>285</v>
      </c>
      <c r="AE65" s="1132">
        <v>90000</v>
      </c>
      <c r="AF65" t="str">
        <f t="shared" ca="1" si="0"/>
        <v>N/A</v>
      </c>
    </row>
    <row r="66" spans="1:33" ht="39">
      <c r="A66" s="911" t="s">
        <v>71</v>
      </c>
      <c r="B66" s="707" t="s">
        <v>100</v>
      </c>
      <c r="C66" s="707" t="s">
        <v>45</v>
      </c>
      <c r="D66" s="710" t="s">
        <v>122</v>
      </c>
      <c r="E66" s="710"/>
      <c r="F66" s="710"/>
      <c r="G66" s="710"/>
      <c r="H66" s="709" t="s">
        <v>103</v>
      </c>
      <c r="I66" s="709" t="s">
        <v>34</v>
      </c>
      <c r="J66" s="1608" t="s">
        <v>328</v>
      </c>
      <c r="K66" s="709" t="s">
        <v>329</v>
      </c>
      <c r="L66" s="710">
        <v>12</v>
      </c>
      <c r="M66" s="711">
        <f>IFERROR(EDATE(N66,-3),"Invalid procurement method or date entered")</f>
        <v>44317</v>
      </c>
      <c r="N66" s="712">
        <f t="shared" si="6"/>
        <v>44409</v>
      </c>
      <c r="O66" s="713">
        <v>44774</v>
      </c>
      <c r="P66" s="707">
        <v>48</v>
      </c>
      <c r="Q66" s="777" t="s">
        <v>330</v>
      </c>
      <c r="R66" s="772" t="s">
        <v>45</v>
      </c>
      <c r="S66" s="758" t="s">
        <v>45</v>
      </c>
      <c r="T66" s="1060" t="s">
        <v>70</v>
      </c>
      <c r="U66" s="1069">
        <v>44692</v>
      </c>
      <c r="V66" s="1069"/>
      <c r="W66" s="709" t="s">
        <v>331</v>
      </c>
      <c r="X66" s="843" t="s">
        <v>39</v>
      </c>
      <c r="Y66" s="843" t="s">
        <v>40</v>
      </c>
      <c r="Z66" s="843" t="s">
        <v>87</v>
      </c>
      <c r="AA66" s="1092" t="s">
        <v>70</v>
      </c>
      <c r="AB66" s="1102">
        <v>44795</v>
      </c>
      <c r="AC66" s="1115" t="s">
        <v>332</v>
      </c>
      <c r="AD66" s="922"/>
      <c r="AE66" s="922"/>
      <c r="AF66">
        <f t="shared" ref="AF66:AF129" ca="1" si="7">IFERROR(TODAY()-AB66,"N/A")</f>
        <v>513</v>
      </c>
    </row>
    <row r="67" spans="1:33" ht="52">
      <c r="A67" s="1244" t="s">
        <v>67</v>
      </c>
      <c r="B67" s="695" t="s">
        <v>44</v>
      </c>
      <c r="C67" s="738" t="s">
        <v>45</v>
      </c>
      <c r="D67" s="808" t="s">
        <v>32</v>
      </c>
      <c r="E67" s="808"/>
      <c r="F67" s="808"/>
      <c r="G67" s="808"/>
      <c r="H67" s="781" t="s">
        <v>33</v>
      </c>
      <c r="I67" s="781" t="s">
        <v>268</v>
      </c>
      <c r="J67" s="1602" t="s">
        <v>333</v>
      </c>
      <c r="K67" s="811" t="s">
        <v>334</v>
      </c>
      <c r="L67" s="710" t="e">
        <f>IF(OR(S67=#REF!,S67=#REF!,S67=#REF!,S67=#REF!,S67=#REF!,S67=#REF!,S67=#REF!,S67=#REF!),12,IF(OR(S67=#REF!,S67=#REF!,S67=#REF!,S67=#REF!,S67=#REF!,S67=#REF!,S67=#REF!),3,IF(S67=#REF!,1,IF(S67=#REF!,18,IF(OR(S67=#REF!,S67=#REF!,S67=#REF!,S67=#REF!,S67=#REF!),14,"Invalid proposed procurement method")))))</f>
        <v>#REF!</v>
      </c>
      <c r="M67" s="769" t="str">
        <f>IFERROR(EDATE($N67,-3),"Invalid procurement method or date entered")</f>
        <v>Invalid procurement method or date entered</v>
      </c>
      <c r="N67" s="769" t="str">
        <f t="shared" si="6"/>
        <v>Invalid procurement method or date entered</v>
      </c>
      <c r="O67" s="1237">
        <v>44774</v>
      </c>
      <c r="P67" s="838" t="s">
        <v>45</v>
      </c>
      <c r="Q67" s="1790" t="s">
        <v>335</v>
      </c>
      <c r="R67" s="772">
        <v>170000</v>
      </c>
      <c r="S67" s="808" t="s">
        <v>84</v>
      </c>
      <c r="T67" s="710" t="s">
        <v>62</v>
      </c>
      <c r="U67" s="738" t="s">
        <v>67</v>
      </c>
      <c r="V67" s="738"/>
      <c r="W67" s="781" t="s">
        <v>142</v>
      </c>
      <c r="X67" s="843" t="s">
        <v>283</v>
      </c>
      <c r="Y67" s="843" t="s">
        <v>40</v>
      </c>
      <c r="Z67" s="843" t="s">
        <v>69</v>
      </c>
      <c r="AA67" s="843" t="s">
        <v>70</v>
      </c>
      <c r="AB67" s="1894" t="s">
        <v>336</v>
      </c>
      <c r="AC67" s="1121" t="s">
        <v>337</v>
      </c>
      <c r="AD67" s="843" t="s">
        <v>145</v>
      </c>
      <c r="AE67" s="806"/>
      <c r="AF67" t="str">
        <f t="shared" ca="1" si="7"/>
        <v>N/A</v>
      </c>
      <c r="AG67" s="906"/>
    </row>
    <row r="68" spans="1:33" ht="58">
      <c r="A68" s="1184"/>
      <c r="B68" s="2755" t="s">
        <v>44</v>
      </c>
      <c r="C68" s="4" t="s">
        <v>338</v>
      </c>
      <c r="D68" s="9" t="s">
        <v>57</v>
      </c>
      <c r="E68" s="9"/>
      <c r="F68" s="9"/>
      <c r="G68" s="9"/>
      <c r="H68" s="5" t="s">
        <v>33</v>
      </c>
      <c r="I68" s="5" t="s">
        <v>47</v>
      </c>
      <c r="J68" s="16" t="s">
        <v>339</v>
      </c>
      <c r="K68" s="16"/>
      <c r="L68" s="5" t="e">
        <f>IF(OR(S68=#REF!,S68=#REF!,S68=#REF!,S68=#REF!,S68=#REF!,S68=#REF!,S68=#REF!,S68=#REF!),12,IF(OR(S68=#REF!,S68=#REF!,S68=#REF!,S68=#REF!,S68=#REF!,S68=#REF!,S68=#REF!),3,IF(S68=#REF!,1,IF(S68=#REF!,18,IF(OR(S68=#REF!,S68=#REF!,S68=#REF!,S68=#REF!,S68=#REF!),14,"Invalid proposed procurement method")))))</f>
        <v>#REF!</v>
      </c>
      <c r="M68" s="199" t="str">
        <f>IFERROR(EDATE($N68,-3),"Invalid procurement method or date entered")</f>
        <v>Invalid procurement method or date entered</v>
      </c>
      <c r="N68" s="199" t="str">
        <f t="shared" si="6"/>
        <v>Invalid procurement method or date entered</v>
      </c>
      <c r="O68" s="199">
        <v>44803</v>
      </c>
      <c r="P68" s="12">
        <v>36</v>
      </c>
      <c r="Q68" s="12">
        <v>36</v>
      </c>
      <c r="R68" s="18">
        <v>45000</v>
      </c>
      <c r="S68" s="5" t="s">
        <v>84</v>
      </c>
      <c r="T68" s="9" t="s">
        <v>38</v>
      </c>
      <c r="U68" s="15" t="s">
        <v>67</v>
      </c>
      <c r="V68" s="15"/>
      <c r="W68" s="5" t="s">
        <v>340</v>
      </c>
      <c r="X68" s="80" t="s">
        <v>162</v>
      </c>
      <c r="Y68" s="80" t="s">
        <v>40</v>
      </c>
      <c r="Z68" s="80" t="s">
        <v>154</v>
      </c>
      <c r="AA68" s="80" t="s">
        <v>70</v>
      </c>
      <c r="AB68" s="354">
        <v>44763</v>
      </c>
      <c r="AC68" s="101" t="s">
        <v>341</v>
      </c>
      <c r="AD68" s="80" t="s">
        <v>96</v>
      </c>
      <c r="AE68" s="339">
        <v>45000</v>
      </c>
      <c r="AF68">
        <f t="shared" ca="1" si="7"/>
        <v>545</v>
      </c>
    </row>
    <row r="69" spans="1:33" ht="58">
      <c r="A69" s="2756"/>
      <c r="B69" s="2755" t="s">
        <v>44</v>
      </c>
      <c r="C69" s="4" t="s">
        <v>342</v>
      </c>
      <c r="D69" s="974" t="s">
        <v>32</v>
      </c>
      <c r="E69" s="974"/>
      <c r="F69" s="974"/>
      <c r="G69" s="974"/>
      <c r="H69" s="58" t="s">
        <v>33</v>
      </c>
      <c r="I69" s="58" t="s">
        <v>34</v>
      </c>
      <c r="J69" s="1978" t="s">
        <v>343</v>
      </c>
      <c r="K69" s="1978"/>
      <c r="L69" s="5" t="e">
        <f>IF(OR(S69=#REF!,S69=#REF!,S69=#REF!,S69=#REF!,S69=#REF!,S69=#REF!,S69=#REF!,S69=#REF!),12,IF(OR(S69=#REF!,S69=#REF!,S69=#REF!,S69=#REF!,S69=#REF!,S69=#REF!,S69=#REF!),3,IF(S69=#REF!,1,IF(S69=#REF!,18,IF(OR(S69=#REF!,S69=#REF!,S69=#REF!,S69=#REF!,S69=#REF!),14,"Invalid proposed procurement method")))))</f>
        <v>#REF!</v>
      </c>
      <c r="M69" s="199" t="str">
        <f>IFERROR(EDATE($N69,-3),"Invalid procurement method or date entered")</f>
        <v>Invalid procurement method or date entered</v>
      </c>
      <c r="N69" s="199" t="str">
        <f t="shared" si="6"/>
        <v>Invalid procurement method or date entered</v>
      </c>
      <c r="O69" s="221">
        <v>44805</v>
      </c>
      <c r="P69" s="202">
        <v>6</v>
      </c>
      <c r="Q69" s="203" t="s">
        <v>344</v>
      </c>
      <c r="R69" s="2054">
        <v>72000</v>
      </c>
      <c r="S69" s="58" t="s">
        <v>130</v>
      </c>
      <c r="T69" s="58" t="s">
        <v>62</v>
      </c>
      <c r="U69" s="12" t="s">
        <v>67</v>
      </c>
      <c r="V69" s="76"/>
      <c r="W69" s="80" t="s">
        <v>345</v>
      </c>
      <c r="X69" s="80" t="s">
        <v>86</v>
      </c>
      <c r="Y69" s="80" t="s">
        <v>40</v>
      </c>
      <c r="Z69" s="80" t="s">
        <v>69</v>
      </c>
      <c r="AA69" s="80" t="s">
        <v>70</v>
      </c>
      <c r="AB69" s="354" t="s">
        <v>88</v>
      </c>
      <c r="AC69" s="101" t="s">
        <v>89</v>
      </c>
      <c r="AD69" s="80" t="s">
        <v>145</v>
      </c>
      <c r="AE69" s="211"/>
      <c r="AF69" t="str">
        <f t="shared" ca="1" si="7"/>
        <v>N/A</v>
      </c>
    </row>
    <row r="70" spans="1:33" ht="29">
      <c r="A70" s="1184"/>
      <c r="B70" s="362" t="s">
        <v>100</v>
      </c>
      <c r="C70" s="362"/>
      <c r="D70" s="8" t="s">
        <v>122</v>
      </c>
      <c r="E70" s="8"/>
      <c r="F70" s="8"/>
      <c r="G70" s="8"/>
      <c r="H70" s="8" t="s">
        <v>103</v>
      </c>
      <c r="I70" s="8" t="s">
        <v>34</v>
      </c>
      <c r="J70" s="16" t="s">
        <v>346</v>
      </c>
      <c r="K70" s="8"/>
      <c r="L70" s="84">
        <v>12</v>
      </c>
      <c r="M70" s="436">
        <f>IFERROR(EDATE(N70,-3),"Invalid procurement method or date entered")</f>
        <v>44348</v>
      </c>
      <c r="N70" s="386">
        <f t="shared" si="6"/>
        <v>44440</v>
      </c>
      <c r="O70" s="367">
        <v>44805</v>
      </c>
      <c r="P70" s="369">
        <v>60</v>
      </c>
      <c r="Q70" s="369" t="s">
        <v>187</v>
      </c>
      <c r="R70" s="159">
        <v>211200</v>
      </c>
      <c r="S70" s="159" t="s">
        <v>176</v>
      </c>
      <c r="T70" s="365" t="s">
        <v>38</v>
      </c>
      <c r="U70" s="365" t="s">
        <v>71</v>
      </c>
      <c r="V70" s="365"/>
      <c r="W70" s="8" t="s">
        <v>347</v>
      </c>
      <c r="X70" s="101" t="s">
        <v>189</v>
      </c>
      <c r="Y70" s="101" t="s">
        <v>115</v>
      </c>
      <c r="Z70" s="101"/>
      <c r="AA70" s="411" t="s">
        <v>69</v>
      </c>
      <c r="AB70" s="1099" t="s">
        <v>70</v>
      </c>
      <c r="AC70" s="354">
        <v>44428</v>
      </c>
      <c r="AD70" s="354"/>
      <c r="AE70" s="354"/>
      <c r="AF70" t="str">
        <f t="shared" ca="1" si="7"/>
        <v>N/A</v>
      </c>
    </row>
    <row r="71" spans="1:33" ht="390">
      <c r="A71" s="911"/>
      <c r="B71" s="726" t="s">
        <v>56</v>
      </c>
      <c r="C71" s="726" t="s">
        <v>60</v>
      </c>
      <c r="D71" s="730" t="s">
        <v>348</v>
      </c>
      <c r="E71" s="730"/>
      <c r="F71" s="730"/>
      <c r="G71" s="730"/>
      <c r="H71" s="728" t="s">
        <v>58</v>
      </c>
      <c r="I71" s="709" t="s">
        <v>47</v>
      </c>
      <c r="J71" s="1608" t="s">
        <v>349</v>
      </c>
      <c r="K71" s="709"/>
      <c r="L71" s="730">
        <v>12</v>
      </c>
      <c r="M71" s="731">
        <f>IF(O71="tbc","",(IFERROR(EDATE($N71,-3),"Invalid procurement method or date entered")))</f>
        <v>44348</v>
      </c>
      <c r="N71" s="712">
        <f>IF(O71="tbc","",(IFERROR(EDATE(O71,-L71),"Invalid procurement method or date entered")))</f>
        <v>44440</v>
      </c>
      <c r="O71" s="712">
        <v>44805</v>
      </c>
      <c r="P71" s="893">
        <f>4*12</f>
        <v>48</v>
      </c>
      <c r="Q71" s="893">
        <v>0</v>
      </c>
      <c r="R71" s="1472">
        <v>195000</v>
      </c>
      <c r="S71" s="858" t="s">
        <v>158</v>
      </c>
      <c r="T71" s="701" t="s">
        <v>310</v>
      </c>
      <c r="U71" s="711" t="s">
        <v>60</v>
      </c>
      <c r="V71" s="711"/>
      <c r="W71" s="709" t="s">
        <v>350</v>
      </c>
      <c r="X71" s="1502" t="s">
        <v>351</v>
      </c>
      <c r="Y71" s="900" t="s">
        <v>40</v>
      </c>
      <c r="Z71" s="1087" t="s">
        <v>69</v>
      </c>
      <c r="AA71" s="889" t="s">
        <v>70</v>
      </c>
      <c r="AB71" s="2262">
        <v>44797</v>
      </c>
      <c r="AC71" s="1512" t="s">
        <v>352</v>
      </c>
      <c r="AD71" s="922"/>
      <c r="AE71" s="922"/>
      <c r="AF71">
        <f t="shared" ca="1" si="7"/>
        <v>511</v>
      </c>
      <c r="AG71" s="906"/>
    </row>
    <row r="72" spans="1:33" ht="26">
      <c r="A72" s="889" t="s">
        <v>71</v>
      </c>
      <c r="B72" s="707" t="s">
        <v>100</v>
      </c>
      <c r="C72" s="707">
        <v>52084</v>
      </c>
      <c r="D72" s="710" t="s">
        <v>122</v>
      </c>
      <c r="E72" s="710"/>
      <c r="F72" s="710"/>
      <c r="G72" s="710"/>
      <c r="H72" s="710" t="s">
        <v>103</v>
      </c>
      <c r="I72" s="710" t="s">
        <v>47</v>
      </c>
      <c r="J72" s="1608" t="s">
        <v>353</v>
      </c>
      <c r="K72" s="710" t="s">
        <v>354</v>
      </c>
      <c r="L72" s="710">
        <v>12</v>
      </c>
      <c r="M72" s="711">
        <f>IFERROR(EDATE(N72,-3),"Invalid procurement method or date entered")</f>
        <v>44348</v>
      </c>
      <c r="N72" s="712">
        <f t="shared" ref="N72:N98" si="8">IFERROR(EDATE(O72,-L72),"Invalid procurement method or date entered")</f>
        <v>44440</v>
      </c>
      <c r="O72" s="713">
        <v>44805</v>
      </c>
      <c r="P72" s="777">
        <v>96</v>
      </c>
      <c r="Q72" s="777" t="s">
        <v>355</v>
      </c>
      <c r="R72" s="772">
        <v>285000</v>
      </c>
      <c r="S72" s="758" t="s">
        <v>91</v>
      </c>
      <c r="T72" s="710" t="s">
        <v>70</v>
      </c>
      <c r="U72" s="711" t="s">
        <v>356</v>
      </c>
      <c r="V72" s="711"/>
      <c r="W72" s="710" t="s">
        <v>357</v>
      </c>
      <c r="X72" s="843" t="s">
        <v>358</v>
      </c>
      <c r="Y72" s="843" t="s">
        <v>40</v>
      </c>
      <c r="Z72" s="843" t="s">
        <v>87</v>
      </c>
      <c r="AA72" s="1092" t="s">
        <v>70</v>
      </c>
      <c r="AB72" s="1499">
        <v>44866</v>
      </c>
      <c r="AC72" s="1115" t="s">
        <v>225</v>
      </c>
      <c r="AD72" s="922"/>
      <c r="AE72" s="922"/>
      <c r="AF72">
        <f t="shared" ca="1" si="7"/>
        <v>442</v>
      </c>
      <c r="AG72" s="906"/>
    </row>
    <row r="73" spans="1:33" ht="26">
      <c r="A73" s="889" t="s">
        <v>71</v>
      </c>
      <c r="B73" s="707" t="s">
        <v>100</v>
      </c>
      <c r="C73" s="1359">
        <v>58105</v>
      </c>
      <c r="D73" s="710" t="s">
        <v>32</v>
      </c>
      <c r="E73" s="710"/>
      <c r="F73" s="710"/>
      <c r="G73" s="710"/>
      <c r="H73" s="695" t="s">
        <v>46</v>
      </c>
      <c r="I73" s="710" t="s">
        <v>47</v>
      </c>
      <c r="J73" s="1608" t="s">
        <v>359</v>
      </c>
      <c r="K73" s="710" t="s">
        <v>71</v>
      </c>
      <c r="L73" s="710">
        <v>12</v>
      </c>
      <c r="M73" s="711">
        <f>IFERROR(EDATE(N73,-3),"Invalid procurement method or date entered")</f>
        <v>44348</v>
      </c>
      <c r="N73" s="712">
        <f t="shared" si="8"/>
        <v>44440</v>
      </c>
      <c r="O73" s="713">
        <v>44805</v>
      </c>
      <c r="P73" s="896">
        <v>6</v>
      </c>
      <c r="Q73" s="896">
        <v>6</v>
      </c>
      <c r="R73" s="772">
        <v>90000</v>
      </c>
      <c r="S73" s="758" t="s">
        <v>45</v>
      </c>
      <c r="T73" s="710" t="s">
        <v>62</v>
      </c>
      <c r="U73" s="710" t="s">
        <v>71</v>
      </c>
      <c r="V73" s="710"/>
      <c r="W73" s="710" t="s">
        <v>360</v>
      </c>
      <c r="X73" s="843" t="s">
        <v>254</v>
      </c>
      <c r="Y73" s="843" t="s">
        <v>40</v>
      </c>
      <c r="Z73" s="779" t="s">
        <v>45</v>
      </c>
      <c r="AA73" s="779" t="s">
        <v>70</v>
      </c>
      <c r="AB73" s="1499">
        <v>44865</v>
      </c>
      <c r="AC73" s="1115" t="s">
        <v>225</v>
      </c>
      <c r="AD73" s="922"/>
      <c r="AE73" s="922"/>
      <c r="AF73">
        <f t="shared" ca="1" si="7"/>
        <v>443</v>
      </c>
      <c r="AG73" s="906"/>
    </row>
    <row r="74" spans="1:33" ht="52">
      <c r="A74" s="911" t="s">
        <v>71</v>
      </c>
      <c r="B74" s="695" t="s">
        <v>44</v>
      </c>
      <c r="C74" s="738">
        <v>53588</v>
      </c>
      <c r="D74" s="808" t="s">
        <v>32</v>
      </c>
      <c r="E74" s="730"/>
      <c r="F74" s="710" t="s">
        <v>361</v>
      </c>
      <c r="G74" s="808" t="s">
        <v>362</v>
      </c>
      <c r="H74" s="710" t="s">
        <v>363</v>
      </c>
      <c r="I74" s="710" t="s">
        <v>47</v>
      </c>
      <c r="J74" s="1602" t="s">
        <v>364</v>
      </c>
      <c r="K74" s="710" t="s">
        <v>365</v>
      </c>
      <c r="L74" s="710" t="e">
        <f>IF(OR(S74=#REF!,S74=#REF!,S74=#REF!,S74=#REF!,S74=#REF!,S74=#REF!,S74=#REF!,S74=#REF!),12,IF(OR(S74=#REF!,S74=#REF!,S74=#REF!,S74=#REF!,S74=#REF!,S74=#REF!,S74=#REF!),3,IF(S74=#REF!,1,IF(S74=#REF!,18,IF(OR(S74=#REF!,S74=#REF!,S74=#REF!,S74=#REF!,S74=#REF!),14,"Invalid proposed procurement method")))))</f>
        <v>#REF!</v>
      </c>
      <c r="M74" s="769" t="str">
        <f t="shared" ref="M74:M83" si="9">IFERROR(EDATE($N74,-3),"Invalid procurement method or date entered")</f>
        <v>Invalid procurement method or date entered</v>
      </c>
      <c r="N74" s="769" t="str">
        <f t="shared" si="8"/>
        <v>Invalid procurement method or date entered</v>
      </c>
      <c r="O74" s="947">
        <v>44866</v>
      </c>
      <c r="P74" s="738">
        <v>48</v>
      </c>
      <c r="Q74" s="738" t="s">
        <v>215</v>
      </c>
      <c r="R74" s="772">
        <v>135599</v>
      </c>
      <c r="S74" s="801" t="s">
        <v>366</v>
      </c>
      <c r="T74" s="710" t="s">
        <v>38</v>
      </c>
      <c r="U74" s="769" t="s">
        <v>67</v>
      </c>
      <c r="V74" s="769"/>
      <c r="W74" s="710" t="s">
        <v>367</v>
      </c>
      <c r="X74" s="843" t="s">
        <v>254</v>
      </c>
      <c r="Y74" s="843" t="s">
        <v>40</v>
      </c>
      <c r="Z74" s="843" t="s">
        <v>69</v>
      </c>
      <c r="AA74" s="843" t="s">
        <v>70</v>
      </c>
      <c r="AB74" s="1499">
        <v>44970</v>
      </c>
      <c r="AC74" s="945" t="s">
        <v>368</v>
      </c>
      <c r="AD74" s="798" t="s">
        <v>369</v>
      </c>
      <c r="AE74" s="1936"/>
      <c r="AF74">
        <f t="shared" ca="1" si="7"/>
        <v>338</v>
      </c>
      <c r="AG74" s="906"/>
    </row>
    <row r="75" spans="1:33" ht="29">
      <c r="A75" s="2754"/>
      <c r="B75" s="2757"/>
      <c r="C75" s="4" t="s">
        <v>45</v>
      </c>
      <c r="D75" s="9" t="s">
        <v>32</v>
      </c>
      <c r="E75" s="9"/>
      <c r="F75" s="9"/>
      <c r="G75" s="9"/>
      <c r="H75" s="5" t="s">
        <v>33</v>
      </c>
      <c r="I75" s="80" t="s">
        <v>47</v>
      </c>
      <c r="J75" s="1590" t="s">
        <v>370</v>
      </c>
      <c r="K75" s="64"/>
      <c r="L75" s="5">
        <v>6</v>
      </c>
      <c r="M75" s="199">
        <f t="shared" si="9"/>
        <v>44378</v>
      </c>
      <c r="N75" s="199">
        <f t="shared" si="8"/>
        <v>44470</v>
      </c>
      <c r="O75" s="182">
        <v>44652</v>
      </c>
      <c r="P75" s="12">
        <v>12</v>
      </c>
      <c r="Q75" s="12">
        <v>12</v>
      </c>
      <c r="R75" s="18">
        <v>9745</v>
      </c>
      <c r="S75" s="5" t="s">
        <v>37</v>
      </c>
      <c r="T75" s="52" t="s">
        <v>38</v>
      </c>
      <c r="U75" s="48" t="s">
        <v>67</v>
      </c>
      <c r="V75" s="48"/>
      <c r="W75" s="12" t="s">
        <v>262</v>
      </c>
      <c r="X75" s="1076" t="s">
        <v>289</v>
      </c>
      <c r="Y75" s="80" t="s">
        <v>371</v>
      </c>
      <c r="Z75" s="80" t="s">
        <v>154</v>
      </c>
      <c r="AA75" s="80" t="s">
        <v>70</v>
      </c>
      <c r="AB75" s="354" t="s">
        <v>224</v>
      </c>
      <c r="AC75" s="1111"/>
      <c r="AD75" s="80" t="s">
        <v>264</v>
      </c>
      <c r="AE75" s="1131">
        <v>30000</v>
      </c>
      <c r="AF75" t="str">
        <f t="shared" ca="1" si="7"/>
        <v>N/A</v>
      </c>
    </row>
    <row r="76" spans="1:33" ht="29">
      <c r="A76" s="2771"/>
      <c r="B76" s="2755" t="s">
        <v>44</v>
      </c>
      <c r="C76" s="4" t="s">
        <v>372</v>
      </c>
      <c r="D76" s="9" t="s">
        <v>32</v>
      </c>
      <c r="E76" s="9"/>
      <c r="F76" s="9"/>
      <c r="G76" s="9"/>
      <c r="H76" s="5" t="s">
        <v>33</v>
      </c>
      <c r="I76" s="5" t="s">
        <v>34</v>
      </c>
      <c r="J76" s="16" t="s">
        <v>373</v>
      </c>
      <c r="K76" s="101"/>
      <c r="L76" s="5">
        <v>6</v>
      </c>
      <c r="M76" s="199">
        <f t="shared" si="9"/>
        <v>44378</v>
      </c>
      <c r="N76" s="199">
        <f t="shared" si="8"/>
        <v>44470</v>
      </c>
      <c r="O76" s="182">
        <v>44652</v>
      </c>
      <c r="P76" s="12">
        <v>60</v>
      </c>
      <c r="Q76" s="120" t="s">
        <v>374</v>
      </c>
      <c r="R76" s="18">
        <v>41743</v>
      </c>
      <c r="S76" s="5" t="s">
        <v>130</v>
      </c>
      <c r="T76" s="5" t="s">
        <v>38</v>
      </c>
      <c r="U76" s="71" t="s">
        <v>67</v>
      </c>
      <c r="V76" s="71"/>
      <c r="W76" s="5" t="s">
        <v>375</v>
      </c>
      <c r="X76" s="80" t="s">
        <v>39</v>
      </c>
      <c r="Y76" s="80" t="s">
        <v>40</v>
      </c>
      <c r="Z76" s="80" t="s">
        <v>69</v>
      </c>
      <c r="AA76" s="80"/>
      <c r="AB76" s="354" t="s">
        <v>88</v>
      </c>
      <c r="AC76" s="101" t="s">
        <v>376</v>
      </c>
      <c r="AD76" s="80" t="s">
        <v>164</v>
      </c>
      <c r="AE76" s="211"/>
      <c r="AF76" t="str">
        <f t="shared" ca="1" si="7"/>
        <v>N/A</v>
      </c>
    </row>
    <row r="77" spans="1:33" ht="29">
      <c r="A77" s="2771"/>
      <c r="B77" s="2755" t="s">
        <v>44</v>
      </c>
      <c r="C77" s="4" t="s">
        <v>45</v>
      </c>
      <c r="D77" s="9" t="s">
        <v>32</v>
      </c>
      <c r="E77" s="9"/>
      <c r="F77" s="9"/>
      <c r="G77" s="9"/>
      <c r="H77" s="5" t="s">
        <v>46</v>
      </c>
      <c r="I77" s="5" t="s">
        <v>34</v>
      </c>
      <c r="J77" s="16" t="s">
        <v>377</v>
      </c>
      <c r="K77" s="111"/>
      <c r="L77" s="5">
        <v>6</v>
      </c>
      <c r="M77" s="199">
        <f t="shared" si="9"/>
        <v>44378</v>
      </c>
      <c r="N77" s="199">
        <f t="shared" si="8"/>
        <v>44470</v>
      </c>
      <c r="O77" s="182">
        <v>44652</v>
      </c>
      <c r="P77" s="12">
        <v>78</v>
      </c>
      <c r="Q77" s="109" t="s">
        <v>378</v>
      </c>
      <c r="R77" s="18">
        <v>12000000</v>
      </c>
      <c r="S77" s="5" t="s">
        <v>130</v>
      </c>
      <c r="T77" s="5" t="s">
        <v>70</v>
      </c>
      <c r="U77" s="182" t="s">
        <v>45</v>
      </c>
      <c r="V77" s="182"/>
      <c r="W77" s="5" t="s">
        <v>379</v>
      </c>
      <c r="X77" s="80" t="s">
        <v>39</v>
      </c>
      <c r="Y77" s="80" t="s">
        <v>40</v>
      </c>
      <c r="Z77" s="80" t="s">
        <v>87</v>
      </c>
      <c r="AA77" s="80" t="s">
        <v>38</v>
      </c>
      <c r="AB77" s="354">
        <v>44679</v>
      </c>
      <c r="AC77" s="101" t="s">
        <v>380</v>
      </c>
      <c r="AD77" s="76" t="s">
        <v>46</v>
      </c>
      <c r="AE77" s="211"/>
      <c r="AF77">
        <f t="shared" ca="1" si="7"/>
        <v>629</v>
      </c>
    </row>
    <row r="78" spans="1:33" ht="26">
      <c r="A78" s="911" t="s">
        <v>71</v>
      </c>
      <c r="B78" s="695" t="s">
        <v>44</v>
      </c>
      <c r="C78" s="738" t="s">
        <v>45</v>
      </c>
      <c r="D78" s="808" t="s">
        <v>32</v>
      </c>
      <c r="E78" s="808"/>
      <c r="F78" s="808"/>
      <c r="G78" s="808"/>
      <c r="H78" s="781" t="s">
        <v>33</v>
      </c>
      <c r="I78" s="800" t="s">
        <v>47</v>
      </c>
      <c r="J78" s="1602" t="s">
        <v>381</v>
      </c>
      <c r="K78" s="945" t="s">
        <v>382</v>
      </c>
      <c r="L78" s="710">
        <v>6</v>
      </c>
      <c r="M78" s="711">
        <f t="shared" si="9"/>
        <v>44378</v>
      </c>
      <c r="N78" s="711">
        <f t="shared" si="8"/>
        <v>44470</v>
      </c>
      <c r="O78" s="770">
        <v>44652</v>
      </c>
      <c r="P78" s="738">
        <v>12</v>
      </c>
      <c r="Q78" s="738">
        <v>12</v>
      </c>
      <c r="R78" s="1030">
        <v>6300</v>
      </c>
      <c r="S78" s="710" t="s">
        <v>37</v>
      </c>
      <c r="T78" s="731" t="s">
        <v>38</v>
      </c>
      <c r="U78" s="731" t="s">
        <v>67</v>
      </c>
      <c r="V78" s="731"/>
      <c r="W78" s="709" t="s">
        <v>383</v>
      </c>
      <c r="X78" s="919" t="s">
        <v>94</v>
      </c>
      <c r="Y78" s="843" t="s">
        <v>40</v>
      </c>
      <c r="Z78" s="843" t="s">
        <v>154</v>
      </c>
      <c r="AA78" s="843" t="s">
        <v>70</v>
      </c>
      <c r="AB78" s="956">
        <v>44775</v>
      </c>
      <c r="AC78" s="1121" t="s">
        <v>384</v>
      </c>
      <c r="AD78" s="798" t="s">
        <v>385</v>
      </c>
      <c r="AE78" s="806">
        <v>6300</v>
      </c>
      <c r="AF78">
        <f t="shared" ca="1" si="7"/>
        <v>533</v>
      </c>
    </row>
    <row r="79" spans="1:33" ht="39">
      <c r="A79" s="1651" t="s">
        <v>71</v>
      </c>
      <c r="B79" s="1207" t="s">
        <v>44</v>
      </c>
      <c r="C79" s="1209" t="s">
        <v>45</v>
      </c>
      <c r="D79" s="1216" t="s">
        <v>32</v>
      </c>
      <c r="E79" s="1216"/>
      <c r="F79" s="1216"/>
      <c r="G79" s="1216"/>
      <c r="H79" s="1211" t="s">
        <v>386</v>
      </c>
      <c r="I79" s="1211" t="s">
        <v>47</v>
      </c>
      <c r="J79" s="1602" t="s">
        <v>387</v>
      </c>
      <c r="K79" s="945"/>
      <c r="L79" s="710">
        <v>6</v>
      </c>
      <c r="M79" s="1232">
        <f t="shared" si="9"/>
        <v>44378</v>
      </c>
      <c r="N79" s="1232">
        <f t="shared" si="8"/>
        <v>44470</v>
      </c>
      <c r="O79" s="1232">
        <v>44652</v>
      </c>
      <c r="P79" s="1216">
        <v>12</v>
      </c>
      <c r="Q79" s="1798">
        <v>12</v>
      </c>
      <c r="R79" s="1820">
        <v>39000</v>
      </c>
      <c r="S79" s="1216" t="s">
        <v>51</v>
      </c>
      <c r="T79" s="1216" t="s">
        <v>45</v>
      </c>
      <c r="U79" s="1209" t="s">
        <v>45</v>
      </c>
      <c r="V79" s="1209"/>
      <c r="W79" s="1211" t="s">
        <v>388</v>
      </c>
      <c r="X79" s="1872" t="s">
        <v>189</v>
      </c>
      <c r="Y79" s="1868" t="s">
        <v>40</v>
      </c>
      <c r="Z79" s="1868" t="s">
        <v>154</v>
      </c>
      <c r="AA79" s="1868" t="s">
        <v>70</v>
      </c>
      <c r="AB79" s="1896">
        <v>44739</v>
      </c>
      <c r="AC79" s="1916" t="s">
        <v>251</v>
      </c>
      <c r="AD79" s="1932" t="s">
        <v>79</v>
      </c>
      <c r="AE79" s="1942">
        <v>39000</v>
      </c>
      <c r="AF79">
        <f t="shared" ca="1" si="7"/>
        <v>569</v>
      </c>
      <c r="AG79" s="1217"/>
    </row>
    <row r="80" spans="1:33" ht="26">
      <c r="A80" s="1244" t="s">
        <v>71</v>
      </c>
      <c r="B80" s="695" t="s">
        <v>44</v>
      </c>
      <c r="C80" s="738">
        <v>35025</v>
      </c>
      <c r="D80" s="710" t="s">
        <v>32</v>
      </c>
      <c r="E80" s="710"/>
      <c r="F80" s="710"/>
      <c r="G80" s="710"/>
      <c r="H80" s="710" t="s">
        <v>33</v>
      </c>
      <c r="I80" s="710" t="s">
        <v>47</v>
      </c>
      <c r="J80" s="1608" t="s">
        <v>389</v>
      </c>
      <c r="K80" s="843" t="s">
        <v>390</v>
      </c>
      <c r="L80" s="710">
        <v>11</v>
      </c>
      <c r="M80" s="769">
        <f t="shared" si="9"/>
        <v>44378</v>
      </c>
      <c r="N80" s="769">
        <f t="shared" si="8"/>
        <v>44470</v>
      </c>
      <c r="O80" s="947">
        <v>44805</v>
      </c>
      <c r="P80" s="738">
        <v>24</v>
      </c>
      <c r="Q80" s="884" t="s">
        <v>391</v>
      </c>
      <c r="R80" s="772">
        <v>135000</v>
      </c>
      <c r="S80" s="710" t="s">
        <v>84</v>
      </c>
      <c r="T80" s="731" t="s">
        <v>62</v>
      </c>
      <c r="U80" s="731" t="s">
        <v>71</v>
      </c>
      <c r="V80" s="731"/>
      <c r="W80" s="710" t="s">
        <v>392</v>
      </c>
      <c r="X80" s="843" t="s">
        <v>94</v>
      </c>
      <c r="Y80" s="843" t="s">
        <v>40</v>
      </c>
      <c r="Z80" s="843" t="s">
        <v>69</v>
      </c>
      <c r="AA80" s="843" t="s">
        <v>70</v>
      </c>
      <c r="AB80" s="1499">
        <v>44874</v>
      </c>
      <c r="AC80" s="945" t="s">
        <v>393</v>
      </c>
      <c r="AD80" s="843" t="s">
        <v>164</v>
      </c>
      <c r="AE80" s="1938"/>
      <c r="AF80">
        <f t="shared" ca="1" si="7"/>
        <v>434</v>
      </c>
      <c r="AG80" s="906"/>
    </row>
    <row r="81" spans="1:33" ht="72.5">
      <c r="A81" s="1184"/>
      <c r="B81" s="2755" t="s">
        <v>44</v>
      </c>
      <c r="C81" s="4" t="s">
        <v>45</v>
      </c>
      <c r="D81" s="9" t="s">
        <v>110</v>
      </c>
      <c r="E81" s="9"/>
      <c r="F81" s="9"/>
      <c r="G81" s="9"/>
      <c r="H81" s="5" t="s">
        <v>394</v>
      </c>
      <c r="I81" s="5" t="s">
        <v>47</v>
      </c>
      <c r="J81" s="16" t="s">
        <v>395</v>
      </c>
      <c r="K81" s="101"/>
      <c r="L81" s="5" t="e">
        <f>IF(OR(S81=#REF!,S81=#REF!,S81=#REF!,S81=#REF!,S81=#REF!,S81=#REF!,S81=#REF!,S81=#REF!),12,IF(OR(S81=#REF!,S81=#REF!,S81=#REF!,S81=#REF!,S81=#REF!,S81=#REF!,S81=#REF!),3,IF(S81=#REF!,1,IF(S81=#REF!,18,IF(OR(S81=#REF!,S81=#REF!,S81=#REF!,S81=#REF!,S81=#REF!),14,"Invalid proposed procurement method")))))</f>
        <v>#REF!</v>
      </c>
      <c r="M81" s="199" t="str">
        <f t="shared" si="9"/>
        <v>Invalid procurement method or date entered</v>
      </c>
      <c r="N81" s="199" t="str">
        <f t="shared" si="8"/>
        <v>Invalid procurement method or date entered</v>
      </c>
      <c r="O81" s="199">
        <v>44835</v>
      </c>
      <c r="P81" s="5">
        <v>96</v>
      </c>
      <c r="Q81" s="5" t="s">
        <v>396</v>
      </c>
      <c r="R81" s="41">
        <v>60000</v>
      </c>
      <c r="S81" s="5" t="s">
        <v>176</v>
      </c>
      <c r="T81" s="11" t="s">
        <v>70</v>
      </c>
      <c r="U81" s="11" t="s">
        <v>71</v>
      </c>
      <c r="V81" s="11"/>
      <c r="W81" s="12" t="s">
        <v>397</v>
      </c>
      <c r="X81" s="80" t="s">
        <v>94</v>
      </c>
      <c r="Y81" s="80" t="s">
        <v>40</v>
      </c>
      <c r="Z81" s="80" t="s">
        <v>154</v>
      </c>
      <c r="AA81" s="80" t="s">
        <v>38</v>
      </c>
      <c r="AB81" s="2772">
        <v>44713</v>
      </c>
      <c r="AC81" s="1110" t="s">
        <v>398</v>
      </c>
      <c r="AD81" s="76" t="s">
        <v>399</v>
      </c>
      <c r="AE81" s="2773"/>
      <c r="AF81">
        <f t="shared" ca="1" si="7"/>
        <v>595</v>
      </c>
    </row>
    <row r="82" spans="1:33" ht="58">
      <c r="A82" s="1184"/>
      <c r="B82" s="2755" t="s">
        <v>44</v>
      </c>
      <c r="C82" s="4" t="s">
        <v>45</v>
      </c>
      <c r="D82" s="4" t="s">
        <v>32</v>
      </c>
      <c r="E82" s="4"/>
      <c r="F82" s="4"/>
      <c r="G82" s="4"/>
      <c r="H82" s="12" t="s">
        <v>33</v>
      </c>
      <c r="I82" s="12" t="s">
        <v>47</v>
      </c>
      <c r="J82" s="16" t="s">
        <v>400</v>
      </c>
      <c r="K82" s="111"/>
      <c r="L82" s="5" t="e">
        <f>IF(OR(S82=#REF!,S82=#REF!,S82=#REF!,S82=#REF!,S82=#REF!,S82=#REF!,S82=#REF!,S82=#REF!),12,IF(OR(S82=#REF!,S82=#REF!,S82=#REF!,S82=#REF!,S82=#REF!,S82=#REF!,S82=#REF!),3,IF(S82=#REF!,1,IF(S82=#REF!,18,IF(OR(S82=#REF!,S82=#REF!,S82=#REF!,S82=#REF!,S82=#REF!),14,"Invalid proposed procurement method")))))</f>
        <v>#REF!</v>
      </c>
      <c r="M82" s="199" t="str">
        <f t="shared" si="9"/>
        <v>Invalid procurement method or date entered</v>
      </c>
      <c r="N82" s="199" t="str">
        <f t="shared" si="8"/>
        <v>Invalid procurement method or date entered</v>
      </c>
      <c r="O82" s="182">
        <v>44835</v>
      </c>
      <c r="P82" s="12">
        <v>36</v>
      </c>
      <c r="Q82" s="13" t="s">
        <v>98</v>
      </c>
      <c r="R82" s="95">
        <v>470094</v>
      </c>
      <c r="S82" s="5" t="s">
        <v>84</v>
      </c>
      <c r="T82" s="5" t="s">
        <v>401</v>
      </c>
      <c r="U82" s="12" t="s">
        <v>67</v>
      </c>
      <c r="V82" s="76"/>
      <c r="W82" s="80" t="s">
        <v>402</v>
      </c>
      <c r="X82" s="80" t="s">
        <v>162</v>
      </c>
      <c r="Y82" s="80" t="s">
        <v>40</v>
      </c>
      <c r="Z82" s="80" t="s">
        <v>69</v>
      </c>
      <c r="AA82" s="80" t="s">
        <v>70</v>
      </c>
      <c r="AB82" s="354">
        <v>44771</v>
      </c>
      <c r="AC82" s="101" t="s">
        <v>225</v>
      </c>
      <c r="AD82" s="80" t="s">
        <v>264</v>
      </c>
      <c r="AE82" s="211"/>
      <c r="AF82">
        <f t="shared" ca="1" si="7"/>
        <v>537</v>
      </c>
    </row>
    <row r="83" spans="1:33" ht="52">
      <c r="A83" s="1244" t="s">
        <v>71</v>
      </c>
      <c r="B83" s="695" t="s">
        <v>44</v>
      </c>
      <c r="C83" s="738">
        <v>36492</v>
      </c>
      <c r="D83" s="710" t="s">
        <v>32</v>
      </c>
      <c r="E83" s="710"/>
      <c r="F83" s="710"/>
      <c r="G83" s="710"/>
      <c r="H83" s="709" t="s">
        <v>363</v>
      </c>
      <c r="I83" s="765" t="s">
        <v>47</v>
      </c>
      <c r="J83" s="1608" t="s">
        <v>403</v>
      </c>
      <c r="K83" s="945" t="s">
        <v>404</v>
      </c>
      <c r="L83" s="710" t="e">
        <f>IF(OR(S83=#REF!,S83=#REF!,S83=#REF!,S83=#REF!,S83=#REF!,S83=#REF!,S83=#REF!,S83=#REF!),12,IF(OR(S83=#REF!,S83=#REF!,S83=#REF!,S83=#REF!,S83=#REF!,S83=#REF!,S83=#REF!),3,IF(S83=#REF!,1,IF(S83=#REF!,18,IF(OR(S83=#REF!,S83=#REF!,S83=#REF!,S83=#REF!,S83=#REF!),14,"Invalid proposed procurement method")))))</f>
        <v>#REF!</v>
      </c>
      <c r="M83" s="769" t="str">
        <f t="shared" si="9"/>
        <v>Invalid procurement method or date entered</v>
      </c>
      <c r="N83" s="769" t="str">
        <f t="shared" si="8"/>
        <v>Invalid procurement method or date entered</v>
      </c>
      <c r="O83" s="947">
        <v>44835</v>
      </c>
      <c r="P83" s="738">
        <v>42</v>
      </c>
      <c r="Q83" s="710" t="s">
        <v>405</v>
      </c>
      <c r="R83" s="1030" t="s">
        <v>406</v>
      </c>
      <c r="S83" s="770" t="s">
        <v>407</v>
      </c>
      <c r="T83" s="731" t="s">
        <v>70</v>
      </c>
      <c r="U83" s="731">
        <v>44748</v>
      </c>
      <c r="V83" s="2305"/>
      <c r="W83" s="2097" t="s">
        <v>408</v>
      </c>
      <c r="X83" s="843" t="s">
        <v>94</v>
      </c>
      <c r="Y83" s="843" t="s">
        <v>40</v>
      </c>
      <c r="Z83" s="843" t="s">
        <v>69</v>
      </c>
      <c r="AA83" s="843" t="s">
        <v>70</v>
      </c>
      <c r="AB83" s="1102">
        <v>44861</v>
      </c>
      <c r="AC83" s="945" t="s">
        <v>409</v>
      </c>
      <c r="AD83" s="798" t="s">
        <v>369</v>
      </c>
      <c r="AE83" s="1936">
        <v>24000</v>
      </c>
      <c r="AF83">
        <f t="shared" ca="1" si="7"/>
        <v>447</v>
      </c>
      <c r="AG83" s="906"/>
    </row>
    <row r="84" spans="1:33">
      <c r="A84" s="889" t="s">
        <v>71</v>
      </c>
      <c r="B84" s="707" t="s">
        <v>100</v>
      </c>
      <c r="C84" s="774" t="s">
        <v>45</v>
      </c>
      <c r="D84" s="707" t="s">
        <v>32</v>
      </c>
      <c r="E84" s="707"/>
      <c r="F84" s="707"/>
      <c r="G84" s="707"/>
      <c r="H84" s="710" t="s">
        <v>103</v>
      </c>
      <c r="I84" s="710" t="s">
        <v>47</v>
      </c>
      <c r="J84" s="1608" t="s">
        <v>410</v>
      </c>
      <c r="K84" s="843" t="s">
        <v>411</v>
      </c>
      <c r="L84" s="710">
        <v>12</v>
      </c>
      <c r="M84" s="711">
        <f>IFERROR(EDATE(N84,-3),"Invalid procurement method or date entered")</f>
        <v>44378</v>
      </c>
      <c r="N84" s="712">
        <f t="shared" si="8"/>
        <v>44470</v>
      </c>
      <c r="O84" s="713">
        <v>44835</v>
      </c>
      <c r="P84" s="896">
        <v>36</v>
      </c>
      <c r="Q84" s="896">
        <v>36</v>
      </c>
      <c r="R84" s="772">
        <v>585000</v>
      </c>
      <c r="S84" s="758" t="s">
        <v>176</v>
      </c>
      <c r="T84" s="710" t="s">
        <v>70</v>
      </c>
      <c r="U84" s="887">
        <v>44670</v>
      </c>
      <c r="V84" s="887"/>
      <c r="W84" s="710" t="s">
        <v>412</v>
      </c>
      <c r="X84" s="779" t="s">
        <v>413</v>
      </c>
      <c r="Y84" s="843" t="s">
        <v>40</v>
      </c>
      <c r="Z84" s="889" t="s">
        <v>87</v>
      </c>
      <c r="AA84" s="779" t="s">
        <v>70</v>
      </c>
      <c r="AB84" s="1499">
        <v>44876</v>
      </c>
      <c r="AC84" s="1906" t="s">
        <v>414</v>
      </c>
      <c r="AD84" s="922"/>
      <c r="AE84" s="922"/>
      <c r="AF84">
        <f t="shared" ca="1" si="7"/>
        <v>432</v>
      </c>
      <c r="AG84" s="906"/>
    </row>
    <row r="85" spans="1:33" ht="39">
      <c r="A85" s="889" t="s">
        <v>71</v>
      </c>
      <c r="B85" s="707" t="s">
        <v>100</v>
      </c>
      <c r="C85" s="707" t="s">
        <v>45</v>
      </c>
      <c r="D85" s="710" t="s">
        <v>415</v>
      </c>
      <c r="E85" s="710"/>
      <c r="F85" s="710"/>
      <c r="G85" s="710"/>
      <c r="H85" s="710" t="s">
        <v>103</v>
      </c>
      <c r="I85" s="710" t="s">
        <v>34</v>
      </c>
      <c r="J85" s="1608" t="s">
        <v>416</v>
      </c>
      <c r="K85" s="843" t="s">
        <v>417</v>
      </c>
      <c r="L85" s="710">
        <v>12</v>
      </c>
      <c r="M85" s="711">
        <f>IFERROR(EDATE(N85,-3),"Invalid procurement method or date entered")</f>
        <v>44378</v>
      </c>
      <c r="N85" s="712">
        <f t="shared" si="8"/>
        <v>44470</v>
      </c>
      <c r="O85" s="713">
        <v>44835</v>
      </c>
      <c r="P85" s="777">
        <v>12</v>
      </c>
      <c r="Q85" s="777" t="s">
        <v>418</v>
      </c>
      <c r="R85" s="1030">
        <v>6000000</v>
      </c>
      <c r="S85" s="710" t="s">
        <v>130</v>
      </c>
      <c r="T85" s="710" t="s">
        <v>45</v>
      </c>
      <c r="U85" s="710" t="s">
        <v>45</v>
      </c>
      <c r="V85" s="710"/>
      <c r="W85" s="710" t="s">
        <v>419</v>
      </c>
      <c r="X85" s="843" t="s">
        <v>413</v>
      </c>
      <c r="Y85" s="843" t="s">
        <v>40</v>
      </c>
      <c r="Z85" s="843" t="s">
        <v>87</v>
      </c>
      <c r="AA85" s="1092" t="s">
        <v>70</v>
      </c>
      <c r="AB85" s="1498">
        <v>44932</v>
      </c>
      <c r="AC85" s="1718" t="s">
        <v>420</v>
      </c>
      <c r="AD85" s="843"/>
      <c r="AE85" s="843"/>
      <c r="AF85">
        <f t="shared" ca="1" si="7"/>
        <v>376</v>
      </c>
      <c r="AG85" s="906"/>
    </row>
    <row r="86" spans="1:33" ht="43.5">
      <c r="A86" s="2756"/>
      <c r="B86" s="2755" t="s">
        <v>44</v>
      </c>
      <c r="C86" s="4" t="s">
        <v>45</v>
      </c>
      <c r="D86" s="9" t="s">
        <v>32</v>
      </c>
      <c r="E86" s="9"/>
      <c r="F86" s="9"/>
      <c r="G86" s="9"/>
      <c r="H86" s="5" t="s">
        <v>33</v>
      </c>
      <c r="I86" s="5" t="s">
        <v>47</v>
      </c>
      <c r="J86" s="1590" t="s">
        <v>421</v>
      </c>
      <c r="K86" s="1114"/>
      <c r="L86" s="5">
        <v>6</v>
      </c>
      <c r="M86" s="199">
        <f t="shared" ref="M86:M91" si="10">IFERROR(EDATE($N86,-3),"Invalid procurement method or date entered")</f>
        <v>44388</v>
      </c>
      <c r="N86" s="199">
        <f t="shared" si="8"/>
        <v>44480</v>
      </c>
      <c r="O86" s="182">
        <v>44662</v>
      </c>
      <c r="P86" s="12">
        <v>12</v>
      </c>
      <c r="Q86" s="7" t="s">
        <v>50</v>
      </c>
      <c r="R86" s="18">
        <v>6700</v>
      </c>
      <c r="S86" s="5" t="s">
        <v>37</v>
      </c>
      <c r="T86" s="52" t="s">
        <v>38</v>
      </c>
      <c r="U86" s="48" t="s">
        <v>67</v>
      </c>
      <c r="V86" s="2351"/>
      <c r="W86" s="76" t="s">
        <v>262</v>
      </c>
      <c r="X86" s="2765" t="s">
        <v>289</v>
      </c>
      <c r="Y86" s="80" t="s">
        <v>40</v>
      </c>
      <c r="Z86" s="80" t="s">
        <v>154</v>
      </c>
      <c r="AA86" s="80" t="s">
        <v>70</v>
      </c>
      <c r="AB86" s="354" t="s">
        <v>224</v>
      </c>
      <c r="AC86" s="1111" t="s">
        <v>422</v>
      </c>
      <c r="AD86" s="80" t="s">
        <v>264</v>
      </c>
      <c r="AE86" s="1132">
        <v>14315</v>
      </c>
      <c r="AF86" t="str">
        <f t="shared" ca="1" si="7"/>
        <v>N/A</v>
      </c>
    </row>
    <row r="87" spans="1:33" ht="72.5">
      <c r="A87" s="2756"/>
      <c r="B87" s="2757"/>
      <c r="C87" s="4" t="s">
        <v>45</v>
      </c>
      <c r="D87" s="9" t="s">
        <v>32</v>
      </c>
      <c r="E87" s="9"/>
      <c r="F87" s="9"/>
      <c r="G87" s="9"/>
      <c r="H87" s="5" t="s">
        <v>127</v>
      </c>
      <c r="I87" s="12" t="s">
        <v>47</v>
      </c>
      <c r="J87" s="16" t="s">
        <v>423</v>
      </c>
      <c r="K87" s="101"/>
      <c r="L87" s="5">
        <v>10</v>
      </c>
      <c r="M87" s="199">
        <f t="shared" si="10"/>
        <v>44409</v>
      </c>
      <c r="N87" s="199">
        <f t="shared" si="8"/>
        <v>44501</v>
      </c>
      <c r="O87" s="182">
        <v>44805</v>
      </c>
      <c r="P87" s="12">
        <v>72</v>
      </c>
      <c r="Q87" s="12" t="s">
        <v>424</v>
      </c>
      <c r="R87" s="18">
        <v>120000</v>
      </c>
      <c r="S87" s="5" t="s">
        <v>130</v>
      </c>
      <c r="T87" s="52" t="s">
        <v>62</v>
      </c>
      <c r="U87" s="48" t="s">
        <v>67</v>
      </c>
      <c r="V87" s="48"/>
      <c r="W87" s="5" t="s">
        <v>425</v>
      </c>
      <c r="X87" s="80" t="s">
        <v>162</v>
      </c>
      <c r="Y87" s="1077" t="s">
        <v>40</v>
      </c>
      <c r="Z87" s="80" t="s">
        <v>87</v>
      </c>
      <c r="AA87" s="80" t="s">
        <v>70</v>
      </c>
      <c r="AB87" s="354" t="s">
        <v>143</v>
      </c>
      <c r="AC87" s="1110" t="s">
        <v>426</v>
      </c>
      <c r="AD87" s="76" t="s">
        <v>127</v>
      </c>
      <c r="AE87" s="211">
        <v>64281</v>
      </c>
      <c r="AF87" t="str">
        <f t="shared" ca="1" si="7"/>
        <v>N/A</v>
      </c>
    </row>
    <row r="88" spans="1:33" ht="52">
      <c r="A88" s="911" t="s">
        <v>71</v>
      </c>
      <c r="B88" s="695" t="s">
        <v>44</v>
      </c>
      <c r="C88" s="738" t="s">
        <v>427</v>
      </c>
      <c r="D88" s="808" t="s">
        <v>32</v>
      </c>
      <c r="E88" s="808"/>
      <c r="F88" s="808"/>
      <c r="G88" s="808"/>
      <c r="H88" s="709" t="s">
        <v>33</v>
      </c>
      <c r="I88" s="709" t="s">
        <v>34</v>
      </c>
      <c r="J88" s="1602" t="s">
        <v>428</v>
      </c>
      <c r="K88" s="1718" t="s">
        <v>429</v>
      </c>
      <c r="L88" s="710" t="e">
        <f>IF(OR(S88=#REF!,S88=#REF!,S88=#REF!,S88=#REF!,S88=#REF!,S88=#REF!,S88=#REF!,S88=#REF!),12,IF(OR(S88=#REF!,S88=#REF!,S88=#REF!,S88=#REF!,S88=#REF!,S88=#REF!,S88=#REF!),3,IF(S88=#REF!,1,IF(S88=#REF!,18,IF(OR(S88=#REF!,S88=#REF!,S88=#REF!,S88=#REF!,S88=#REF!),14,"Invalid proposed procurement method")))))</f>
        <v>#REF!</v>
      </c>
      <c r="M88" s="711" t="str">
        <f t="shared" si="10"/>
        <v>Invalid procurement method or date entered</v>
      </c>
      <c r="N88" s="769" t="str">
        <f t="shared" si="8"/>
        <v>Invalid procurement method or date entered</v>
      </c>
      <c r="O88" s="711">
        <v>44866</v>
      </c>
      <c r="P88" s="710">
        <v>60</v>
      </c>
      <c r="Q88" s="884" t="s">
        <v>430</v>
      </c>
      <c r="R88" s="772">
        <v>342150</v>
      </c>
      <c r="S88" s="710" t="s">
        <v>130</v>
      </c>
      <c r="T88" s="710" t="s">
        <v>62</v>
      </c>
      <c r="U88" s="738" t="s">
        <v>67</v>
      </c>
      <c r="V88" s="738"/>
      <c r="W88" s="709" t="s">
        <v>402</v>
      </c>
      <c r="X88" s="843" t="s">
        <v>39</v>
      </c>
      <c r="Y88" s="843" t="s">
        <v>40</v>
      </c>
      <c r="Z88" s="843" t="s">
        <v>69</v>
      </c>
      <c r="AA88" s="843" t="s">
        <v>70</v>
      </c>
      <c r="AB88" s="956" t="s">
        <v>302</v>
      </c>
      <c r="AC88" s="2147" t="s">
        <v>431</v>
      </c>
      <c r="AD88" s="843" t="s">
        <v>264</v>
      </c>
      <c r="AE88" s="948"/>
      <c r="AF88" t="str">
        <f t="shared" ca="1" si="7"/>
        <v>N/A</v>
      </c>
    </row>
    <row r="89" spans="1:33" ht="52">
      <c r="A89" s="911" t="s">
        <v>71</v>
      </c>
      <c r="B89" s="695" t="s">
        <v>44</v>
      </c>
      <c r="C89" s="738" t="s">
        <v>45</v>
      </c>
      <c r="D89" s="808" t="s">
        <v>57</v>
      </c>
      <c r="E89" s="808"/>
      <c r="F89" s="808"/>
      <c r="G89" s="808"/>
      <c r="H89" s="709" t="s">
        <v>33</v>
      </c>
      <c r="I89" s="709" t="s">
        <v>34</v>
      </c>
      <c r="J89" s="1610" t="s">
        <v>432</v>
      </c>
      <c r="K89" s="1122" t="s">
        <v>433</v>
      </c>
      <c r="L89" s="710" t="e">
        <f>IF(OR(S89=#REF!,S89=#REF!,S89=#REF!,S89=#REF!,S89=#REF!,S89=#REF!,S89=#REF!,S89=#REF!),12,IF(OR(S89=#REF!,S89=#REF!,S89=#REF!,S89=#REF!,S89=#REF!,S89=#REF!,S89=#REF!),3,IF(S89=#REF!,1,IF(S89=#REF!,18,IF(OR(S89=#REF!,S89=#REF!,S89=#REF!,S89=#REF!,S89=#REF!),14,"Invalid proposed procurement method")))))</f>
        <v>#REF!</v>
      </c>
      <c r="M89" s="711" t="str">
        <f t="shared" si="10"/>
        <v>Invalid procurement method or date entered</v>
      </c>
      <c r="N89" s="711" t="str">
        <f t="shared" si="8"/>
        <v>Invalid procurement method or date entered</v>
      </c>
      <c r="O89" s="749">
        <v>44866</v>
      </c>
      <c r="P89" s="695">
        <v>60</v>
      </c>
      <c r="Q89" s="710" t="s">
        <v>434</v>
      </c>
      <c r="R89" s="772">
        <v>231600</v>
      </c>
      <c r="S89" s="710" t="s">
        <v>130</v>
      </c>
      <c r="T89" s="710" t="s">
        <v>70</v>
      </c>
      <c r="U89" s="738" t="s">
        <v>67</v>
      </c>
      <c r="V89" s="738"/>
      <c r="W89" s="709" t="s">
        <v>435</v>
      </c>
      <c r="X89" s="843" t="s">
        <v>39</v>
      </c>
      <c r="Y89" s="843" t="s">
        <v>40</v>
      </c>
      <c r="Z89" s="843" t="s">
        <v>69</v>
      </c>
      <c r="AA89" s="843" t="s">
        <v>70</v>
      </c>
      <c r="AB89" s="956">
        <v>44791</v>
      </c>
      <c r="AC89" s="910" t="s">
        <v>436</v>
      </c>
      <c r="AD89" s="843" t="s">
        <v>164</v>
      </c>
      <c r="AE89" s="933">
        <v>21165</v>
      </c>
      <c r="AF89">
        <f t="shared" ca="1" si="7"/>
        <v>517</v>
      </c>
    </row>
    <row r="90" spans="1:33" ht="52">
      <c r="A90" s="911" t="s">
        <v>71</v>
      </c>
      <c r="B90" s="695" t="s">
        <v>44</v>
      </c>
      <c r="C90" s="738" t="s">
        <v>45</v>
      </c>
      <c r="D90" s="808" t="s">
        <v>32</v>
      </c>
      <c r="E90" s="808"/>
      <c r="F90" s="808"/>
      <c r="G90" s="808"/>
      <c r="H90" s="709" t="s">
        <v>46</v>
      </c>
      <c r="I90" s="765" t="s">
        <v>47</v>
      </c>
      <c r="J90" s="1608" t="s">
        <v>437</v>
      </c>
      <c r="K90" s="945"/>
      <c r="L90" s="710" t="e">
        <f>IF(OR(S90=#REF!,S90=#REF!,S90=#REF!,S90=#REF!,S90=#REF!,S90=#REF!,S90=#REF!,S90=#REF!),12,IF(OR(S90=#REF!,S90=#REF!,S90=#REF!,S90=#REF!,S90=#REF!,S90=#REF!,S90=#REF!),3,IF(S90=#REF!,1,IF(S90=#REF!,18,IF(OR(S90=#REF!,S90=#REF!,S90=#REF!,S90=#REF!,S90=#REF!),14,"Invalid proposed procurement method")))))</f>
        <v>#REF!</v>
      </c>
      <c r="M90" s="711" t="str">
        <f t="shared" si="10"/>
        <v>Invalid procurement method or date entered</v>
      </c>
      <c r="N90" s="711" t="str">
        <f t="shared" si="8"/>
        <v>Invalid procurement method or date entered</v>
      </c>
      <c r="O90" s="770">
        <v>44927</v>
      </c>
      <c r="P90" s="738">
        <v>48</v>
      </c>
      <c r="Q90" s="884" t="s">
        <v>83</v>
      </c>
      <c r="R90" s="772">
        <v>480000</v>
      </c>
      <c r="S90" s="710" t="s">
        <v>366</v>
      </c>
      <c r="T90" s="710" t="s">
        <v>62</v>
      </c>
      <c r="U90" s="738" t="s">
        <v>67</v>
      </c>
      <c r="V90" s="738"/>
      <c r="W90" s="765" t="s">
        <v>412</v>
      </c>
      <c r="X90" s="919" t="s">
        <v>94</v>
      </c>
      <c r="Y90" s="843" t="s">
        <v>40</v>
      </c>
      <c r="Z90" s="843" t="s">
        <v>69</v>
      </c>
      <c r="AA90" s="798" t="s">
        <v>38</v>
      </c>
      <c r="AB90" s="956">
        <v>44798</v>
      </c>
      <c r="AC90" s="945" t="s">
        <v>438</v>
      </c>
      <c r="AD90" s="798" t="s">
        <v>46</v>
      </c>
      <c r="AE90" s="806">
        <v>120000</v>
      </c>
      <c r="AF90">
        <f t="shared" ca="1" si="7"/>
        <v>510</v>
      </c>
    </row>
    <row r="91" spans="1:33" ht="58">
      <c r="A91" s="1184"/>
      <c r="B91" s="2755" t="s">
        <v>44</v>
      </c>
      <c r="C91" s="16">
        <v>34436</v>
      </c>
      <c r="D91" s="9" t="s">
        <v>32</v>
      </c>
      <c r="E91" s="9"/>
      <c r="F91" s="9"/>
      <c r="G91" s="9"/>
      <c r="H91" s="5" t="s">
        <v>33</v>
      </c>
      <c r="I91" s="5" t="s">
        <v>47</v>
      </c>
      <c r="J91" s="16" t="s">
        <v>439</v>
      </c>
      <c r="K91" s="111"/>
      <c r="L91" s="5" t="e">
        <f>IF(OR(S91=#REF!,S91=#REF!,S91=#REF!,S91=#REF!,S91=#REF!,S91=#REF!,S91=#REF!,S91=#REF!),12,IF(OR(S91=#REF!,S91=#REF!,S91=#REF!,S91=#REF!,S91=#REF!,S91=#REF!,S91=#REF!),3,IF(S91=#REF!,1,IF(S91=#REF!,18,IF(OR(S91=#REF!,S91=#REF!,S91=#REF!,S91=#REF!,S91=#REF!),14,"Invalid proposed procurement method")))))</f>
        <v>#REF!</v>
      </c>
      <c r="M91" s="199" t="str">
        <f t="shared" si="10"/>
        <v>Invalid procurement method or date entered</v>
      </c>
      <c r="N91" s="199" t="str">
        <f t="shared" si="8"/>
        <v>Invalid procurement method or date entered</v>
      </c>
      <c r="O91" s="182">
        <v>44870</v>
      </c>
      <c r="P91" s="5">
        <v>48</v>
      </c>
      <c r="Q91" s="5" t="s">
        <v>215</v>
      </c>
      <c r="R91" s="18">
        <v>136000</v>
      </c>
      <c r="S91" s="5" t="s">
        <v>84</v>
      </c>
      <c r="T91" s="5" t="s">
        <v>62</v>
      </c>
      <c r="U91" s="12" t="s">
        <v>67</v>
      </c>
      <c r="V91" s="12"/>
      <c r="W91" s="12" t="s">
        <v>440</v>
      </c>
      <c r="X91" s="493" t="s">
        <v>94</v>
      </c>
      <c r="Y91" s="80" t="s">
        <v>40</v>
      </c>
      <c r="Z91" s="80" t="s">
        <v>69</v>
      </c>
      <c r="AA91" s="80" t="s">
        <v>70</v>
      </c>
      <c r="AB91" s="354" t="s">
        <v>441</v>
      </c>
      <c r="AC91" s="101" t="s">
        <v>442</v>
      </c>
      <c r="AD91" s="80" t="s">
        <v>443</v>
      </c>
      <c r="AE91" s="197">
        <v>34000</v>
      </c>
      <c r="AF91" t="str">
        <f t="shared" ca="1" si="7"/>
        <v>N/A</v>
      </c>
    </row>
    <row r="92" spans="1:33" ht="29">
      <c r="A92" s="1184"/>
      <c r="B92" s="2755" t="s">
        <v>44</v>
      </c>
      <c r="C92" s="2755"/>
      <c r="D92" s="2763" t="s">
        <v>32</v>
      </c>
      <c r="E92" s="2763"/>
      <c r="F92" s="2763"/>
      <c r="G92" s="2763"/>
      <c r="H92" s="2763" t="s">
        <v>444</v>
      </c>
      <c r="I92" s="2763" t="s">
        <v>34</v>
      </c>
      <c r="J92" s="2755" t="s">
        <v>445</v>
      </c>
      <c r="K92" s="2773"/>
      <c r="L92" s="5">
        <v>8</v>
      </c>
      <c r="M92" s="199">
        <v>44421</v>
      </c>
      <c r="N92" s="199">
        <f t="shared" si="8"/>
        <v>44501</v>
      </c>
      <c r="O92" s="2764">
        <v>44743</v>
      </c>
      <c r="P92" s="2763">
        <v>48</v>
      </c>
      <c r="Q92" s="71" t="s">
        <v>446</v>
      </c>
      <c r="R92" s="18">
        <v>189510</v>
      </c>
      <c r="S92" s="183" t="s">
        <v>130</v>
      </c>
      <c r="T92" s="2763" t="s">
        <v>38</v>
      </c>
      <c r="U92" s="12" t="s">
        <v>67</v>
      </c>
      <c r="V92" s="12"/>
      <c r="W92" s="2763" t="s">
        <v>447</v>
      </c>
      <c r="X92" s="361" t="s">
        <v>283</v>
      </c>
      <c r="Y92" s="2765" t="s">
        <v>40</v>
      </c>
      <c r="Z92" s="1076" t="s">
        <v>69</v>
      </c>
      <c r="AA92" s="80" t="s">
        <v>70</v>
      </c>
      <c r="AB92" s="354" t="s">
        <v>224</v>
      </c>
      <c r="AC92" s="2761" t="s">
        <v>448</v>
      </c>
      <c r="AD92" s="80" t="s">
        <v>285</v>
      </c>
      <c r="AE92" s="1131">
        <v>50000</v>
      </c>
      <c r="AF92" t="str">
        <f t="shared" ca="1" si="7"/>
        <v>N/A</v>
      </c>
    </row>
    <row r="93" spans="1:33" s="906" customFormat="1" ht="39">
      <c r="A93" s="749" t="s">
        <v>71</v>
      </c>
      <c r="B93" s="696" t="s">
        <v>100</v>
      </c>
      <c r="C93" s="697" t="s">
        <v>45</v>
      </c>
      <c r="D93" s="1169" t="s">
        <v>110</v>
      </c>
      <c r="E93" s="794" t="s">
        <v>449</v>
      </c>
      <c r="F93" s="698" t="s">
        <v>110</v>
      </c>
      <c r="G93" s="914" t="s">
        <v>450</v>
      </c>
      <c r="H93" s="700" t="s">
        <v>116</v>
      </c>
      <c r="I93" s="914" t="s">
        <v>47</v>
      </c>
      <c r="J93" s="1613" t="s">
        <v>451</v>
      </c>
      <c r="K93" s="1179" t="s">
        <v>452</v>
      </c>
      <c r="L93" s="914">
        <v>12</v>
      </c>
      <c r="M93" s="1379">
        <f>IFERROR(EDATE(N93,-3),"Invalid procurement method or date entered")</f>
        <v>44436</v>
      </c>
      <c r="N93" s="1360">
        <f t="shared" si="8"/>
        <v>44528</v>
      </c>
      <c r="O93" s="1360">
        <v>44893</v>
      </c>
      <c r="P93" s="1363">
        <v>36</v>
      </c>
      <c r="Q93" s="1363">
        <v>36</v>
      </c>
      <c r="R93" s="1313">
        <v>150000</v>
      </c>
      <c r="S93" s="914" t="s">
        <v>176</v>
      </c>
      <c r="T93" s="723" t="s">
        <v>45</v>
      </c>
      <c r="U93" s="723" t="s">
        <v>45</v>
      </c>
      <c r="V93" s="723"/>
      <c r="W93" s="723" t="s">
        <v>453</v>
      </c>
      <c r="X93" s="914" t="s">
        <v>254</v>
      </c>
      <c r="Y93" s="914" t="s">
        <v>40</v>
      </c>
      <c r="Z93" s="723" t="s">
        <v>69</v>
      </c>
      <c r="AA93" s="1380" t="s">
        <v>70</v>
      </c>
      <c r="AB93" s="1422">
        <v>44971</v>
      </c>
      <c r="AC93" s="1409" t="s">
        <v>454</v>
      </c>
      <c r="AD93" s="1375"/>
      <c r="AE93" s="794"/>
      <c r="AF93">
        <f t="shared" ca="1" si="7"/>
        <v>337</v>
      </c>
    </row>
    <row r="94" spans="1:33" s="906" customFormat="1" ht="43.5">
      <c r="A94" s="2774"/>
      <c r="B94" s="2775" t="s">
        <v>44</v>
      </c>
      <c r="C94" s="2776" t="s">
        <v>45</v>
      </c>
      <c r="D94" s="1687" t="s">
        <v>32</v>
      </c>
      <c r="E94" s="1873"/>
      <c r="F94" s="1687"/>
      <c r="G94" s="1687"/>
      <c r="H94" s="58" t="s">
        <v>65</v>
      </c>
      <c r="I94" s="283" t="s">
        <v>47</v>
      </c>
      <c r="J94" s="273" t="s">
        <v>455</v>
      </c>
      <c r="K94" s="1995"/>
      <c r="L94" s="283">
        <v>4</v>
      </c>
      <c r="M94" s="2011">
        <f>IFERROR(EDATE($N94,-3),"Invalid procurement method or date entered")</f>
        <v>44440</v>
      </c>
      <c r="N94" s="284">
        <f t="shared" si="8"/>
        <v>44531</v>
      </c>
      <c r="O94" s="284">
        <v>44652</v>
      </c>
      <c r="P94" s="283">
        <v>12</v>
      </c>
      <c r="Q94" s="283">
        <v>12</v>
      </c>
      <c r="R94" s="286">
        <v>31166</v>
      </c>
      <c r="S94" s="283" t="s">
        <v>51</v>
      </c>
      <c r="T94" s="283" t="s">
        <v>38</v>
      </c>
      <c r="U94" s="285" t="s">
        <v>67</v>
      </c>
      <c r="V94" s="2352"/>
      <c r="W94" s="350" t="s">
        <v>379</v>
      </c>
      <c r="X94" s="2106" t="s">
        <v>189</v>
      </c>
      <c r="Y94" s="283" t="s">
        <v>40</v>
      </c>
      <c r="Z94" s="283" t="s">
        <v>154</v>
      </c>
      <c r="AA94" s="283" t="s">
        <v>70</v>
      </c>
      <c r="AB94" s="2125" t="s">
        <v>88</v>
      </c>
      <c r="AC94" s="287" t="s">
        <v>456</v>
      </c>
      <c r="AD94" s="2153" t="s">
        <v>79</v>
      </c>
      <c r="AE94" s="351"/>
      <c r="AF94" t="str">
        <f t="shared" ca="1" si="7"/>
        <v>N/A</v>
      </c>
      <c r="AG94"/>
    </row>
    <row r="95" spans="1:33" s="906" customFormat="1" ht="203">
      <c r="A95" s="2774"/>
      <c r="B95" s="2775" t="s">
        <v>44</v>
      </c>
      <c r="C95" s="473">
        <v>49871</v>
      </c>
      <c r="D95" s="1687" t="s">
        <v>32</v>
      </c>
      <c r="E95" s="1873"/>
      <c r="F95" s="1687"/>
      <c r="G95" s="1687"/>
      <c r="H95" s="58" t="s">
        <v>323</v>
      </c>
      <c r="I95" s="283" t="s">
        <v>246</v>
      </c>
      <c r="J95" s="1985" t="s">
        <v>457</v>
      </c>
      <c r="K95" s="1999"/>
      <c r="L95" s="283">
        <v>4</v>
      </c>
      <c r="M95" s="2011">
        <f>IFERROR(EDATE($N95,-3),"Invalid procurement method or date entered")</f>
        <v>44440</v>
      </c>
      <c r="N95" s="284">
        <f t="shared" si="8"/>
        <v>44531</v>
      </c>
      <c r="O95" s="284">
        <v>44652</v>
      </c>
      <c r="P95" s="283">
        <v>36</v>
      </c>
      <c r="Q95" s="283" t="s">
        <v>160</v>
      </c>
      <c r="R95" s="286">
        <v>428000</v>
      </c>
      <c r="S95" s="283" t="s">
        <v>84</v>
      </c>
      <c r="T95" s="283" t="s">
        <v>458</v>
      </c>
      <c r="U95" s="294" t="s">
        <v>71</v>
      </c>
      <c r="V95" s="2353"/>
      <c r="W95" s="350" t="s">
        <v>459</v>
      </c>
      <c r="X95" s="9" t="s">
        <v>162</v>
      </c>
      <c r="Y95" s="283" t="s">
        <v>40</v>
      </c>
      <c r="Z95" s="283" t="s">
        <v>69</v>
      </c>
      <c r="AA95" s="283" t="s">
        <v>70</v>
      </c>
      <c r="AB95" s="205" t="s">
        <v>88</v>
      </c>
      <c r="AC95" s="301" t="s">
        <v>460</v>
      </c>
      <c r="AD95" s="2149" t="s">
        <v>285</v>
      </c>
      <c r="AE95" s="286">
        <v>148000</v>
      </c>
      <c r="AF95" t="str">
        <f t="shared" ca="1" si="7"/>
        <v>N/A</v>
      </c>
      <c r="AG95"/>
    </row>
    <row r="96" spans="1:33" s="906" customFormat="1">
      <c r="A96" s="2777"/>
      <c r="B96" s="1949"/>
      <c r="C96" s="473" t="s">
        <v>45</v>
      </c>
      <c r="D96" s="1687" t="s">
        <v>32</v>
      </c>
      <c r="E96" s="1873"/>
      <c r="F96" s="1687"/>
      <c r="G96" s="1687"/>
      <c r="H96" s="58" t="s">
        <v>33</v>
      </c>
      <c r="I96" s="283" t="s">
        <v>47</v>
      </c>
      <c r="J96" s="1986" t="s">
        <v>461</v>
      </c>
      <c r="K96" s="2000"/>
      <c r="L96" s="283">
        <v>6</v>
      </c>
      <c r="M96" s="2011">
        <f>IFERROR(EDATE($N96,-3),"Invalid procurement method or date entered")</f>
        <v>44440</v>
      </c>
      <c r="N96" s="284">
        <f t="shared" si="8"/>
        <v>44531</v>
      </c>
      <c r="O96" s="294">
        <v>44713</v>
      </c>
      <c r="P96" s="285">
        <v>12</v>
      </c>
      <c r="Q96" s="285" t="s">
        <v>45</v>
      </c>
      <c r="R96" s="286">
        <v>4500</v>
      </c>
      <c r="S96" s="283" t="s">
        <v>37</v>
      </c>
      <c r="T96" s="2077" t="s">
        <v>38</v>
      </c>
      <c r="U96" s="2088" t="s">
        <v>67</v>
      </c>
      <c r="V96" s="2088"/>
      <c r="W96" s="285" t="s">
        <v>262</v>
      </c>
      <c r="X96" s="1873" t="s">
        <v>289</v>
      </c>
      <c r="Y96" s="283" t="s">
        <v>371</v>
      </c>
      <c r="Z96" s="283" t="s">
        <v>154</v>
      </c>
      <c r="AA96" s="283" t="s">
        <v>70</v>
      </c>
      <c r="AB96" s="284" t="s">
        <v>224</v>
      </c>
      <c r="AC96" s="1111"/>
      <c r="AD96" s="1879" t="s">
        <v>264</v>
      </c>
      <c r="AE96" s="1810"/>
      <c r="AF96" t="str">
        <f t="shared" ca="1" si="7"/>
        <v>N/A</v>
      </c>
      <c r="AG96"/>
    </row>
    <row r="97" spans="1:33" s="906" customFormat="1" ht="52">
      <c r="A97" s="749" t="s">
        <v>71</v>
      </c>
      <c r="B97" s="841" t="s">
        <v>44</v>
      </c>
      <c r="C97" s="1277" t="s">
        <v>462</v>
      </c>
      <c r="D97" s="1311" t="s">
        <v>32</v>
      </c>
      <c r="E97" s="1271"/>
      <c r="F97" s="1311"/>
      <c r="G97" s="1412"/>
      <c r="H97" s="699" t="s">
        <v>394</v>
      </c>
      <c r="I97" s="718" t="s">
        <v>34</v>
      </c>
      <c r="J97" s="1976" t="s">
        <v>463</v>
      </c>
      <c r="K97" s="1437"/>
      <c r="L97" s="723">
        <v>6</v>
      </c>
      <c r="M97" s="1364">
        <f>IFERROR(EDATE($N97,-3),"Invalid procurement method or date entered")</f>
        <v>44440</v>
      </c>
      <c r="N97" s="792">
        <f t="shared" si="8"/>
        <v>44531</v>
      </c>
      <c r="O97" s="792">
        <v>44713</v>
      </c>
      <c r="P97" s="723">
        <v>48</v>
      </c>
      <c r="Q97" s="766" t="s">
        <v>464</v>
      </c>
      <c r="R97" s="1289">
        <v>2649410</v>
      </c>
      <c r="S97" s="723" t="s">
        <v>130</v>
      </c>
      <c r="T97" s="723" t="s">
        <v>38</v>
      </c>
      <c r="U97" s="741" t="s">
        <v>67</v>
      </c>
      <c r="V97" s="741"/>
      <c r="W97" s="718" t="s">
        <v>465</v>
      </c>
      <c r="X97" s="723" t="s">
        <v>39</v>
      </c>
      <c r="Y97" s="723" t="s">
        <v>40</v>
      </c>
      <c r="Z97" s="723" t="s">
        <v>87</v>
      </c>
      <c r="AA97" s="1179" t="s">
        <v>70</v>
      </c>
      <c r="AB97" s="2119">
        <v>44788</v>
      </c>
      <c r="AC97" s="718" t="s">
        <v>466</v>
      </c>
      <c r="AD97" s="1353" t="s">
        <v>399</v>
      </c>
      <c r="AE97" s="793">
        <v>529882</v>
      </c>
      <c r="AF97">
        <f t="shared" ca="1" si="7"/>
        <v>520</v>
      </c>
      <c r="AG97"/>
    </row>
    <row r="98" spans="1:33" s="906" customFormat="1" ht="39">
      <c r="A98" s="749">
        <v>44880</v>
      </c>
      <c r="B98" s="706" t="s">
        <v>100</v>
      </c>
      <c r="C98" s="707" t="s">
        <v>45</v>
      </c>
      <c r="D98" s="708" t="s">
        <v>122</v>
      </c>
      <c r="E98" s="723"/>
      <c r="F98" s="698"/>
      <c r="G98" s="698"/>
      <c r="H98" s="710" t="s">
        <v>197</v>
      </c>
      <c r="I98" s="710" t="s">
        <v>268</v>
      </c>
      <c r="J98" s="1608" t="s">
        <v>467</v>
      </c>
      <c r="K98" s="710" t="s">
        <v>468</v>
      </c>
      <c r="L98" s="710">
        <v>9</v>
      </c>
      <c r="M98" s="711">
        <f>IFERROR(EDATE(N98,-3),"Invalid procurement method or date entered")</f>
        <v>44440</v>
      </c>
      <c r="N98" s="712">
        <f t="shared" si="8"/>
        <v>44531</v>
      </c>
      <c r="O98" s="713">
        <v>44805</v>
      </c>
      <c r="P98" s="714">
        <v>12</v>
      </c>
      <c r="Q98" s="715">
        <v>12</v>
      </c>
      <c r="R98" s="937">
        <v>40000</v>
      </c>
      <c r="S98" s="716" t="s">
        <v>270</v>
      </c>
      <c r="T98" s="710" t="s">
        <v>62</v>
      </c>
      <c r="U98" s="707" t="s">
        <v>67</v>
      </c>
      <c r="V98" s="721"/>
      <c r="W98" s="750" t="s">
        <v>469</v>
      </c>
      <c r="X98" s="914" t="s">
        <v>470</v>
      </c>
      <c r="Y98" s="782" t="s">
        <v>40</v>
      </c>
      <c r="Z98" s="710" t="s">
        <v>69</v>
      </c>
      <c r="AA98" s="695" t="s">
        <v>471</v>
      </c>
      <c r="AB98" s="1422">
        <v>44937</v>
      </c>
      <c r="AC98" s="717" t="s">
        <v>472</v>
      </c>
      <c r="AD98" s="723"/>
      <c r="AE98" s="723"/>
      <c r="AF98">
        <f t="shared" ca="1" si="7"/>
        <v>371</v>
      </c>
    </row>
    <row r="99" spans="1:33" s="906" customFormat="1" ht="234">
      <c r="A99" s="749"/>
      <c r="B99" s="725" t="s">
        <v>56</v>
      </c>
      <c r="C99" s="1165" t="s">
        <v>60</v>
      </c>
      <c r="D99" s="794" t="s">
        <v>32</v>
      </c>
      <c r="E99" s="794"/>
      <c r="F99" s="1385"/>
      <c r="G99" s="1385"/>
      <c r="H99" s="1409" t="s">
        <v>308</v>
      </c>
      <c r="I99" s="718" t="s">
        <v>47</v>
      </c>
      <c r="J99" s="1984" t="s">
        <v>473</v>
      </c>
      <c r="K99" s="1998"/>
      <c r="L99" s="794">
        <v>14</v>
      </c>
      <c r="M99" s="2012">
        <f>IF(O99="tbc","",(IFERROR(EDATE($N99,-3),"Invalid procurement method or date entered")))</f>
        <v>44440</v>
      </c>
      <c r="N99" s="1161">
        <f>IF(O99="tbc","",(IFERROR(EDATE(O99,-L99),"Invalid procurement method or date entered")))</f>
        <v>44531</v>
      </c>
      <c r="O99" s="792">
        <v>44958</v>
      </c>
      <c r="P99" s="1441" t="s">
        <v>60</v>
      </c>
      <c r="Q99" s="893" t="s">
        <v>60</v>
      </c>
      <c r="R99" s="742">
        <f>SUM(335061*4)+SUM(138703*4)+SUM(200778*4)</f>
        <v>2698168</v>
      </c>
      <c r="S99" s="1354" t="s">
        <v>366</v>
      </c>
      <c r="T99" s="792" t="s">
        <v>474</v>
      </c>
      <c r="U99" s="1165" t="s">
        <v>60</v>
      </c>
      <c r="V99" s="1165"/>
      <c r="W99" s="851" t="s">
        <v>475</v>
      </c>
      <c r="X99" s="895" t="s">
        <v>312</v>
      </c>
      <c r="Y99" s="795" t="s">
        <v>115</v>
      </c>
      <c r="Z99" s="795" t="s">
        <v>69</v>
      </c>
      <c r="AA99" s="1394" t="s">
        <v>70</v>
      </c>
      <c r="AB99" s="2127">
        <v>44854</v>
      </c>
      <c r="AC99" s="2140" t="s">
        <v>476</v>
      </c>
      <c r="AD99" s="1271"/>
      <c r="AE99" s="1271"/>
      <c r="AF99">
        <f t="shared" ca="1" si="7"/>
        <v>454</v>
      </c>
    </row>
    <row r="100" spans="1:33" ht="52">
      <c r="A100" s="1244" t="s">
        <v>71</v>
      </c>
      <c r="B100" s="695" t="s">
        <v>44</v>
      </c>
      <c r="C100" s="738">
        <v>39509</v>
      </c>
      <c r="D100" s="808" t="s">
        <v>32</v>
      </c>
      <c r="E100" s="808"/>
      <c r="F100" s="808"/>
      <c r="G100" s="808"/>
      <c r="H100" s="710" t="s">
        <v>33</v>
      </c>
      <c r="I100" s="710" t="s">
        <v>47</v>
      </c>
      <c r="J100" s="1608" t="s">
        <v>477</v>
      </c>
      <c r="K100" s="843" t="s">
        <v>478</v>
      </c>
      <c r="L100" s="710" t="e">
        <f>IF(OR(S100=#REF!,S100=#REF!,S100=#REF!,S100=#REF!,S100=#REF!,S100=#REF!,S100=#REF!,S100=#REF!),12,IF(OR(S100=#REF!,S100=#REF!,S100=#REF!,S100=#REF!,S100=#REF!,S100=#REF!,S100=#REF!),3,IF(S100=#REF!,1,IF(S100=#REF!,18,IF(OR(S100=#REF!,S100=#REF!,S100=#REF!,S100=#REF!,S100=#REF!),14,"Invalid proposed procurement method")))))</f>
        <v>#REF!</v>
      </c>
      <c r="M100" s="769" t="str">
        <f>IFERROR(EDATE($N100,-3),"Invalid procurement method or date entered")</f>
        <v>Invalid procurement method or date entered</v>
      </c>
      <c r="N100" s="769" t="str">
        <f t="shared" ref="N100:N112" si="11">IFERROR(EDATE(O100,-L100),"Invalid procurement method or date entered")</f>
        <v>Invalid procurement method or date entered</v>
      </c>
      <c r="O100" s="947">
        <v>44919</v>
      </c>
      <c r="P100" s="738">
        <v>36</v>
      </c>
      <c r="Q100" s="884" t="s">
        <v>98</v>
      </c>
      <c r="R100" s="1030">
        <v>260775</v>
      </c>
      <c r="S100" s="710" t="s">
        <v>84</v>
      </c>
      <c r="T100" s="731" t="s">
        <v>62</v>
      </c>
      <c r="U100" s="731" t="s">
        <v>67</v>
      </c>
      <c r="V100" s="731"/>
      <c r="W100" s="738" t="s">
        <v>479</v>
      </c>
      <c r="X100" s="919" t="s">
        <v>94</v>
      </c>
      <c r="Y100" s="843" t="s">
        <v>40</v>
      </c>
      <c r="Z100" s="843" t="s">
        <v>69</v>
      </c>
      <c r="AA100" s="843" t="s">
        <v>70</v>
      </c>
      <c r="AB100" s="1499">
        <v>44917</v>
      </c>
      <c r="AC100" s="945" t="s">
        <v>442</v>
      </c>
      <c r="AD100" s="843" t="s">
        <v>385</v>
      </c>
      <c r="AE100" s="1938"/>
      <c r="AF100">
        <f t="shared" ca="1" si="7"/>
        <v>391</v>
      </c>
      <c r="AG100" s="906"/>
    </row>
    <row r="101" spans="1:33" ht="43.5">
      <c r="B101" s="2755" t="s">
        <v>44</v>
      </c>
      <c r="C101" s="4" t="s">
        <v>45</v>
      </c>
      <c r="D101" s="9" t="s">
        <v>32</v>
      </c>
      <c r="E101" s="9"/>
      <c r="F101" s="9"/>
      <c r="G101" s="9"/>
      <c r="H101" s="5" t="s">
        <v>480</v>
      </c>
      <c r="I101" s="5" t="s">
        <v>34</v>
      </c>
      <c r="J101" s="16" t="s">
        <v>481</v>
      </c>
      <c r="K101" s="101"/>
      <c r="L101" s="5">
        <v>12</v>
      </c>
      <c r="M101" s="199">
        <f>IFERROR(EDATE($N101,-3),"Invalid procurement method or date entered")</f>
        <v>44469</v>
      </c>
      <c r="N101" s="199">
        <f t="shared" si="11"/>
        <v>44561</v>
      </c>
      <c r="O101" s="14">
        <v>44926</v>
      </c>
      <c r="P101" s="5">
        <v>60</v>
      </c>
      <c r="Q101" s="7" t="s">
        <v>482</v>
      </c>
      <c r="R101" s="18">
        <v>130000</v>
      </c>
      <c r="S101" s="2751" t="s">
        <v>75</v>
      </c>
      <c r="T101" s="53" t="s">
        <v>62</v>
      </c>
      <c r="U101" s="53" t="s">
        <v>67</v>
      </c>
      <c r="V101" s="53"/>
      <c r="W101" s="5" t="s">
        <v>483</v>
      </c>
      <c r="X101" s="80" t="s">
        <v>39</v>
      </c>
      <c r="Y101" s="80" t="s">
        <v>40</v>
      </c>
      <c r="Z101" s="80" t="s">
        <v>69</v>
      </c>
      <c r="AA101" s="80" t="s">
        <v>38</v>
      </c>
      <c r="AB101" s="354" t="s">
        <v>484</v>
      </c>
      <c r="AC101" s="101" t="s">
        <v>485</v>
      </c>
      <c r="AD101" s="76" t="s">
        <v>127</v>
      </c>
      <c r="AE101" s="339">
        <v>26000</v>
      </c>
      <c r="AF101" t="str">
        <f t="shared" ca="1" si="7"/>
        <v>N/A</v>
      </c>
    </row>
    <row r="102" spans="1:33" ht="26">
      <c r="A102" s="889" t="s">
        <v>71</v>
      </c>
      <c r="B102" s="707" t="s">
        <v>100</v>
      </c>
      <c r="C102" s="774" t="s">
        <v>486</v>
      </c>
      <c r="D102" s="707" t="s">
        <v>110</v>
      </c>
      <c r="E102" s="707"/>
      <c r="F102" s="707"/>
      <c r="G102" s="707"/>
      <c r="H102" s="709" t="s">
        <v>116</v>
      </c>
      <c r="I102" s="709" t="s">
        <v>268</v>
      </c>
      <c r="J102" s="1608" t="s">
        <v>487</v>
      </c>
      <c r="K102" s="945" t="s">
        <v>488</v>
      </c>
      <c r="L102" s="710">
        <v>3</v>
      </c>
      <c r="M102" s="711">
        <f>IFERROR(EDATE(N102,-3),"Invalid procurement method or date entered")</f>
        <v>44469</v>
      </c>
      <c r="N102" s="712">
        <f t="shared" si="11"/>
        <v>44561</v>
      </c>
      <c r="O102" s="713" t="s">
        <v>489</v>
      </c>
      <c r="P102" s="896">
        <v>120</v>
      </c>
      <c r="Q102" s="896" t="s">
        <v>195</v>
      </c>
      <c r="R102" s="772">
        <v>37036024</v>
      </c>
      <c r="S102" s="758" t="s">
        <v>270</v>
      </c>
      <c r="T102" s="710" t="s">
        <v>38</v>
      </c>
      <c r="U102" s="710" t="s">
        <v>71</v>
      </c>
      <c r="V102" s="710"/>
      <c r="W102" s="709" t="s">
        <v>490</v>
      </c>
      <c r="X102" s="779" t="s">
        <v>283</v>
      </c>
      <c r="Y102" s="843" t="s">
        <v>40</v>
      </c>
      <c r="Z102" s="779" t="s">
        <v>87</v>
      </c>
      <c r="AA102" s="779" t="s">
        <v>70</v>
      </c>
      <c r="AB102" s="1102">
        <v>44762</v>
      </c>
      <c r="AC102" s="1115" t="s">
        <v>491</v>
      </c>
      <c r="AD102" s="922"/>
      <c r="AE102" s="922"/>
      <c r="AF102">
        <f t="shared" ca="1" si="7"/>
        <v>546</v>
      </c>
      <c r="AG102" s="906"/>
    </row>
    <row r="103" spans="1:33" ht="29">
      <c r="A103" s="1184"/>
      <c r="B103" s="2755" t="s">
        <v>44</v>
      </c>
      <c r="C103" s="4" t="s">
        <v>492</v>
      </c>
      <c r="D103" s="5" t="s">
        <v>32</v>
      </c>
      <c r="E103" s="5"/>
      <c r="F103" s="5"/>
      <c r="G103" s="5"/>
      <c r="H103" s="5" t="s">
        <v>33</v>
      </c>
      <c r="I103" s="5" t="s">
        <v>34</v>
      </c>
      <c r="J103" s="16" t="s">
        <v>493</v>
      </c>
      <c r="K103" s="101"/>
      <c r="L103" s="5">
        <v>3</v>
      </c>
      <c r="M103" s="199">
        <f t="shared" ref="M103:M108" si="12">IFERROR(EDATE($N103,-3),"Invalid procurement method or date entered")</f>
        <v>44470</v>
      </c>
      <c r="N103" s="199">
        <f t="shared" si="11"/>
        <v>44562</v>
      </c>
      <c r="O103" s="199">
        <v>44652</v>
      </c>
      <c r="P103" s="5">
        <v>48</v>
      </c>
      <c r="Q103" s="7" t="s">
        <v>316</v>
      </c>
      <c r="R103" s="18">
        <v>108000</v>
      </c>
      <c r="S103" s="5" t="s">
        <v>130</v>
      </c>
      <c r="T103" s="5" t="s">
        <v>38</v>
      </c>
      <c r="U103" s="12" t="s">
        <v>67</v>
      </c>
      <c r="V103" s="12"/>
      <c r="W103" s="5" t="s">
        <v>76</v>
      </c>
      <c r="X103" s="80" t="s">
        <v>39</v>
      </c>
      <c r="Y103" s="80" t="s">
        <v>40</v>
      </c>
      <c r="Z103" s="80" t="s">
        <v>69</v>
      </c>
      <c r="AA103" s="80" t="s">
        <v>70</v>
      </c>
      <c r="AB103" s="354" t="s">
        <v>88</v>
      </c>
      <c r="AC103" s="101" t="s">
        <v>494</v>
      </c>
      <c r="AD103" s="80" t="s">
        <v>385</v>
      </c>
      <c r="AE103" s="197">
        <v>27000</v>
      </c>
      <c r="AF103" t="str">
        <f t="shared" ca="1" si="7"/>
        <v>N/A</v>
      </c>
    </row>
    <row r="104" spans="1:33" ht="203">
      <c r="A104" s="2756"/>
      <c r="B104" s="2755" t="s">
        <v>44</v>
      </c>
      <c r="C104" s="4" t="s">
        <v>495</v>
      </c>
      <c r="D104" s="5" t="s">
        <v>57</v>
      </c>
      <c r="E104" s="5"/>
      <c r="F104" s="5"/>
      <c r="G104" s="5"/>
      <c r="H104" s="5" t="s">
        <v>496</v>
      </c>
      <c r="I104" s="5" t="s">
        <v>47</v>
      </c>
      <c r="J104" s="16" t="s">
        <v>497</v>
      </c>
      <c r="K104" s="111"/>
      <c r="L104" s="5">
        <v>3</v>
      </c>
      <c r="M104" s="199">
        <f t="shared" si="12"/>
        <v>44470</v>
      </c>
      <c r="N104" s="199">
        <f t="shared" si="11"/>
        <v>44562</v>
      </c>
      <c r="O104" s="14">
        <v>44652</v>
      </c>
      <c r="P104" s="12">
        <v>24</v>
      </c>
      <c r="Q104" s="5">
        <v>24</v>
      </c>
      <c r="R104" s="18">
        <v>7600</v>
      </c>
      <c r="S104" s="5" t="s">
        <v>45</v>
      </c>
      <c r="T104" s="14" t="s">
        <v>38</v>
      </c>
      <c r="U104" s="14" t="s">
        <v>67</v>
      </c>
      <c r="V104" s="14"/>
      <c r="W104" s="5" t="s">
        <v>498</v>
      </c>
      <c r="X104" s="1079" t="s">
        <v>351</v>
      </c>
      <c r="Y104" s="80" t="s">
        <v>115</v>
      </c>
      <c r="Z104" s="80" t="s">
        <v>154</v>
      </c>
      <c r="AA104" s="2765" t="s">
        <v>70</v>
      </c>
      <c r="AB104" s="354">
        <v>44701</v>
      </c>
      <c r="AC104" s="1110" t="s">
        <v>499</v>
      </c>
      <c r="AD104" s="76" t="s">
        <v>165</v>
      </c>
      <c r="AE104" s="211" t="s">
        <v>500</v>
      </c>
      <c r="AF104">
        <f t="shared" ca="1" si="7"/>
        <v>607</v>
      </c>
    </row>
    <row r="105" spans="1:33" ht="58">
      <c r="A105" s="1184"/>
      <c r="B105" s="2757"/>
      <c r="C105" s="200" t="s">
        <v>501</v>
      </c>
      <c r="D105" s="46" t="s">
        <v>32</v>
      </c>
      <c r="E105" s="46"/>
      <c r="F105" s="46"/>
      <c r="G105" s="46"/>
      <c r="H105" s="46" t="s">
        <v>502</v>
      </c>
      <c r="I105" s="46" t="s">
        <v>47</v>
      </c>
      <c r="J105" s="69" t="s">
        <v>503</v>
      </c>
      <c r="K105" s="397"/>
      <c r="L105" s="46" t="e">
        <f>IF(OR(S105=#REF!,S105=#REF!,S105=#REF!,S105=#REF!,S105=#REF!,S105=#REF!,S105=#REF!,S105=#REF!),12,IF(OR(S105=#REF!,S105=#REF!,S105=#REF!,S105=#REF!,S105=#REF!,S105=#REF!,S105=#REF!),3,IF(S105=#REF!,1,IF(S105=#REF!,18,IF(OR(S105=#REF!,S105=#REF!,S105=#REF!,S105=#REF!,S105=#REF!),14,"Invalid proposed procurement method")))))</f>
        <v>#REF!</v>
      </c>
      <c r="M105" s="149" t="str">
        <f t="shared" si="12"/>
        <v>Invalid procurement method or date entered</v>
      </c>
      <c r="N105" s="149" t="str">
        <f t="shared" si="11"/>
        <v>Invalid procurement method or date entered</v>
      </c>
      <c r="O105" s="149">
        <v>44652</v>
      </c>
      <c r="P105" s="46">
        <v>36</v>
      </c>
      <c r="Q105" s="46" t="s">
        <v>160</v>
      </c>
      <c r="R105" s="245">
        <v>199500</v>
      </c>
      <c r="S105" s="46" t="s">
        <v>75</v>
      </c>
      <c r="T105" s="1062" t="s">
        <v>62</v>
      </c>
      <c r="U105" s="71" t="s">
        <v>67</v>
      </c>
      <c r="V105" s="71"/>
      <c r="W105" s="46" t="s">
        <v>504</v>
      </c>
      <c r="X105" s="493" t="s">
        <v>94</v>
      </c>
      <c r="Y105" s="493" t="s">
        <v>40</v>
      </c>
      <c r="Z105" s="493" t="s">
        <v>69</v>
      </c>
      <c r="AA105" s="493" t="s">
        <v>70</v>
      </c>
      <c r="AB105" s="1108" t="s">
        <v>143</v>
      </c>
      <c r="AC105" s="1116" t="s">
        <v>505</v>
      </c>
      <c r="AD105" s="493" t="s">
        <v>506</v>
      </c>
      <c r="AE105" s="1555">
        <v>66500</v>
      </c>
      <c r="AF105" t="str">
        <f t="shared" ca="1" si="7"/>
        <v>N/A</v>
      </c>
    </row>
    <row r="106" spans="1:33" ht="26">
      <c r="A106" s="911" t="s">
        <v>71</v>
      </c>
      <c r="B106" s="695" t="s">
        <v>44</v>
      </c>
      <c r="C106" s="738">
        <v>36463</v>
      </c>
      <c r="D106" s="808" t="s">
        <v>32</v>
      </c>
      <c r="E106" s="808"/>
      <c r="F106" s="808"/>
      <c r="G106" s="808"/>
      <c r="H106" s="709" t="s">
        <v>506</v>
      </c>
      <c r="I106" s="709" t="s">
        <v>47</v>
      </c>
      <c r="J106" s="1608" t="s">
        <v>507</v>
      </c>
      <c r="K106" s="945" t="s">
        <v>508</v>
      </c>
      <c r="L106" s="710">
        <v>10</v>
      </c>
      <c r="M106" s="711">
        <f t="shared" si="12"/>
        <v>44470</v>
      </c>
      <c r="N106" s="711">
        <f t="shared" si="11"/>
        <v>44562</v>
      </c>
      <c r="O106" s="770">
        <v>44866</v>
      </c>
      <c r="P106" s="738">
        <v>48</v>
      </c>
      <c r="Q106" s="884" t="s">
        <v>82</v>
      </c>
      <c r="R106" s="1030">
        <v>16000000</v>
      </c>
      <c r="S106" s="710" t="s">
        <v>84</v>
      </c>
      <c r="T106" s="710" t="s">
        <v>70</v>
      </c>
      <c r="U106" s="770">
        <v>44711</v>
      </c>
      <c r="V106" s="770"/>
      <c r="W106" s="709" t="s">
        <v>509</v>
      </c>
      <c r="X106" s="843" t="s">
        <v>94</v>
      </c>
      <c r="Y106" s="843" t="s">
        <v>40</v>
      </c>
      <c r="Z106" s="843" t="s">
        <v>87</v>
      </c>
      <c r="AA106" s="843" t="s">
        <v>70</v>
      </c>
      <c r="AB106" s="956">
        <v>44811</v>
      </c>
      <c r="AC106" s="1121" t="s">
        <v>510</v>
      </c>
      <c r="AD106" s="798" t="s">
        <v>506</v>
      </c>
      <c r="AE106" s="1938"/>
      <c r="AF106">
        <f t="shared" ca="1" si="7"/>
        <v>497</v>
      </c>
      <c r="AG106" s="906"/>
    </row>
    <row r="107" spans="1:33" ht="39">
      <c r="A107" s="1244" t="s">
        <v>71</v>
      </c>
      <c r="B107" s="695" t="s">
        <v>44</v>
      </c>
      <c r="C107" s="738">
        <v>36463</v>
      </c>
      <c r="D107" s="808" t="s">
        <v>32</v>
      </c>
      <c r="E107" s="808"/>
      <c r="F107" s="808"/>
      <c r="G107" s="808"/>
      <c r="H107" s="710" t="s">
        <v>506</v>
      </c>
      <c r="I107" s="710" t="s">
        <v>268</v>
      </c>
      <c r="J107" s="1608" t="s">
        <v>507</v>
      </c>
      <c r="K107" s="843" t="s">
        <v>508</v>
      </c>
      <c r="L107" s="710">
        <v>10</v>
      </c>
      <c r="M107" s="769">
        <f t="shared" si="12"/>
        <v>44470</v>
      </c>
      <c r="N107" s="769">
        <f t="shared" si="11"/>
        <v>44562</v>
      </c>
      <c r="O107" s="947">
        <v>44866</v>
      </c>
      <c r="P107" s="738">
        <v>48</v>
      </c>
      <c r="Q107" s="884" t="s">
        <v>82</v>
      </c>
      <c r="R107" s="1030">
        <v>16000000</v>
      </c>
      <c r="S107" s="710" t="s">
        <v>270</v>
      </c>
      <c r="T107" s="710" t="s">
        <v>70</v>
      </c>
      <c r="U107" s="770">
        <v>44711</v>
      </c>
      <c r="V107" s="770"/>
      <c r="W107" s="710" t="s">
        <v>509</v>
      </c>
      <c r="X107" s="843" t="s">
        <v>283</v>
      </c>
      <c r="Y107" s="843" t="s">
        <v>40</v>
      </c>
      <c r="Z107" s="843" t="s">
        <v>87</v>
      </c>
      <c r="AA107" s="843" t="s">
        <v>70</v>
      </c>
      <c r="AB107" s="1499">
        <v>44881</v>
      </c>
      <c r="AC107" s="1121" t="s">
        <v>511</v>
      </c>
      <c r="AD107" s="798" t="s">
        <v>506</v>
      </c>
      <c r="AE107" s="1938"/>
      <c r="AF107">
        <f t="shared" ca="1" si="7"/>
        <v>427</v>
      </c>
      <c r="AG107" s="907"/>
    </row>
    <row r="108" spans="1:33" ht="101.5">
      <c r="A108" s="2756"/>
      <c r="B108" s="2755" t="s">
        <v>44</v>
      </c>
      <c r="C108" s="4" t="s">
        <v>45</v>
      </c>
      <c r="D108" s="9" t="s">
        <v>32</v>
      </c>
      <c r="E108" s="9"/>
      <c r="F108" s="9"/>
      <c r="G108" s="9"/>
      <c r="H108" s="5" t="s">
        <v>33</v>
      </c>
      <c r="I108" s="5" t="s">
        <v>47</v>
      </c>
      <c r="J108" s="1590" t="s">
        <v>512</v>
      </c>
      <c r="K108" s="1114"/>
      <c r="L108" s="5">
        <v>6</v>
      </c>
      <c r="M108" s="199">
        <f t="shared" si="12"/>
        <v>44485</v>
      </c>
      <c r="N108" s="199">
        <f t="shared" si="11"/>
        <v>44577</v>
      </c>
      <c r="O108" s="182">
        <v>44758</v>
      </c>
      <c r="P108" s="12" t="s">
        <v>45</v>
      </c>
      <c r="Q108" s="12" t="s">
        <v>45</v>
      </c>
      <c r="R108" s="18" t="s">
        <v>45</v>
      </c>
      <c r="S108" s="5" t="s">
        <v>37</v>
      </c>
      <c r="T108" s="52" t="s">
        <v>38</v>
      </c>
      <c r="U108" s="48" t="s">
        <v>67</v>
      </c>
      <c r="V108" s="48"/>
      <c r="W108" s="12" t="s">
        <v>262</v>
      </c>
      <c r="X108" s="1079" t="s">
        <v>162</v>
      </c>
      <c r="Y108" s="80" t="s">
        <v>40</v>
      </c>
      <c r="Z108" s="80" t="s">
        <v>154</v>
      </c>
      <c r="AA108" s="80" t="s">
        <v>70</v>
      </c>
      <c r="AB108" s="354" t="s">
        <v>88</v>
      </c>
      <c r="AC108" s="1110" t="s">
        <v>513</v>
      </c>
      <c r="AD108" s="80" t="s">
        <v>264</v>
      </c>
      <c r="AE108" s="339"/>
      <c r="AF108" t="str">
        <f t="shared" ca="1" si="7"/>
        <v>N/A</v>
      </c>
    </row>
    <row r="109" spans="1:33" ht="29">
      <c r="A109" s="1184"/>
      <c r="B109" s="2755" t="s">
        <v>44</v>
      </c>
      <c r="C109" s="4">
        <v>28613</v>
      </c>
      <c r="D109" s="9" t="s">
        <v>32</v>
      </c>
      <c r="E109" s="9"/>
      <c r="F109" s="9"/>
      <c r="G109" s="9"/>
      <c r="H109" s="5" t="s">
        <v>514</v>
      </c>
      <c r="I109" s="5" t="s">
        <v>47</v>
      </c>
      <c r="J109" s="1590" t="s">
        <v>515</v>
      </c>
      <c r="K109" s="1114"/>
      <c r="L109" s="5">
        <v>6</v>
      </c>
      <c r="M109" s="199">
        <v>44488</v>
      </c>
      <c r="N109" s="199">
        <f t="shared" si="11"/>
        <v>44503</v>
      </c>
      <c r="O109" s="182">
        <v>44684</v>
      </c>
      <c r="P109" s="12">
        <v>48</v>
      </c>
      <c r="Q109" s="12">
        <v>48</v>
      </c>
      <c r="R109" s="18" t="s">
        <v>516</v>
      </c>
      <c r="S109" s="5" t="s">
        <v>84</v>
      </c>
      <c r="T109" s="5" t="s">
        <v>38</v>
      </c>
      <c r="U109" s="12" t="s">
        <v>67</v>
      </c>
      <c r="V109" s="12"/>
      <c r="W109" s="12" t="s">
        <v>517</v>
      </c>
      <c r="X109" s="1076" t="s">
        <v>94</v>
      </c>
      <c r="Y109" s="80" t="s">
        <v>40</v>
      </c>
      <c r="Z109" s="80" t="s">
        <v>154</v>
      </c>
      <c r="AA109" s="80" t="s">
        <v>38</v>
      </c>
      <c r="AB109" s="354" t="s">
        <v>88</v>
      </c>
      <c r="AC109" s="1111" t="s">
        <v>518</v>
      </c>
      <c r="AD109" s="80" t="s">
        <v>506</v>
      </c>
      <c r="AE109" s="339">
        <v>4000</v>
      </c>
      <c r="AF109" t="str">
        <f t="shared" ca="1" si="7"/>
        <v>N/A</v>
      </c>
    </row>
    <row r="110" spans="1:33">
      <c r="A110" s="2756"/>
      <c r="B110" s="2755" t="s">
        <v>44</v>
      </c>
      <c r="C110" s="4" t="s">
        <v>45</v>
      </c>
      <c r="D110" s="5" t="s">
        <v>32</v>
      </c>
      <c r="E110" s="5"/>
      <c r="F110" s="5"/>
      <c r="G110" s="5"/>
      <c r="H110" s="5" t="s">
        <v>33</v>
      </c>
      <c r="I110" s="5" t="s">
        <v>47</v>
      </c>
      <c r="J110" s="1590" t="s">
        <v>519</v>
      </c>
      <c r="K110" s="1114"/>
      <c r="L110" s="5">
        <v>6</v>
      </c>
      <c r="M110" s="199">
        <f>IFERROR(EDATE($N110,-3),"Invalid procurement method or date entered")</f>
        <v>44489</v>
      </c>
      <c r="N110" s="199">
        <f t="shared" si="11"/>
        <v>44581</v>
      </c>
      <c r="O110" s="182">
        <v>44762</v>
      </c>
      <c r="P110" s="12" t="s">
        <v>45</v>
      </c>
      <c r="Q110" s="12" t="s">
        <v>45</v>
      </c>
      <c r="R110" s="18" t="s">
        <v>45</v>
      </c>
      <c r="S110" s="5" t="s">
        <v>37</v>
      </c>
      <c r="T110" s="5" t="s">
        <v>38</v>
      </c>
      <c r="U110" s="12" t="s">
        <v>67</v>
      </c>
      <c r="V110" s="12"/>
      <c r="W110" s="12" t="s">
        <v>262</v>
      </c>
      <c r="X110" s="1079" t="s">
        <v>289</v>
      </c>
      <c r="Y110" s="80" t="s">
        <v>40</v>
      </c>
      <c r="Z110" s="80" t="s">
        <v>154</v>
      </c>
      <c r="AA110" s="80" t="s">
        <v>70</v>
      </c>
      <c r="AB110" s="354" t="s">
        <v>224</v>
      </c>
      <c r="AC110" s="1110" t="s">
        <v>520</v>
      </c>
      <c r="AD110" s="80" t="s">
        <v>264</v>
      </c>
      <c r="AE110" s="1142">
        <v>349</v>
      </c>
      <c r="AF110" t="str">
        <f t="shared" ca="1" si="7"/>
        <v>N/A</v>
      </c>
    </row>
    <row r="111" spans="1:33" ht="58">
      <c r="A111" s="2756"/>
      <c r="B111" s="2755" t="s">
        <v>44</v>
      </c>
      <c r="C111" s="218" t="s">
        <v>521</v>
      </c>
      <c r="D111" s="1558" t="s">
        <v>57</v>
      </c>
      <c r="E111" s="1558"/>
      <c r="F111" s="1558"/>
      <c r="G111" s="1558"/>
      <c r="H111" s="92" t="s">
        <v>46</v>
      </c>
      <c r="I111" s="92" t="s">
        <v>34</v>
      </c>
      <c r="J111" s="103" t="s">
        <v>522</v>
      </c>
      <c r="K111" s="1725"/>
      <c r="L111" s="92">
        <v>6</v>
      </c>
      <c r="M111" s="220">
        <f>IFERROR(EDATE($N111,-3),"Invalid procurement method or date entered")</f>
        <v>44495</v>
      </c>
      <c r="N111" s="220">
        <f t="shared" si="11"/>
        <v>44587</v>
      </c>
      <c r="O111" s="220">
        <v>44768</v>
      </c>
      <c r="P111" s="91">
        <v>24</v>
      </c>
      <c r="Q111" s="91" t="s">
        <v>523</v>
      </c>
      <c r="R111" s="1559">
        <v>174960</v>
      </c>
      <c r="S111" s="92" t="s">
        <v>130</v>
      </c>
      <c r="T111" s="92" t="s">
        <v>38</v>
      </c>
      <c r="U111" s="91" t="s">
        <v>67</v>
      </c>
      <c r="V111" s="91"/>
      <c r="W111" s="92" t="s">
        <v>524</v>
      </c>
      <c r="X111" s="1079" t="s">
        <v>39</v>
      </c>
      <c r="Y111" s="1084" t="s">
        <v>40</v>
      </c>
      <c r="Z111" s="1084"/>
      <c r="AA111" s="1084"/>
      <c r="AB111" s="354" t="s">
        <v>88</v>
      </c>
      <c r="AC111" s="995" t="s">
        <v>525</v>
      </c>
      <c r="AD111" s="1560" t="s">
        <v>46</v>
      </c>
      <c r="AE111" s="1561">
        <v>87480</v>
      </c>
      <c r="AF111" t="str">
        <f t="shared" ca="1" si="7"/>
        <v>N/A</v>
      </c>
    </row>
    <row r="112" spans="1:33" ht="26">
      <c r="A112" s="911" t="s">
        <v>71</v>
      </c>
      <c r="B112" s="695" t="s">
        <v>44</v>
      </c>
      <c r="C112" s="738" t="s">
        <v>526</v>
      </c>
      <c r="D112" s="710" t="s">
        <v>32</v>
      </c>
      <c r="E112" s="710"/>
      <c r="F112" s="710"/>
      <c r="G112" s="710"/>
      <c r="H112" s="709" t="s">
        <v>33</v>
      </c>
      <c r="I112" s="709" t="s">
        <v>34</v>
      </c>
      <c r="J112" s="1602" t="s">
        <v>527</v>
      </c>
      <c r="K112" s="945" t="s">
        <v>528</v>
      </c>
      <c r="L112" s="710">
        <v>7</v>
      </c>
      <c r="M112" s="711">
        <f>IFERROR(EDATE($N112,-3),"Invalid procurement method or date entered")</f>
        <v>44500</v>
      </c>
      <c r="N112" s="711">
        <f t="shared" si="11"/>
        <v>44592</v>
      </c>
      <c r="O112" s="711">
        <v>44804</v>
      </c>
      <c r="P112" s="738">
        <v>16</v>
      </c>
      <c r="Q112" s="738">
        <v>16</v>
      </c>
      <c r="R112" s="772">
        <v>37000</v>
      </c>
      <c r="S112" s="710" t="s">
        <v>529</v>
      </c>
      <c r="T112" s="796" t="s">
        <v>38</v>
      </c>
      <c r="U112" s="738" t="s">
        <v>67</v>
      </c>
      <c r="V112" s="738"/>
      <c r="W112" s="709" t="s">
        <v>142</v>
      </c>
      <c r="X112" s="843" t="s">
        <v>254</v>
      </c>
      <c r="Y112" s="843" t="s">
        <v>40</v>
      </c>
      <c r="Z112" s="843" t="s">
        <v>154</v>
      </c>
      <c r="AA112" s="843" t="s">
        <v>70</v>
      </c>
      <c r="AB112" s="956">
        <v>44812</v>
      </c>
      <c r="AC112" s="1374" t="s">
        <v>530</v>
      </c>
      <c r="AD112" s="843" t="s">
        <v>145</v>
      </c>
      <c r="AE112" s="883">
        <v>4999</v>
      </c>
      <c r="AF112">
        <f t="shared" ca="1" si="7"/>
        <v>496</v>
      </c>
      <c r="AG112" s="906"/>
    </row>
    <row r="113" spans="1:33" ht="37.5">
      <c r="B113" s="577" t="s">
        <v>56</v>
      </c>
      <c r="C113" s="510" t="s">
        <v>60</v>
      </c>
      <c r="D113" s="511" t="s">
        <v>32</v>
      </c>
      <c r="E113" s="511"/>
      <c r="F113" s="511"/>
      <c r="G113" s="511"/>
      <c r="H113" s="511" t="s">
        <v>308</v>
      </c>
      <c r="I113" s="519" t="s">
        <v>34</v>
      </c>
      <c r="J113" s="1578" t="s">
        <v>531</v>
      </c>
      <c r="K113" s="658"/>
      <c r="L113" s="511">
        <v>12</v>
      </c>
      <c r="M113" s="514">
        <f>IF(O113="tbc","",(IFERROR(EDATE($N113,-3),"Invalid procurement method or date entered")))</f>
        <v>44501</v>
      </c>
      <c r="N113" s="514">
        <f>IF(O113="tbc","",(IFERROR(EDATE(O113,-L113),"Invalid procurement method or date entered")))</f>
        <v>44593</v>
      </c>
      <c r="O113" s="515">
        <v>44958</v>
      </c>
      <c r="P113" s="516">
        <v>12</v>
      </c>
      <c r="Q113" s="516">
        <v>12</v>
      </c>
      <c r="R113" s="528">
        <v>7500000</v>
      </c>
      <c r="S113" s="515" t="s">
        <v>130</v>
      </c>
      <c r="T113" s="515" t="s">
        <v>474</v>
      </c>
      <c r="U113" s="510" t="s">
        <v>60</v>
      </c>
      <c r="V113" s="510"/>
      <c r="W113" s="569" t="s">
        <v>532</v>
      </c>
      <c r="AF113">
        <f t="shared" ca="1" si="7"/>
        <v>45308</v>
      </c>
    </row>
    <row r="114" spans="1:33" ht="50">
      <c r="B114" s="577" t="s">
        <v>56</v>
      </c>
      <c r="C114" s="510" t="s">
        <v>60</v>
      </c>
      <c r="D114" s="511" t="s">
        <v>57</v>
      </c>
      <c r="E114" s="511"/>
      <c r="F114" s="511"/>
      <c r="G114" s="511"/>
      <c r="H114" s="511" t="s">
        <v>58</v>
      </c>
      <c r="I114" s="510" t="s">
        <v>47</v>
      </c>
      <c r="J114" s="1580" t="s">
        <v>533</v>
      </c>
      <c r="K114" s="658"/>
      <c r="L114" s="511">
        <v>6</v>
      </c>
      <c r="M114" s="514">
        <v>44511</v>
      </c>
      <c r="N114" s="514">
        <v>44511</v>
      </c>
      <c r="O114" s="534">
        <v>44683</v>
      </c>
      <c r="P114" s="535">
        <v>48</v>
      </c>
      <c r="Q114" s="535">
        <v>48</v>
      </c>
      <c r="R114" s="528">
        <v>125000</v>
      </c>
      <c r="S114" s="515" t="s">
        <v>176</v>
      </c>
      <c r="T114" s="515" t="s">
        <v>62</v>
      </c>
      <c r="U114" s="515" t="s">
        <v>60</v>
      </c>
      <c r="V114" s="515"/>
      <c r="W114" s="394" t="s">
        <v>70</v>
      </c>
      <c r="AF114">
        <f t="shared" ca="1" si="7"/>
        <v>45308</v>
      </c>
    </row>
    <row r="115" spans="1:33" ht="43.5">
      <c r="A115" s="2756"/>
      <c r="B115" s="2755" t="s">
        <v>44</v>
      </c>
      <c r="C115" s="4" t="s">
        <v>534</v>
      </c>
      <c r="D115" s="5" t="s">
        <v>32</v>
      </c>
      <c r="E115" s="5"/>
      <c r="F115" s="5"/>
      <c r="G115" s="5"/>
      <c r="H115" s="5" t="s">
        <v>33</v>
      </c>
      <c r="I115" s="5" t="s">
        <v>34</v>
      </c>
      <c r="J115" s="16" t="s">
        <v>535</v>
      </c>
      <c r="K115" s="101"/>
      <c r="L115" s="5">
        <v>3</v>
      </c>
      <c r="M115" s="199">
        <f>IFERROR(EDATE($N115,-3),"Invalid procurement method or date entered")</f>
        <v>44511</v>
      </c>
      <c r="N115" s="199">
        <f>IFERROR(EDATE(O115,-L115),"Invalid procurement method or date entered")</f>
        <v>44603</v>
      </c>
      <c r="O115" s="199">
        <v>44692</v>
      </c>
      <c r="P115" s="5">
        <v>24</v>
      </c>
      <c r="Q115" s="7" t="s">
        <v>36</v>
      </c>
      <c r="R115" s="18">
        <v>40000</v>
      </c>
      <c r="S115" s="5" t="s">
        <v>130</v>
      </c>
      <c r="T115" s="5" t="s">
        <v>38</v>
      </c>
      <c r="U115" s="12" t="s">
        <v>67</v>
      </c>
      <c r="V115" s="12"/>
      <c r="W115" s="5" t="s">
        <v>142</v>
      </c>
      <c r="X115" s="2765" t="s">
        <v>39</v>
      </c>
      <c r="Y115" s="80" t="s">
        <v>40</v>
      </c>
      <c r="Z115" s="80" t="s">
        <v>69</v>
      </c>
      <c r="AA115" s="80" t="s">
        <v>70</v>
      </c>
      <c r="AB115" s="354" t="s">
        <v>88</v>
      </c>
      <c r="AC115" s="101" t="s">
        <v>536</v>
      </c>
      <c r="AD115" s="80" t="s">
        <v>145</v>
      </c>
      <c r="AE115" s="339"/>
      <c r="AF115" t="str">
        <f t="shared" ca="1" si="7"/>
        <v>N/A</v>
      </c>
    </row>
    <row r="116" spans="1:33" ht="37.5">
      <c r="B116" s="577" t="s">
        <v>56</v>
      </c>
      <c r="C116" s="510">
        <v>47398</v>
      </c>
      <c r="D116" s="511" t="s">
        <v>122</v>
      </c>
      <c r="E116" s="511"/>
      <c r="F116" s="511"/>
      <c r="G116" s="511"/>
      <c r="H116" s="511" t="s">
        <v>308</v>
      </c>
      <c r="I116" s="510" t="s">
        <v>47</v>
      </c>
      <c r="J116" s="1580" t="s">
        <v>537</v>
      </c>
      <c r="K116" s="616"/>
      <c r="L116" s="511">
        <v>12</v>
      </c>
      <c r="M116" s="514">
        <v>44518</v>
      </c>
      <c r="N116" s="514">
        <f>IF(O116="tbc","",(IFERROR(EDATE(O116,-L116),"Invalid procurement method or date entered")))</f>
        <v>44317</v>
      </c>
      <c r="O116" s="534">
        <v>44682</v>
      </c>
      <c r="P116" s="535">
        <v>3</v>
      </c>
      <c r="Q116" s="535">
        <v>3</v>
      </c>
      <c r="R116" s="528">
        <v>419000</v>
      </c>
      <c r="S116" s="515" t="s">
        <v>75</v>
      </c>
      <c r="T116" s="515" t="s">
        <v>62</v>
      </c>
      <c r="U116" s="515" t="s">
        <v>60</v>
      </c>
      <c r="V116" s="515"/>
      <c r="W116" s="394" t="s">
        <v>70</v>
      </c>
      <c r="AF116">
        <f t="shared" ca="1" si="7"/>
        <v>45308</v>
      </c>
    </row>
    <row r="117" spans="1:33" ht="37.5">
      <c r="B117" s="577" t="s">
        <v>56</v>
      </c>
      <c r="C117" s="510" t="s">
        <v>538</v>
      </c>
      <c r="D117" s="511" t="s">
        <v>122</v>
      </c>
      <c r="E117" s="511"/>
      <c r="F117" s="511"/>
      <c r="G117" s="511"/>
      <c r="H117" s="511" t="s">
        <v>308</v>
      </c>
      <c r="I117" s="510" t="s">
        <v>47</v>
      </c>
      <c r="J117" s="1580" t="s">
        <v>539</v>
      </c>
      <c r="K117" s="616"/>
      <c r="L117" s="511">
        <v>12</v>
      </c>
      <c r="M117" s="514">
        <v>44518</v>
      </c>
      <c r="N117" s="514">
        <f>IF(O117="tbc","",(IFERROR(EDATE(O117,-L117),"Invalid procurement method or date entered")))</f>
        <v>44317</v>
      </c>
      <c r="O117" s="534">
        <v>44682</v>
      </c>
      <c r="P117" s="535">
        <v>3</v>
      </c>
      <c r="Q117" s="535">
        <v>3</v>
      </c>
      <c r="R117" s="528">
        <v>214000</v>
      </c>
      <c r="S117" s="515" t="s">
        <v>75</v>
      </c>
      <c r="T117" s="515" t="s">
        <v>62</v>
      </c>
      <c r="U117" s="515" t="s">
        <v>60</v>
      </c>
      <c r="V117" s="515"/>
      <c r="W117" s="394" t="s">
        <v>70</v>
      </c>
      <c r="AF117">
        <f t="shared" ca="1" si="7"/>
        <v>45308</v>
      </c>
    </row>
    <row r="118" spans="1:33" ht="37.5">
      <c r="B118" s="577" t="s">
        <v>56</v>
      </c>
      <c r="C118" s="510" t="s">
        <v>60</v>
      </c>
      <c r="D118" s="511" t="s">
        <v>122</v>
      </c>
      <c r="E118" s="511"/>
      <c r="F118" s="511"/>
      <c r="G118" s="511"/>
      <c r="H118" s="511" t="s">
        <v>308</v>
      </c>
      <c r="I118" s="510" t="s">
        <v>47</v>
      </c>
      <c r="J118" s="1580" t="s">
        <v>540</v>
      </c>
      <c r="K118" s="658"/>
      <c r="L118" s="511">
        <v>12</v>
      </c>
      <c r="M118" s="514">
        <v>44525</v>
      </c>
      <c r="N118" s="514">
        <f>IF(O118="tbc","",(IFERROR(EDATE(O118,-L118),"Invalid procurement method or date entered")))</f>
        <v>44348</v>
      </c>
      <c r="O118" s="534">
        <v>44713</v>
      </c>
      <c r="P118" s="535">
        <v>3</v>
      </c>
      <c r="Q118" s="535">
        <v>3</v>
      </c>
      <c r="R118" s="528">
        <v>570000</v>
      </c>
      <c r="S118" s="515" t="s">
        <v>75</v>
      </c>
      <c r="T118" s="515" t="s">
        <v>62</v>
      </c>
      <c r="U118" s="515" t="s">
        <v>60</v>
      </c>
      <c r="V118" s="515"/>
      <c r="W118" s="394" t="s">
        <v>70</v>
      </c>
      <c r="AF118">
        <f t="shared" ca="1" si="7"/>
        <v>45308</v>
      </c>
    </row>
    <row r="119" spans="1:33" ht="116">
      <c r="A119" s="1184"/>
      <c r="B119" s="2755" t="s">
        <v>44</v>
      </c>
      <c r="C119" s="4" t="s">
        <v>67</v>
      </c>
      <c r="D119" s="5" t="s">
        <v>57</v>
      </c>
      <c r="E119" s="5"/>
      <c r="F119" s="5"/>
      <c r="G119" s="5"/>
      <c r="H119" s="5" t="s">
        <v>33</v>
      </c>
      <c r="I119" s="5" t="s">
        <v>47</v>
      </c>
      <c r="J119" s="16" t="s">
        <v>541</v>
      </c>
      <c r="K119" s="111"/>
      <c r="L119" s="5" t="e">
        <f>IF(OR(S119=#REF!,S119=#REF!,S119=#REF!,S119=#REF!,S119=#REF!,S119=#REF!,S119=#REF!,S119=#REF!),12,IF(OR(S119=#REF!,S119=#REF!,S119=#REF!,S119=#REF!,S119=#REF!,S119=#REF!,S119=#REF!),3,IF(S119=#REF!,1,IF(S119=#REF!,18,IF(OR(S119=#REF!,S119=#REF!,S119=#REF!,S119=#REF!,S119=#REF!),14,"Invalid proposed procurement method")))))</f>
        <v>#REF!</v>
      </c>
      <c r="M119" s="199" t="str">
        <f>IFERROR(EDATE($N119,-3),"Invalid procurement method or date entered")</f>
        <v>Invalid procurement method or date entered</v>
      </c>
      <c r="N119" s="199" t="str">
        <f>IFERROR(EDATE(O119,-L119),"Invalid procurement method or date entered")</f>
        <v>Invalid procurement method or date entered</v>
      </c>
      <c r="O119" s="182">
        <v>44652</v>
      </c>
      <c r="P119" s="12">
        <v>12</v>
      </c>
      <c r="Q119" s="7" t="s">
        <v>50</v>
      </c>
      <c r="R119" s="18">
        <v>1356</v>
      </c>
      <c r="S119" s="5" t="s">
        <v>37</v>
      </c>
      <c r="T119" s="5" t="s">
        <v>38</v>
      </c>
      <c r="U119" s="182" t="s">
        <v>67</v>
      </c>
      <c r="V119" s="182"/>
      <c r="W119" s="5" t="s">
        <v>542</v>
      </c>
      <c r="X119" s="2760" t="s">
        <v>543</v>
      </c>
      <c r="Y119" s="80" t="s">
        <v>40</v>
      </c>
      <c r="Z119" s="80" t="s">
        <v>154</v>
      </c>
      <c r="AA119" s="76" t="s">
        <v>70</v>
      </c>
      <c r="AB119" s="354" t="s">
        <v>88</v>
      </c>
      <c r="AC119" s="993" t="s">
        <v>544</v>
      </c>
      <c r="AD119" s="80" t="s">
        <v>96</v>
      </c>
      <c r="AE119" s="197">
        <v>1356</v>
      </c>
      <c r="AF119" t="str">
        <f t="shared" ca="1" si="7"/>
        <v>N/A</v>
      </c>
    </row>
    <row r="120" spans="1:33" ht="29">
      <c r="A120" s="1184"/>
      <c r="B120" s="200" t="s">
        <v>100</v>
      </c>
      <c r="C120" s="382" t="s">
        <v>45</v>
      </c>
      <c r="D120" s="8" t="s">
        <v>32</v>
      </c>
      <c r="E120" s="8"/>
      <c r="F120" s="8"/>
      <c r="G120" s="8"/>
      <c r="H120" s="338"/>
      <c r="I120" s="16" t="s">
        <v>47</v>
      </c>
      <c r="J120" s="16" t="s">
        <v>545</v>
      </c>
      <c r="K120" s="101"/>
      <c r="L120" s="5">
        <v>1</v>
      </c>
      <c r="M120" s="199">
        <f>IFERROR(EDATE(N120,-3),"Invalid procurement method or date entered")</f>
        <v>44531</v>
      </c>
      <c r="N120" s="1556">
        <f>IFERROR(EDATE(O120,-L120),"Invalid procurement method or date entered")</f>
        <v>44621</v>
      </c>
      <c r="O120" s="367">
        <v>44652</v>
      </c>
      <c r="P120" s="368">
        <v>24</v>
      </c>
      <c r="Q120" s="368">
        <v>24</v>
      </c>
      <c r="R120" s="2056">
        <v>75000</v>
      </c>
      <c r="S120" s="159" t="s">
        <v>37</v>
      </c>
      <c r="T120" s="58" t="s">
        <v>62</v>
      </c>
      <c r="U120" s="5" t="s">
        <v>71</v>
      </c>
      <c r="V120" s="5"/>
      <c r="W120" s="8" t="s">
        <v>360</v>
      </c>
      <c r="X120" s="111" t="s">
        <v>254</v>
      </c>
      <c r="Y120" s="111" t="s">
        <v>40</v>
      </c>
      <c r="Z120" s="111"/>
      <c r="AA120" s="1552" t="s">
        <v>45</v>
      </c>
      <c r="AB120" s="1553" t="s">
        <v>70</v>
      </c>
      <c r="AC120" s="491">
        <v>44746</v>
      </c>
      <c r="AD120" s="491"/>
      <c r="AE120" s="491"/>
      <c r="AF120" t="str">
        <f t="shared" ca="1" si="7"/>
        <v>N/A</v>
      </c>
    </row>
    <row r="121" spans="1:33" ht="26">
      <c r="A121" s="1244" t="s">
        <v>71</v>
      </c>
      <c r="B121" s="695" t="s">
        <v>44</v>
      </c>
      <c r="C121" s="738">
        <v>38914</v>
      </c>
      <c r="D121" s="710" t="s">
        <v>32</v>
      </c>
      <c r="E121" s="710"/>
      <c r="F121" s="710"/>
      <c r="G121" s="710"/>
      <c r="H121" s="710" t="s">
        <v>33</v>
      </c>
      <c r="I121" s="710" t="s">
        <v>47</v>
      </c>
      <c r="J121" s="1608" t="s">
        <v>546</v>
      </c>
      <c r="K121" s="843" t="s">
        <v>478</v>
      </c>
      <c r="L121" s="710">
        <v>11</v>
      </c>
      <c r="M121" s="769">
        <v>44531</v>
      </c>
      <c r="N121" s="769">
        <f>IFERROR(EDATE(O121,-L121),"Invalid procurement method or date entered")</f>
        <v>44593</v>
      </c>
      <c r="O121" s="947">
        <v>44927</v>
      </c>
      <c r="P121" s="738">
        <v>24</v>
      </c>
      <c r="Q121" s="884" t="s">
        <v>391</v>
      </c>
      <c r="R121" s="1030">
        <v>4340000</v>
      </c>
      <c r="S121" s="710" t="s">
        <v>84</v>
      </c>
      <c r="T121" s="710" t="s">
        <v>70</v>
      </c>
      <c r="U121" s="770">
        <v>44764</v>
      </c>
      <c r="V121" s="770"/>
      <c r="W121" s="710" t="s">
        <v>479</v>
      </c>
      <c r="X121" s="843" t="s">
        <v>94</v>
      </c>
      <c r="Y121" s="843" t="s">
        <v>40</v>
      </c>
      <c r="Z121" s="843" t="s">
        <v>87</v>
      </c>
      <c r="AA121" s="843" t="s">
        <v>70</v>
      </c>
      <c r="AB121" s="1499">
        <v>44908</v>
      </c>
      <c r="AC121" s="1374" t="s">
        <v>442</v>
      </c>
      <c r="AD121" s="843" t="s">
        <v>385</v>
      </c>
      <c r="AE121" s="1817"/>
      <c r="AF121">
        <f t="shared" ca="1" si="7"/>
        <v>400</v>
      </c>
      <c r="AG121" s="906"/>
    </row>
    <row r="122" spans="1:33" ht="52">
      <c r="A122" s="1244" t="s">
        <v>71</v>
      </c>
      <c r="B122" s="695" t="s">
        <v>44</v>
      </c>
      <c r="C122" s="738">
        <v>36238</v>
      </c>
      <c r="D122" s="808" t="s">
        <v>32</v>
      </c>
      <c r="E122" s="808"/>
      <c r="F122" s="808"/>
      <c r="G122" s="808"/>
      <c r="H122" s="710" t="s">
        <v>33</v>
      </c>
      <c r="I122" s="710" t="s">
        <v>47</v>
      </c>
      <c r="J122" s="1608" t="s">
        <v>547</v>
      </c>
      <c r="K122" s="843" t="s">
        <v>548</v>
      </c>
      <c r="L122" s="710" t="e">
        <f>IF(OR(S122=#REF!,S122=#REF!,S122=#REF!,S122=#REF!,S122=#REF!,S122=#REF!,S122=#REF!,S122=#REF!),12,IF(OR(S122=#REF!,S122=#REF!,S122=#REF!,S122=#REF!,S122=#REF!,S122=#REF!,S122=#REF!),3,IF(S122=#REF!,1,IF(S122=#REF!,18,IF(OR(S122=#REF!,S122=#REF!,S122=#REF!,S122=#REF!,S122=#REF!),14,"Invalid proposed procurement method")))))</f>
        <v>#REF!</v>
      </c>
      <c r="M122" s="769" t="str">
        <f>IFERROR(EDATE($N122,-3),"Invalid procurement method or date entered")</f>
        <v>Invalid procurement method or date entered</v>
      </c>
      <c r="N122" s="769" t="str">
        <f>IFERROR(EDATE(O122,-L122),"Invalid procurement method or date entered")</f>
        <v>Invalid procurement method or date entered</v>
      </c>
      <c r="O122" s="947">
        <v>44986</v>
      </c>
      <c r="P122" s="738">
        <v>60</v>
      </c>
      <c r="Q122" s="884" t="s">
        <v>187</v>
      </c>
      <c r="R122" s="772">
        <v>620000</v>
      </c>
      <c r="S122" s="710" t="s">
        <v>158</v>
      </c>
      <c r="T122" s="710" t="s">
        <v>70</v>
      </c>
      <c r="U122" s="770">
        <v>44691</v>
      </c>
      <c r="V122" s="770"/>
      <c r="W122" s="710" t="s">
        <v>549</v>
      </c>
      <c r="X122" s="843" t="s">
        <v>94</v>
      </c>
      <c r="Y122" s="843" t="s">
        <v>40</v>
      </c>
      <c r="Z122" s="843" t="s">
        <v>69</v>
      </c>
      <c r="AA122" s="843" t="s">
        <v>70</v>
      </c>
      <c r="AB122" s="1499">
        <v>44883</v>
      </c>
      <c r="AC122" s="1115" t="s">
        <v>550</v>
      </c>
      <c r="AD122" s="843" t="s">
        <v>145</v>
      </c>
      <c r="AE122" s="806"/>
      <c r="AF122">
        <f t="shared" ca="1" si="7"/>
        <v>425</v>
      </c>
      <c r="AG122" s="906"/>
    </row>
    <row r="123" spans="1:33" ht="78">
      <c r="A123" s="889" t="s">
        <v>71</v>
      </c>
      <c r="B123" s="707" t="s">
        <v>100</v>
      </c>
      <c r="C123" s="707" t="s">
        <v>71</v>
      </c>
      <c r="D123" s="710" t="s">
        <v>110</v>
      </c>
      <c r="E123" s="710"/>
      <c r="F123" s="710"/>
      <c r="G123" s="710"/>
      <c r="H123" s="710" t="s">
        <v>103</v>
      </c>
      <c r="I123" s="710" t="s">
        <v>47</v>
      </c>
      <c r="J123" s="1608" t="s">
        <v>551</v>
      </c>
      <c r="K123" s="843" t="s">
        <v>365</v>
      </c>
      <c r="L123" s="710">
        <v>12</v>
      </c>
      <c r="M123" s="711">
        <f>IFERROR(EDATE(N123,-3),"Invalid procurement method or date entered")</f>
        <v>44531</v>
      </c>
      <c r="N123" s="712">
        <v>44621</v>
      </c>
      <c r="O123" s="713">
        <v>45017</v>
      </c>
      <c r="P123" s="707">
        <v>84</v>
      </c>
      <c r="Q123" s="707" t="s">
        <v>552</v>
      </c>
      <c r="R123" s="1030">
        <v>2606235.6</v>
      </c>
      <c r="S123" s="758" t="s">
        <v>553</v>
      </c>
      <c r="T123" s="710" t="s">
        <v>70</v>
      </c>
      <c r="U123" s="710" t="s">
        <v>554</v>
      </c>
      <c r="V123" s="710"/>
      <c r="W123" s="710" t="s">
        <v>555</v>
      </c>
      <c r="X123" s="843" t="s">
        <v>413</v>
      </c>
      <c r="Y123" s="843" t="s">
        <v>40</v>
      </c>
      <c r="Z123" s="843" t="s">
        <v>87</v>
      </c>
      <c r="AA123" s="1092" t="s">
        <v>70</v>
      </c>
      <c r="AB123" s="1499">
        <v>44932</v>
      </c>
      <c r="AC123" s="1906" t="s">
        <v>556</v>
      </c>
      <c r="AD123" s="922"/>
      <c r="AE123" s="922"/>
      <c r="AF123">
        <f t="shared" ca="1" si="7"/>
        <v>376</v>
      </c>
      <c r="AG123" s="906"/>
    </row>
    <row r="124" spans="1:33" ht="52">
      <c r="A124" s="1244" t="s">
        <v>71</v>
      </c>
      <c r="B124" s="695" t="s">
        <v>44</v>
      </c>
      <c r="C124" s="695" t="s">
        <v>557</v>
      </c>
      <c r="D124" s="808" t="s">
        <v>32</v>
      </c>
      <c r="E124" s="808"/>
      <c r="F124" s="808"/>
      <c r="G124" s="808"/>
      <c r="H124" s="710" t="s">
        <v>33</v>
      </c>
      <c r="I124" s="838" t="s">
        <v>34</v>
      </c>
      <c r="J124" s="1608" t="s">
        <v>558</v>
      </c>
      <c r="K124" s="1870" t="s">
        <v>559</v>
      </c>
      <c r="L124" s="710" t="e">
        <f>IF(OR(S124=#REF!,S124=#REF!,S124=#REF!,S124=#REF!,S124=#REF!,S124=#REF!,S124=#REF!,S124=#REF!),12,IF(OR(S124=#REF!,S124=#REF!,S124=#REF!,S124=#REF!,S124=#REF!,S124=#REF!,S124=#REF!),3,IF(S124=#REF!,1,IF(S124=#REF!,18,IF(OR(S124=#REF!,S124=#REF!,S124=#REF!,S124=#REF!,S124=#REF!),14,"Invalid proposed procurement method")))))</f>
        <v>#REF!</v>
      </c>
      <c r="M124" s="769" t="str">
        <f>IFERROR(EDATE($N124,-3),"Invalid procurement method or date entered")</f>
        <v>Invalid procurement method or date entered</v>
      </c>
      <c r="N124" s="769" t="str">
        <f>IFERROR(EDATE(O124,-L124),"Invalid procurement method or date entered")</f>
        <v>Invalid procurement method or date entered</v>
      </c>
      <c r="O124" s="859">
        <v>44993</v>
      </c>
      <c r="P124" s="838">
        <v>96</v>
      </c>
      <c r="Q124" s="894" t="s">
        <v>560</v>
      </c>
      <c r="R124" s="1030">
        <v>177098</v>
      </c>
      <c r="S124" s="710" t="s">
        <v>130</v>
      </c>
      <c r="T124" s="710" t="s">
        <v>62</v>
      </c>
      <c r="U124" s="738" t="s">
        <v>67</v>
      </c>
      <c r="V124" s="738"/>
      <c r="W124" s="808" t="s">
        <v>253</v>
      </c>
      <c r="X124" s="919" t="s">
        <v>561</v>
      </c>
      <c r="Y124" s="843" t="s">
        <v>40</v>
      </c>
      <c r="Z124" s="843" t="s">
        <v>154</v>
      </c>
      <c r="AA124" s="843" t="s">
        <v>70</v>
      </c>
      <c r="AB124" s="1897">
        <v>44911</v>
      </c>
      <c r="AC124" s="1643" t="s">
        <v>562</v>
      </c>
      <c r="AD124" s="843" t="s">
        <v>164</v>
      </c>
      <c r="AE124" s="806">
        <v>13680</v>
      </c>
      <c r="AF124">
        <f t="shared" ca="1" si="7"/>
        <v>397</v>
      </c>
      <c r="AG124" s="906"/>
    </row>
    <row r="125" spans="1:33" ht="409.5">
      <c r="A125" s="1198"/>
      <c r="B125" s="726" t="s">
        <v>56</v>
      </c>
      <c r="C125" s="726" t="s">
        <v>71</v>
      </c>
      <c r="D125" s="730" t="s">
        <v>110</v>
      </c>
      <c r="E125" s="730"/>
      <c r="F125" s="730"/>
      <c r="G125" s="730"/>
      <c r="H125" s="728" t="s">
        <v>563</v>
      </c>
      <c r="I125" s="729" t="s">
        <v>47</v>
      </c>
      <c r="J125" s="1604" t="s">
        <v>564</v>
      </c>
      <c r="K125" s="955"/>
      <c r="L125" s="730">
        <v>3</v>
      </c>
      <c r="M125" s="731">
        <f>IF(O125="tbc","",(IFERROR(EDATE($N125,-3),"Invalid procurement method or date entered")))</f>
        <v>44543</v>
      </c>
      <c r="N125" s="712">
        <f>IF(O125="tbc","",(IFERROR(EDATE(O125,-L125),"Invalid procurement method or date entered")))</f>
        <v>44633</v>
      </c>
      <c r="O125" s="759">
        <v>44725</v>
      </c>
      <c r="P125" s="891" t="s">
        <v>565</v>
      </c>
      <c r="Q125" s="891">
        <v>0</v>
      </c>
      <c r="R125" s="772">
        <v>8000000</v>
      </c>
      <c r="S125" s="711" t="s">
        <v>407</v>
      </c>
      <c r="T125" s="711" t="s">
        <v>310</v>
      </c>
      <c r="U125" s="711">
        <v>44211</v>
      </c>
      <c r="V125" s="711"/>
      <c r="W125" s="729" t="s">
        <v>566</v>
      </c>
      <c r="X125" s="922" t="s">
        <v>168</v>
      </c>
      <c r="Y125" s="900" t="s">
        <v>567</v>
      </c>
      <c r="Z125" s="1087" t="s">
        <v>69</v>
      </c>
      <c r="AA125" s="889" t="s">
        <v>70</v>
      </c>
      <c r="AB125" s="1103">
        <v>44770</v>
      </c>
      <c r="AC125" s="955" t="s">
        <v>568</v>
      </c>
      <c r="AD125" s="926"/>
      <c r="AE125" s="926"/>
      <c r="AF125">
        <f t="shared" ca="1" si="7"/>
        <v>538</v>
      </c>
    </row>
    <row r="126" spans="1:33" ht="52">
      <c r="A126" s="911"/>
      <c r="B126" s="695" t="s">
        <v>44</v>
      </c>
      <c r="C126" s="784" t="s">
        <v>45</v>
      </c>
      <c r="D126" s="1430" t="s">
        <v>32</v>
      </c>
      <c r="E126" s="895" t="s">
        <v>449</v>
      </c>
      <c r="F126" s="1430" t="s">
        <v>361</v>
      </c>
      <c r="G126" s="1430" t="s">
        <v>569</v>
      </c>
      <c r="H126" s="784" t="s">
        <v>33</v>
      </c>
      <c r="I126" s="784" t="s">
        <v>47</v>
      </c>
      <c r="J126" s="1709" t="s">
        <v>570</v>
      </c>
      <c r="K126" s="843"/>
      <c r="L126" s="784" t="e">
        <f>IF(OR(S126=#REF!,S126=#REF!,S126=#REF!,S126=#REF!,S126=#REF!,S126=#REF!,S126=#REF!,S126=#REF!),12,IF(OR(S126=#REF!,S126=#REF!,S126=#REF!,S126=#REF!,S126=#REF!,S126=#REF!,S126=#REF!),3,IF(S126=#REF!,1,IF(S126=#REF!,18,IF(OR(S126=#REF!,S126=#REF!,S126=#REF!,S126=#REF!,S126=#REF!),14,"Invalid proposed procurement method")))))</f>
        <v>#REF!</v>
      </c>
      <c r="M126" s="1247">
        <v>44562</v>
      </c>
      <c r="N126" s="1247" t="str">
        <f>IFERROR(EDATE(O126,-L126),"Invalid procurement method or date entered")</f>
        <v>Invalid procurement method or date entered</v>
      </c>
      <c r="O126" s="2023">
        <v>44677</v>
      </c>
      <c r="P126" s="786">
        <v>12</v>
      </c>
      <c r="Q126" s="1503">
        <v>12</v>
      </c>
      <c r="R126" s="1393">
        <v>707.5</v>
      </c>
      <c r="S126" s="1503" t="s">
        <v>37</v>
      </c>
      <c r="T126" s="2082" t="s">
        <v>38</v>
      </c>
      <c r="U126" s="2092" t="s">
        <v>67</v>
      </c>
      <c r="V126" s="2092"/>
      <c r="W126" s="710" t="s">
        <v>383</v>
      </c>
      <c r="X126" s="843" t="s">
        <v>289</v>
      </c>
      <c r="Y126" s="843" t="s">
        <v>115</v>
      </c>
      <c r="Z126" s="843" t="s">
        <v>154</v>
      </c>
      <c r="AA126" s="843" t="s">
        <v>38</v>
      </c>
      <c r="AB126" s="1499" t="s">
        <v>71</v>
      </c>
      <c r="AC126" s="945" t="s">
        <v>571</v>
      </c>
      <c r="AD126" s="798"/>
      <c r="AE126" s="806"/>
      <c r="AF126" t="str">
        <f t="shared" ca="1" si="7"/>
        <v>N/A</v>
      </c>
      <c r="AG126" s="906"/>
    </row>
    <row r="127" spans="1:33" ht="52">
      <c r="A127" s="2224">
        <v>44770</v>
      </c>
      <c r="B127" s="2225" t="s">
        <v>100</v>
      </c>
      <c r="C127" s="2225" t="s">
        <v>45</v>
      </c>
      <c r="D127" s="803" t="s">
        <v>110</v>
      </c>
      <c r="E127" s="2226" t="s">
        <v>449</v>
      </c>
      <c r="F127" s="803" t="s">
        <v>110</v>
      </c>
      <c r="G127" s="2227" t="s">
        <v>450</v>
      </c>
      <c r="H127" s="803" t="s">
        <v>116</v>
      </c>
      <c r="I127" s="803" t="s">
        <v>268</v>
      </c>
      <c r="J127" s="2228" t="s">
        <v>572</v>
      </c>
      <c r="K127" s="1736"/>
      <c r="L127" s="803">
        <v>3</v>
      </c>
      <c r="M127" s="804">
        <f>IFERROR(EDATE(N127,-3),"Invalid procurement method or date entered")</f>
        <v>44562</v>
      </c>
      <c r="N127" s="805">
        <f>IFERROR(EDATE(O127,-L127),"Invalid procurement method or date entered")</f>
        <v>44652</v>
      </c>
      <c r="O127" s="2229">
        <v>44743</v>
      </c>
      <c r="P127" s="2230" t="s">
        <v>45</v>
      </c>
      <c r="Q127" s="2230" t="s">
        <v>45</v>
      </c>
      <c r="R127" s="2231" t="s">
        <v>45</v>
      </c>
      <c r="S127" s="803" t="s">
        <v>270</v>
      </c>
      <c r="T127" s="803" t="s">
        <v>45</v>
      </c>
      <c r="U127" s="803" t="s">
        <v>45</v>
      </c>
      <c r="V127" s="803"/>
      <c r="W127" s="803" t="s">
        <v>573</v>
      </c>
      <c r="X127" s="1736" t="s">
        <v>189</v>
      </c>
      <c r="Y127" s="1736" t="s">
        <v>40</v>
      </c>
      <c r="Z127" s="1736" t="s">
        <v>45</v>
      </c>
      <c r="AA127" s="2232" t="s">
        <v>70</v>
      </c>
      <c r="AB127" s="2233" t="s">
        <v>574</v>
      </c>
      <c r="AC127" s="1904" t="s">
        <v>575</v>
      </c>
      <c r="AD127" s="1736"/>
      <c r="AE127" s="1736"/>
      <c r="AF127" t="str">
        <f t="shared" ca="1" si="7"/>
        <v>N/A</v>
      </c>
      <c r="AG127" s="1307"/>
    </row>
    <row r="128" spans="1:33" ht="25">
      <c r="B128" s="577" t="s">
        <v>56</v>
      </c>
      <c r="C128" s="510" t="s">
        <v>56</v>
      </c>
      <c r="D128" s="510" t="s">
        <v>60</v>
      </c>
      <c r="E128" s="510"/>
      <c r="F128" s="510"/>
      <c r="G128" s="510"/>
      <c r="H128" s="511" t="s">
        <v>32</v>
      </c>
      <c r="I128" s="519" t="s">
        <v>47</v>
      </c>
      <c r="J128" s="1578" t="s">
        <v>576</v>
      </c>
      <c r="K128" s="616"/>
      <c r="L128" s="511">
        <v>12</v>
      </c>
      <c r="M128" s="514">
        <f>IF(O128="tbc","",(IFERROR(EDATE($N128,-3),"Invalid procurement method or date entered")))</f>
        <v>44562</v>
      </c>
      <c r="N128" s="514">
        <f>IF(O128="tbc","",(IFERROR(EDATE(O128,-L128),"Invalid procurement method or date entered")))</f>
        <v>44652</v>
      </c>
      <c r="O128" s="515">
        <v>45017</v>
      </c>
      <c r="P128" s="516">
        <v>420</v>
      </c>
      <c r="Q128" s="516">
        <v>420</v>
      </c>
      <c r="R128" s="528">
        <v>7240000</v>
      </c>
      <c r="S128" s="515" t="s">
        <v>91</v>
      </c>
      <c r="T128" s="515" t="s">
        <v>474</v>
      </c>
      <c r="U128" s="515" t="s">
        <v>60</v>
      </c>
      <c r="V128" s="515"/>
      <c r="W128" s="569" t="s">
        <v>577</v>
      </c>
      <c r="AF128">
        <f t="shared" ca="1" si="7"/>
        <v>45308</v>
      </c>
    </row>
    <row r="129" spans="1:33">
      <c r="A129" s="889" t="s">
        <v>71</v>
      </c>
      <c r="B129" s="707" t="s">
        <v>100</v>
      </c>
      <c r="C129" s="707" t="s">
        <v>45</v>
      </c>
      <c r="D129" s="707" t="s">
        <v>32</v>
      </c>
      <c r="E129" s="707"/>
      <c r="F129" s="707"/>
      <c r="G129" s="707"/>
      <c r="H129" s="709" t="s">
        <v>103</v>
      </c>
      <c r="I129" s="709" t="s">
        <v>578</v>
      </c>
      <c r="J129" s="1608" t="s">
        <v>579</v>
      </c>
      <c r="K129" s="945" t="s">
        <v>580</v>
      </c>
      <c r="L129" s="710">
        <v>12</v>
      </c>
      <c r="M129" s="711">
        <f>IFERROR(EDATE(N129,-3),"Invalid procurement method or date entered")</f>
        <v>44562</v>
      </c>
      <c r="N129" s="712">
        <f>IFERROR(EDATE(O129,-L129),"Invalid procurement method or date entered")</f>
        <v>44652</v>
      </c>
      <c r="O129" s="711">
        <v>45017</v>
      </c>
      <c r="P129" s="710">
        <v>36</v>
      </c>
      <c r="Q129" s="884" t="s">
        <v>98</v>
      </c>
      <c r="R129" s="772">
        <v>427377</v>
      </c>
      <c r="S129" s="710" t="s">
        <v>553</v>
      </c>
      <c r="T129" s="710" t="s">
        <v>38</v>
      </c>
      <c r="U129" s="710" t="s">
        <v>71</v>
      </c>
      <c r="V129" s="710"/>
      <c r="W129" s="709" t="s">
        <v>581</v>
      </c>
      <c r="X129" s="843" t="s">
        <v>283</v>
      </c>
      <c r="Y129" s="843" t="s">
        <v>40</v>
      </c>
      <c r="Z129" s="843" t="s">
        <v>69</v>
      </c>
      <c r="AA129" s="1092" t="s">
        <v>70</v>
      </c>
      <c r="AB129" s="1102">
        <v>44803</v>
      </c>
      <c r="AC129" s="1115" t="s">
        <v>582</v>
      </c>
      <c r="AD129" s="922"/>
      <c r="AE129" s="922"/>
      <c r="AF129">
        <f t="shared" ca="1" si="7"/>
        <v>505</v>
      </c>
      <c r="AG129" s="906"/>
    </row>
    <row r="130" spans="1:33" ht="52">
      <c r="A130" s="911">
        <v>44810</v>
      </c>
      <c r="B130" s="726" t="s">
        <v>56</v>
      </c>
      <c r="C130" s="726" t="s">
        <v>45</v>
      </c>
      <c r="D130" s="730" t="s">
        <v>57</v>
      </c>
      <c r="E130" s="730"/>
      <c r="F130" s="730"/>
      <c r="G130" s="730"/>
      <c r="H130" s="730" t="s">
        <v>58</v>
      </c>
      <c r="I130" s="710" t="s">
        <v>47</v>
      </c>
      <c r="J130" s="1608" t="s">
        <v>583</v>
      </c>
      <c r="K130" s="843"/>
      <c r="L130" s="710" t="e">
        <f>IF(OR(S130=#REF!,S130=#REF!,S130=#REF!,S130=#REF!,S130=#REF!,S130=#REF!,S130=#REF!,S130=#REF!),12,IF(OR(S130=#REF!,S130=#REF!,S130=#REF!,S130=#REF!,S130=#REF!,S130=#REF!,S130=#REF!),3,IF(S130=#REF!,1,IF(S130=#REF!,18,IF(OR(S130=#REF!,S130=#REF!,S130=#REF!,S130=#REF!,S130=#REF!),14,"Invalid proposed procurement method")))))</f>
        <v>#REF!</v>
      </c>
      <c r="M130" s="711" t="str">
        <f>IFERROR(EDATE($N130,-3),"Invalid procurement method or date entered")</f>
        <v>Invalid procurement method or date entered</v>
      </c>
      <c r="N130" s="711" t="str">
        <f>IFERROR(EDATE(O130,-L130),"Invalid procurement method or date entered")</f>
        <v>Invalid procurement method or date entered</v>
      </c>
      <c r="O130" s="711">
        <v>45017</v>
      </c>
      <c r="P130" s="738">
        <v>1</v>
      </c>
      <c r="Q130" s="738">
        <v>1</v>
      </c>
      <c r="R130" s="772">
        <v>1600000</v>
      </c>
      <c r="S130" s="711" t="s">
        <v>176</v>
      </c>
      <c r="T130" s="711" t="s">
        <v>310</v>
      </c>
      <c r="U130" s="711" t="s">
        <v>60</v>
      </c>
      <c r="V130" s="711"/>
      <c r="W130" s="710" t="s">
        <v>584</v>
      </c>
      <c r="X130" s="1502" t="s">
        <v>60</v>
      </c>
      <c r="Y130" s="900" t="s">
        <v>115</v>
      </c>
      <c r="Z130" s="900"/>
      <c r="AA130" s="889" t="s">
        <v>70</v>
      </c>
      <c r="AB130" s="1902">
        <v>44866</v>
      </c>
      <c r="AC130" s="1512" t="s">
        <v>585</v>
      </c>
      <c r="AD130" s="1929"/>
      <c r="AE130" s="1929"/>
      <c r="AF130">
        <f t="shared" ref="AF130:AF193" ca="1" si="13">IFERROR(TODAY()-AB130,"N/A")</f>
        <v>442</v>
      </c>
      <c r="AG130" s="906"/>
    </row>
    <row r="131" spans="1:33" ht="52">
      <c r="A131" s="911" t="s">
        <v>71</v>
      </c>
      <c r="B131" s="695" t="s">
        <v>44</v>
      </c>
      <c r="C131" s="710">
        <v>40637</v>
      </c>
      <c r="D131" s="808" t="s">
        <v>32</v>
      </c>
      <c r="E131" s="730"/>
      <c r="F131" s="808" t="s">
        <v>361</v>
      </c>
      <c r="G131" s="808" t="s">
        <v>569</v>
      </c>
      <c r="H131" s="710" t="s">
        <v>33</v>
      </c>
      <c r="I131" s="710" t="s">
        <v>47</v>
      </c>
      <c r="J131" s="1602" t="s">
        <v>586</v>
      </c>
      <c r="K131" s="843" t="s">
        <v>587</v>
      </c>
      <c r="L131" s="710" t="e">
        <f>IF(OR(S131=#REF!,S131=#REF!,S131=#REF!,S131=#REF!,S131=#REF!,S131=#REF!,S131=#REF!,S131=#REF!),12,IF(OR(S131=#REF!,S131=#REF!,S131=#REF!,S131=#REF!,S131=#REF!,S131=#REF!,S131=#REF!),3,IF(S131=#REF!,1,IF(S131=#REF!,18,IF(OR(S131=#REF!,S131=#REF!,S131=#REF!,S131=#REF!,S131=#REF!),14,"Invalid proposed procurement method")))))</f>
        <v>#REF!</v>
      </c>
      <c r="M131" s="769" t="str">
        <f>IFERROR(EDATE($N131,-3),"Invalid procurement method or date entered")</f>
        <v>Invalid procurement method or date entered</v>
      </c>
      <c r="N131" s="769" t="str">
        <f>IFERROR(EDATE(O131,-L131),"Invalid procurement method or date entered")</f>
        <v>Invalid procurement method or date entered</v>
      </c>
      <c r="O131" s="769">
        <v>45017</v>
      </c>
      <c r="P131" s="710">
        <v>24</v>
      </c>
      <c r="Q131" s="884" t="s">
        <v>391</v>
      </c>
      <c r="R131" s="772">
        <v>175038.2</v>
      </c>
      <c r="S131" s="710" t="s">
        <v>84</v>
      </c>
      <c r="T131" s="836" t="s">
        <v>62</v>
      </c>
      <c r="U131" s="837" t="s">
        <v>67</v>
      </c>
      <c r="V131" s="837"/>
      <c r="W131" s="710" t="s">
        <v>153</v>
      </c>
      <c r="X131" s="843" t="s">
        <v>94</v>
      </c>
      <c r="Y131" s="843" t="s">
        <v>40</v>
      </c>
      <c r="Z131" s="843" t="s">
        <v>154</v>
      </c>
      <c r="AA131" s="843" t="s">
        <v>70</v>
      </c>
      <c r="AB131" s="1499">
        <v>44967</v>
      </c>
      <c r="AC131" s="945" t="s">
        <v>393</v>
      </c>
      <c r="AD131" s="843" t="s">
        <v>156</v>
      </c>
      <c r="AE131" s="806">
        <v>87519</v>
      </c>
      <c r="AF131">
        <f t="shared" ca="1" si="13"/>
        <v>341</v>
      </c>
      <c r="AG131" s="906"/>
    </row>
    <row r="132" spans="1:33" ht="87.5">
      <c r="B132" s="577" t="s">
        <v>56</v>
      </c>
      <c r="C132" s="510">
        <v>48811</v>
      </c>
      <c r="D132" s="511" t="s">
        <v>348</v>
      </c>
      <c r="E132" s="511"/>
      <c r="F132" s="511"/>
      <c r="G132" s="511"/>
      <c r="H132" s="511" t="s">
        <v>58</v>
      </c>
      <c r="I132" s="510" t="s">
        <v>47</v>
      </c>
      <c r="J132" s="1603" t="s">
        <v>588</v>
      </c>
      <c r="K132" s="616"/>
      <c r="L132" s="511">
        <v>3</v>
      </c>
      <c r="M132" s="513">
        <v>44567</v>
      </c>
      <c r="N132" s="514">
        <f>IF(O132="tbc","",(IFERROR(EDATE(O132,-L132),"Invalid procurement method or date entered")))</f>
        <v>44565</v>
      </c>
      <c r="O132" s="534">
        <v>44655</v>
      </c>
      <c r="P132" s="535">
        <v>1</v>
      </c>
      <c r="Q132" s="535">
        <v>1</v>
      </c>
      <c r="R132" s="528">
        <f>72800+45000+100000+100000+100000+50000</f>
        <v>467800</v>
      </c>
      <c r="S132" s="515" t="s">
        <v>61</v>
      </c>
      <c r="T132" s="515" t="s">
        <v>589</v>
      </c>
      <c r="U132" s="515" t="s">
        <v>60</v>
      </c>
      <c r="V132" s="515"/>
      <c r="W132" s="521" t="s">
        <v>70</v>
      </c>
      <c r="AF132">
        <f t="shared" ca="1" si="13"/>
        <v>45308</v>
      </c>
    </row>
    <row r="133" spans="1:33" ht="62.5">
      <c r="B133" s="577" t="s">
        <v>56</v>
      </c>
      <c r="C133" s="510" t="s">
        <v>60</v>
      </c>
      <c r="D133" s="511" t="s">
        <v>348</v>
      </c>
      <c r="E133" s="511"/>
      <c r="F133" s="511"/>
      <c r="G133" s="511"/>
      <c r="H133" s="511" t="s">
        <v>58</v>
      </c>
      <c r="I133" s="510" t="s">
        <v>47</v>
      </c>
      <c r="J133" s="1580" t="s">
        <v>590</v>
      </c>
      <c r="K133" s="616"/>
      <c r="L133" s="511">
        <v>3</v>
      </c>
      <c r="M133" s="513">
        <v>44567</v>
      </c>
      <c r="N133" s="514">
        <f>IF(O133="tbc","",(IFERROR(EDATE(O133,-L133),"Invalid procurement method or date entered")))</f>
        <v>44565</v>
      </c>
      <c r="O133" s="534">
        <v>44655</v>
      </c>
      <c r="P133" s="535">
        <v>1</v>
      </c>
      <c r="Q133" s="535">
        <v>1</v>
      </c>
      <c r="R133" s="528">
        <f>108000+150000+106311+164450</f>
        <v>528761</v>
      </c>
      <c r="S133" s="515" t="s">
        <v>61</v>
      </c>
      <c r="T133" s="515" t="s">
        <v>589</v>
      </c>
      <c r="U133" s="520" t="s">
        <v>567</v>
      </c>
      <c r="V133" s="520"/>
      <c r="W133" s="521" t="s">
        <v>70</v>
      </c>
      <c r="AF133">
        <f t="shared" ca="1" si="13"/>
        <v>45308</v>
      </c>
    </row>
    <row r="134" spans="1:33" ht="75">
      <c r="B134" s="577" t="s">
        <v>56</v>
      </c>
      <c r="C134" s="510" t="s">
        <v>60</v>
      </c>
      <c r="D134" s="511" t="s">
        <v>348</v>
      </c>
      <c r="E134" s="511"/>
      <c r="F134" s="511"/>
      <c r="G134" s="511"/>
      <c r="H134" s="511" t="s">
        <v>58</v>
      </c>
      <c r="I134" s="510" t="s">
        <v>47</v>
      </c>
      <c r="J134" s="1580" t="s">
        <v>591</v>
      </c>
      <c r="K134" s="616"/>
      <c r="L134" s="511">
        <v>3</v>
      </c>
      <c r="M134" s="513">
        <v>44567</v>
      </c>
      <c r="N134" s="514">
        <f>IF(O134="tbc","",(IFERROR(EDATE(O134,-L134),"Invalid procurement method or date entered")))</f>
        <v>44565</v>
      </c>
      <c r="O134" s="534">
        <v>44655</v>
      </c>
      <c r="P134" s="535">
        <v>1</v>
      </c>
      <c r="Q134" s="535">
        <v>1</v>
      </c>
      <c r="R134" s="528">
        <f>41855+63027+121629+117039+68568</f>
        <v>412118</v>
      </c>
      <c r="S134" s="515" t="s">
        <v>61</v>
      </c>
      <c r="T134" s="515" t="s">
        <v>589</v>
      </c>
      <c r="U134" s="520" t="s">
        <v>115</v>
      </c>
      <c r="V134" s="520"/>
      <c r="W134" s="521" t="s">
        <v>70</v>
      </c>
      <c r="AF134">
        <f t="shared" ca="1" si="13"/>
        <v>45308</v>
      </c>
    </row>
    <row r="135" spans="1:33" ht="50">
      <c r="B135" s="577" t="s">
        <v>56</v>
      </c>
      <c r="C135" s="510" t="s">
        <v>45</v>
      </c>
      <c r="D135" s="511" t="s">
        <v>348</v>
      </c>
      <c r="E135" s="511"/>
      <c r="F135" s="511"/>
      <c r="G135" s="511"/>
      <c r="H135" s="511" t="s">
        <v>58</v>
      </c>
      <c r="I135" s="510" t="s">
        <v>47</v>
      </c>
      <c r="J135" s="1580" t="s">
        <v>592</v>
      </c>
      <c r="K135" s="658"/>
      <c r="L135" s="511">
        <v>3</v>
      </c>
      <c r="M135" s="514">
        <v>44568</v>
      </c>
      <c r="N135" s="514">
        <f>IF(O135="tbc","",(IFERROR(EDATE(O135,-L135),"Invalid procurement method or date entered")))</f>
        <v>44562</v>
      </c>
      <c r="O135" s="534">
        <v>44652</v>
      </c>
      <c r="P135" s="535" t="s">
        <v>60</v>
      </c>
      <c r="Q135" s="535" t="s">
        <v>60</v>
      </c>
      <c r="R135" s="528">
        <f>30000+25000+90000+65000+200000+135000+24000+39500+18000+40000+150000</f>
        <v>816500</v>
      </c>
      <c r="S135" s="515" t="s">
        <v>61</v>
      </c>
      <c r="T135" s="515" t="s">
        <v>62</v>
      </c>
      <c r="U135" s="515" t="s">
        <v>60</v>
      </c>
      <c r="V135" s="515"/>
      <c r="W135" s="394" t="s">
        <v>70</v>
      </c>
      <c r="AF135">
        <f t="shared" ca="1" si="13"/>
        <v>45308</v>
      </c>
    </row>
    <row r="136" spans="1:33" ht="37.5">
      <c r="B136" s="577" t="s">
        <v>56</v>
      </c>
      <c r="C136" s="510">
        <v>48744</v>
      </c>
      <c r="D136" s="511" t="s">
        <v>122</v>
      </c>
      <c r="E136" s="511"/>
      <c r="F136" s="511"/>
      <c r="G136" s="511"/>
      <c r="H136" s="511" t="s">
        <v>308</v>
      </c>
      <c r="I136" s="510" t="s">
        <v>47</v>
      </c>
      <c r="J136" s="1603" t="s">
        <v>593</v>
      </c>
      <c r="K136" s="658"/>
      <c r="L136" s="511">
        <v>12</v>
      </c>
      <c r="M136" s="513">
        <v>44574</v>
      </c>
      <c r="N136" s="514">
        <f>IF(O136="tbc","",(IFERROR(EDATE(O136,-L136),"Invalid procurement method or date entered")))</f>
        <v>44297</v>
      </c>
      <c r="O136" s="534">
        <v>44662</v>
      </c>
      <c r="P136" s="535">
        <v>4</v>
      </c>
      <c r="Q136" s="535">
        <v>4</v>
      </c>
      <c r="R136" s="528">
        <v>452000</v>
      </c>
      <c r="S136" s="515" t="s">
        <v>75</v>
      </c>
      <c r="T136" s="515" t="s">
        <v>62</v>
      </c>
      <c r="U136" s="520" t="s">
        <v>594</v>
      </c>
      <c r="V136" s="520"/>
      <c r="W136" s="521" t="s">
        <v>70</v>
      </c>
      <c r="AF136">
        <f t="shared" ca="1" si="13"/>
        <v>45308</v>
      </c>
    </row>
    <row r="137" spans="1:33">
      <c r="A137" s="911" t="s">
        <v>71</v>
      </c>
      <c r="B137" s="695" t="s">
        <v>44</v>
      </c>
      <c r="C137" s="738" t="s">
        <v>67</v>
      </c>
      <c r="D137" s="710" t="s">
        <v>32</v>
      </c>
      <c r="E137" s="710"/>
      <c r="F137" s="710"/>
      <c r="G137" s="710"/>
      <c r="H137" s="709" t="s">
        <v>595</v>
      </c>
      <c r="I137" s="709" t="s">
        <v>47</v>
      </c>
      <c r="J137" s="1608" t="s">
        <v>596</v>
      </c>
      <c r="K137" s="945" t="s">
        <v>597</v>
      </c>
      <c r="L137" s="710">
        <v>4</v>
      </c>
      <c r="M137" s="711">
        <f>IFERROR(EDATE($N137,-3),"Invalid procurement method or date entered")</f>
        <v>44579</v>
      </c>
      <c r="N137" s="711">
        <f>IFERROR(EDATE(O137,-L137),"Invalid procurement method or date entered")</f>
        <v>44669</v>
      </c>
      <c r="O137" s="711">
        <v>44791</v>
      </c>
      <c r="P137" s="710">
        <v>12</v>
      </c>
      <c r="Q137" s="884" t="s">
        <v>50</v>
      </c>
      <c r="R137" s="772">
        <v>1428</v>
      </c>
      <c r="S137" s="710" t="s">
        <v>84</v>
      </c>
      <c r="T137" s="796" t="s">
        <v>38</v>
      </c>
      <c r="U137" s="770" t="s">
        <v>67</v>
      </c>
      <c r="V137" s="770"/>
      <c r="W137" s="709" t="s">
        <v>598</v>
      </c>
      <c r="X137" s="889" t="s">
        <v>54</v>
      </c>
      <c r="Y137" s="843" t="s">
        <v>40</v>
      </c>
      <c r="Z137" s="843" t="s">
        <v>154</v>
      </c>
      <c r="AA137" s="843" t="s">
        <v>70</v>
      </c>
      <c r="AB137" s="956">
        <v>44796</v>
      </c>
      <c r="AC137" s="945" t="s">
        <v>599</v>
      </c>
      <c r="AD137" s="798" t="s">
        <v>79</v>
      </c>
      <c r="AE137" s="806">
        <v>1428</v>
      </c>
      <c r="AF137">
        <f t="shared" ca="1" si="13"/>
        <v>512</v>
      </c>
    </row>
    <row r="138" spans="1:33" ht="50">
      <c r="B138" s="577" t="s">
        <v>56</v>
      </c>
      <c r="C138" s="510">
        <v>501777</v>
      </c>
      <c r="D138" s="511" t="s">
        <v>57</v>
      </c>
      <c r="E138" s="511"/>
      <c r="F138" s="511"/>
      <c r="G138" s="511"/>
      <c r="H138" s="511" t="s">
        <v>58</v>
      </c>
      <c r="I138" s="510" t="s">
        <v>47</v>
      </c>
      <c r="J138" s="1580" t="s">
        <v>600</v>
      </c>
      <c r="K138" s="672"/>
      <c r="L138" s="511">
        <v>3</v>
      </c>
      <c r="M138" s="513">
        <v>44582</v>
      </c>
      <c r="N138" s="514">
        <f>IF(O138="tbc","",(IFERROR(EDATE(O138,-L138),"Invalid procurement method or date entered")))</f>
        <v>44594</v>
      </c>
      <c r="O138" s="534">
        <v>44683</v>
      </c>
      <c r="P138" s="535">
        <v>1</v>
      </c>
      <c r="Q138" s="535">
        <v>1</v>
      </c>
      <c r="R138" s="528">
        <v>129000</v>
      </c>
      <c r="S138" s="515" t="s">
        <v>61</v>
      </c>
      <c r="T138" s="515" t="s">
        <v>62</v>
      </c>
      <c r="U138" s="520" t="s">
        <v>594</v>
      </c>
      <c r="V138" s="520"/>
      <c r="W138" s="521" t="s">
        <v>70</v>
      </c>
      <c r="AF138">
        <f t="shared" ca="1" si="13"/>
        <v>45308</v>
      </c>
    </row>
    <row r="139" spans="1:33" ht="58">
      <c r="A139" s="1184"/>
      <c r="B139" s="2755" t="s">
        <v>44</v>
      </c>
      <c r="C139" s="4" t="s">
        <v>45</v>
      </c>
      <c r="D139" s="9" t="s">
        <v>32</v>
      </c>
      <c r="E139" s="9"/>
      <c r="F139" s="9"/>
      <c r="G139" s="9"/>
      <c r="H139" s="9" t="s">
        <v>304</v>
      </c>
      <c r="I139" s="9" t="s">
        <v>47</v>
      </c>
      <c r="J139" s="16" t="s">
        <v>601</v>
      </c>
      <c r="K139" s="111"/>
      <c r="L139" s="5" t="e">
        <f>IF(OR(S139=#REF!,S139=#REF!,S139=#REF!,S139=#REF!,S139=#REF!,S139=#REF!,S139=#REF!,S139=#REF!),12,IF(OR(S139=#REF!,S139=#REF!,S139=#REF!,S139=#REF!,S139=#REF!,S139=#REF!,S139=#REF!),3,IF(S139=#REF!,1,IF(S139=#REF!,18,IF(OR(S139=#REF!,S139=#REF!,S139=#REF!,S139=#REF!,S139=#REF!),14,"Invalid proposed procurement method")))))</f>
        <v>#REF!</v>
      </c>
      <c r="M139" s="199" t="str">
        <f>IFERROR(EDATE($N139,-3),"Invalid procurement method or date entered")</f>
        <v>Invalid procurement method or date entered</v>
      </c>
      <c r="N139" s="199" t="str">
        <f>IFERROR(EDATE(O139,-L139),"Invalid procurement method or date entered")</f>
        <v>Invalid procurement method or date entered</v>
      </c>
      <c r="O139" s="182">
        <v>44767</v>
      </c>
      <c r="P139" s="12">
        <v>36</v>
      </c>
      <c r="Q139" s="7" t="s">
        <v>602</v>
      </c>
      <c r="R139" s="18">
        <v>136150</v>
      </c>
      <c r="S139" s="5" t="s">
        <v>529</v>
      </c>
      <c r="T139" s="5" t="s">
        <v>38</v>
      </c>
      <c r="U139" s="12" t="s">
        <v>67</v>
      </c>
      <c r="V139" s="12"/>
      <c r="W139" s="5" t="s">
        <v>306</v>
      </c>
      <c r="X139" s="80" t="s">
        <v>162</v>
      </c>
      <c r="Y139" s="80" t="s">
        <v>40</v>
      </c>
      <c r="Z139" s="80" t="s">
        <v>154</v>
      </c>
      <c r="AA139" s="80" t="s">
        <v>70</v>
      </c>
      <c r="AB139" s="354">
        <v>44767</v>
      </c>
      <c r="AC139" s="101" t="s">
        <v>225</v>
      </c>
      <c r="AD139" s="76" t="s">
        <v>127</v>
      </c>
      <c r="AE139" s="211">
        <v>43300</v>
      </c>
      <c r="AF139">
        <f t="shared" ca="1" si="13"/>
        <v>541</v>
      </c>
    </row>
    <row r="140" spans="1:33" ht="37.5">
      <c r="B140" s="577" t="s">
        <v>56</v>
      </c>
      <c r="C140" s="510" t="s">
        <v>60</v>
      </c>
      <c r="D140" s="511" t="s">
        <v>122</v>
      </c>
      <c r="E140" s="511"/>
      <c r="F140" s="511"/>
      <c r="G140" s="511"/>
      <c r="H140" s="511" t="s">
        <v>308</v>
      </c>
      <c r="I140" s="510" t="s">
        <v>47</v>
      </c>
      <c r="J140" s="1606" t="s">
        <v>603</v>
      </c>
      <c r="K140" s="616"/>
      <c r="L140" s="511">
        <v>12</v>
      </c>
      <c r="M140" s="513">
        <v>44588</v>
      </c>
      <c r="N140" s="514">
        <f>IF(O140="tbc","",(IFERROR(EDATE(O140,-L140),"Invalid procurement method or date entered")))</f>
        <v>44348</v>
      </c>
      <c r="O140" s="534">
        <v>44713</v>
      </c>
      <c r="P140" s="535">
        <v>3</v>
      </c>
      <c r="Q140" s="535">
        <v>3</v>
      </c>
      <c r="R140" s="528">
        <v>442000</v>
      </c>
      <c r="S140" s="515" t="s">
        <v>75</v>
      </c>
      <c r="T140" s="515" t="s">
        <v>62</v>
      </c>
      <c r="U140" s="520" t="s">
        <v>115</v>
      </c>
      <c r="V140" s="520"/>
      <c r="W140" s="521" t="s">
        <v>70</v>
      </c>
      <c r="AF140">
        <f t="shared" ca="1" si="13"/>
        <v>45308</v>
      </c>
    </row>
    <row r="141" spans="1:33" ht="37.5">
      <c r="B141" s="577" t="s">
        <v>56</v>
      </c>
      <c r="C141" s="510" t="s">
        <v>60</v>
      </c>
      <c r="D141" s="511" t="s">
        <v>122</v>
      </c>
      <c r="E141" s="511"/>
      <c r="F141" s="511"/>
      <c r="G141" s="511"/>
      <c r="H141" s="511" t="s">
        <v>308</v>
      </c>
      <c r="I141" s="510" t="s">
        <v>47</v>
      </c>
      <c r="J141" s="1580" t="s">
        <v>604</v>
      </c>
      <c r="K141" s="616"/>
      <c r="L141" s="511">
        <v>12</v>
      </c>
      <c r="M141" s="513">
        <v>44588</v>
      </c>
      <c r="N141" s="514">
        <f>IF(O141="tbc","",(IFERROR(EDATE(O141,-L141),"Invalid procurement method or date entered")))</f>
        <v>44378</v>
      </c>
      <c r="O141" s="534">
        <v>44743</v>
      </c>
      <c r="P141" s="535">
        <v>2</v>
      </c>
      <c r="Q141" s="535">
        <v>2</v>
      </c>
      <c r="R141" s="528">
        <v>235000</v>
      </c>
      <c r="S141" s="515" t="s">
        <v>75</v>
      </c>
      <c r="T141" s="515" t="s">
        <v>62</v>
      </c>
      <c r="U141" s="520" t="s">
        <v>115</v>
      </c>
      <c r="V141" s="520"/>
      <c r="W141" s="521" t="s">
        <v>70</v>
      </c>
      <c r="AF141">
        <f t="shared" ca="1" si="13"/>
        <v>45308</v>
      </c>
    </row>
    <row r="142" spans="1:33">
      <c r="A142" s="2754"/>
      <c r="B142" s="2755" t="s">
        <v>44</v>
      </c>
      <c r="C142" s="4" t="s">
        <v>45</v>
      </c>
      <c r="D142" s="9" t="s">
        <v>32</v>
      </c>
      <c r="E142" s="9"/>
      <c r="F142" s="9"/>
      <c r="G142" s="9"/>
      <c r="H142" s="5" t="s">
        <v>33</v>
      </c>
      <c r="I142" s="5" t="s">
        <v>47</v>
      </c>
      <c r="J142" s="1590" t="s">
        <v>605</v>
      </c>
      <c r="K142" s="1114"/>
      <c r="L142" s="5">
        <v>6</v>
      </c>
      <c r="M142" s="199">
        <f>IFERROR(EDATE($N142,-3),"Invalid procurement method or date entered")</f>
        <v>44591</v>
      </c>
      <c r="N142" s="199">
        <f t="shared" ref="N142:N150" si="14">IFERROR(EDATE(O142,-L142),"Invalid procurement method or date entered")</f>
        <v>44681</v>
      </c>
      <c r="O142" s="182">
        <v>44865</v>
      </c>
      <c r="P142" s="12" t="s">
        <v>45</v>
      </c>
      <c r="Q142" s="7" t="s">
        <v>45</v>
      </c>
      <c r="R142" s="18" t="s">
        <v>45</v>
      </c>
      <c r="S142" s="5" t="s">
        <v>45</v>
      </c>
      <c r="T142" s="52" t="s">
        <v>38</v>
      </c>
      <c r="U142" s="48" t="s">
        <v>67</v>
      </c>
      <c r="V142" s="48"/>
      <c r="W142" s="12" t="s">
        <v>262</v>
      </c>
      <c r="X142" s="1076" t="s">
        <v>289</v>
      </c>
      <c r="Y142" s="80" t="s">
        <v>115</v>
      </c>
      <c r="Z142" s="80" t="s">
        <v>154</v>
      </c>
      <c r="AA142" s="80" t="s">
        <v>70</v>
      </c>
      <c r="AB142" s="354" t="s">
        <v>88</v>
      </c>
      <c r="AC142" s="1111"/>
      <c r="AD142" s="80" t="s">
        <v>264</v>
      </c>
      <c r="AE142" s="2778"/>
      <c r="AF142" t="str">
        <f t="shared" ca="1" si="13"/>
        <v>N/A</v>
      </c>
    </row>
    <row r="143" spans="1:33">
      <c r="A143" s="2754"/>
      <c r="B143" s="2755" t="s">
        <v>44</v>
      </c>
      <c r="C143" s="4" t="s">
        <v>45</v>
      </c>
      <c r="D143" s="9" t="s">
        <v>32</v>
      </c>
      <c r="E143" s="9"/>
      <c r="F143" s="9"/>
      <c r="G143" s="9"/>
      <c r="H143" s="5" t="s">
        <v>33</v>
      </c>
      <c r="I143" s="5" t="s">
        <v>47</v>
      </c>
      <c r="J143" s="1590" t="s">
        <v>606</v>
      </c>
      <c r="K143" s="1114"/>
      <c r="L143" s="5">
        <v>6</v>
      </c>
      <c r="M143" s="199">
        <f>IFERROR(EDATE($N143,-3),"Invalid procurement method or date entered")</f>
        <v>44591</v>
      </c>
      <c r="N143" s="199">
        <f t="shared" si="14"/>
        <v>44681</v>
      </c>
      <c r="O143" s="182">
        <v>44865</v>
      </c>
      <c r="P143" s="12" t="s">
        <v>45</v>
      </c>
      <c r="Q143" s="7" t="s">
        <v>45</v>
      </c>
      <c r="R143" s="18" t="s">
        <v>45</v>
      </c>
      <c r="S143" s="5" t="s">
        <v>45</v>
      </c>
      <c r="T143" s="52" t="s">
        <v>38</v>
      </c>
      <c r="U143" s="48" t="s">
        <v>67</v>
      </c>
      <c r="V143" s="48"/>
      <c r="W143" s="12" t="s">
        <v>262</v>
      </c>
      <c r="X143" s="1076" t="s">
        <v>289</v>
      </c>
      <c r="Y143" s="80" t="s">
        <v>115</v>
      </c>
      <c r="Z143" s="80" t="s">
        <v>154</v>
      </c>
      <c r="AA143" s="80" t="s">
        <v>70</v>
      </c>
      <c r="AB143" s="354" t="s">
        <v>88</v>
      </c>
      <c r="AC143" s="1111"/>
      <c r="AD143" s="80" t="s">
        <v>264</v>
      </c>
      <c r="AE143" s="339"/>
      <c r="AF143" t="str">
        <f t="shared" ca="1" si="13"/>
        <v>N/A</v>
      </c>
    </row>
    <row r="144" spans="1:33" ht="101.5">
      <c r="A144" s="2754"/>
      <c r="B144" s="2755" t="s">
        <v>44</v>
      </c>
      <c r="C144" s="4" t="s">
        <v>45</v>
      </c>
      <c r="D144" s="9" t="s">
        <v>32</v>
      </c>
      <c r="E144" s="9"/>
      <c r="F144" s="9"/>
      <c r="G144" s="9"/>
      <c r="H144" s="5" t="s">
        <v>33</v>
      </c>
      <c r="I144" s="5" t="s">
        <v>34</v>
      </c>
      <c r="J144" s="16" t="s">
        <v>607</v>
      </c>
      <c r="K144" s="111"/>
      <c r="L144" s="5">
        <v>9</v>
      </c>
      <c r="M144" s="199">
        <v>44592</v>
      </c>
      <c r="N144" s="199">
        <f t="shared" si="14"/>
        <v>44378</v>
      </c>
      <c r="O144" s="199">
        <v>44652</v>
      </c>
      <c r="P144" s="5">
        <v>72</v>
      </c>
      <c r="Q144" s="5" t="s">
        <v>608</v>
      </c>
      <c r="R144" s="1547">
        <v>9000000</v>
      </c>
      <c r="S144" s="5" t="s">
        <v>130</v>
      </c>
      <c r="T144" s="322" t="s">
        <v>70</v>
      </c>
      <c r="U144" s="323" t="s">
        <v>45</v>
      </c>
      <c r="V144" s="323"/>
      <c r="W144" s="5" t="s">
        <v>239</v>
      </c>
      <c r="X144" s="80" t="s">
        <v>39</v>
      </c>
      <c r="Y144" s="80" t="s">
        <v>40</v>
      </c>
      <c r="Z144" s="80" t="s">
        <v>87</v>
      </c>
      <c r="AA144" s="1076" t="s">
        <v>70</v>
      </c>
      <c r="AB144" s="354" t="s">
        <v>88</v>
      </c>
      <c r="AC144" s="101" t="s">
        <v>609</v>
      </c>
      <c r="AD144" s="80" t="s">
        <v>240</v>
      </c>
      <c r="AE144" s="211">
        <v>2250000</v>
      </c>
      <c r="AF144" t="str">
        <f t="shared" ca="1" si="13"/>
        <v>N/A</v>
      </c>
    </row>
    <row r="145" spans="1:33" ht="29">
      <c r="A145" s="1184"/>
      <c r="B145" s="2755" t="s">
        <v>44</v>
      </c>
      <c r="C145" s="200"/>
      <c r="D145" s="9" t="s">
        <v>32</v>
      </c>
      <c r="E145" s="9"/>
      <c r="F145" s="9"/>
      <c r="G145" s="9"/>
      <c r="H145" s="5" t="s">
        <v>33</v>
      </c>
      <c r="I145" s="12" t="s">
        <v>34</v>
      </c>
      <c r="J145" s="16" t="s">
        <v>610</v>
      </c>
      <c r="K145" s="101"/>
      <c r="L145" s="5">
        <v>1</v>
      </c>
      <c r="M145" s="199">
        <f t="shared" ref="M145:M150" si="15">IFERROR(EDATE($N145,-3),"Invalid procurement method or date entered")</f>
        <v>44593</v>
      </c>
      <c r="N145" s="199">
        <f t="shared" si="14"/>
        <v>44682</v>
      </c>
      <c r="O145" s="182">
        <v>44713</v>
      </c>
      <c r="P145" s="12">
        <v>36</v>
      </c>
      <c r="Q145" s="7" t="s">
        <v>611</v>
      </c>
      <c r="R145" s="18">
        <v>130000</v>
      </c>
      <c r="S145" s="5" t="s">
        <v>130</v>
      </c>
      <c r="T145" s="322" t="s">
        <v>612</v>
      </c>
      <c r="U145" s="323" t="s">
        <v>613</v>
      </c>
      <c r="V145" s="323"/>
      <c r="W145" s="5" t="s">
        <v>614</v>
      </c>
      <c r="X145" s="80" t="s">
        <v>39</v>
      </c>
      <c r="Y145" s="80" t="s">
        <v>40</v>
      </c>
      <c r="Z145" s="80" t="s">
        <v>69</v>
      </c>
      <c r="AA145" s="80" t="s">
        <v>38</v>
      </c>
      <c r="AB145" s="354">
        <v>44685</v>
      </c>
      <c r="AC145" s="101" t="s">
        <v>615</v>
      </c>
      <c r="AD145" s="76" t="s">
        <v>96</v>
      </c>
      <c r="AE145" s="1132">
        <v>130000</v>
      </c>
      <c r="AF145">
        <f t="shared" ca="1" si="13"/>
        <v>623</v>
      </c>
    </row>
    <row r="146" spans="1:33" ht="29">
      <c r="A146" s="1184"/>
      <c r="B146" s="2755" t="s">
        <v>44</v>
      </c>
      <c r="C146" s="4"/>
      <c r="D146" s="9" t="s">
        <v>32</v>
      </c>
      <c r="E146" s="9"/>
      <c r="F146" s="9"/>
      <c r="G146" s="9"/>
      <c r="H146" s="5" t="s">
        <v>506</v>
      </c>
      <c r="I146" s="9" t="s">
        <v>34</v>
      </c>
      <c r="J146" s="16" t="s">
        <v>616</v>
      </c>
      <c r="K146" s="111"/>
      <c r="L146" s="5">
        <v>4</v>
      </c>
      <c r="M146" s="199">
        <f t="shared" si="15"/>
        <v>44593</v>
      </c>
      <c r="N146" s="199">
        <f t="shared" si="14"/>
        <v>44682</v>
      </c>
      <c r="O146" s="216">
        <v>44805</v>
      </c>
      <c r="P146" s="9">
        <v>48</v>
      </c>
      <c r="Q146" s="269" t="s">
        <v>215</v>
      </c>
      <c r="R146" s="18">
        <v>30000</v>
      </c>
      <c r="S146" s="2751" t="s">
        <v>130</v>
      </c>
      <c r="T146" s="325" t="s">
        <v>38</v>
      </c>
      <c r="U146" s="325" t="s">
        <v>67</v>
      </c>
      <c r="V146" s="325"/>
      <c r="W146" s="9" t="s">
        <v>617</v>
      </c>
      <c r="X146" s="1082" t="s">
        <v>39</v>
      </c>
      <c r="Y146" s="80" t="s">
        <v>40</v>
      </c>
      <c r="Z146" s="80"/>
      <c r="AA146" s="1076" t="s">
        <v>38</v>
      </c>
      <c r="AB146" s="354">
        <v>44764</v>
      </c>
      <c r="AC146" s="993" t="s">
        <v>618</v>
      </c>
      <c r="AD146" s="76" t="s">
        <v>506</v>
      </c>
      <c r="AE146" s="211"/>
      <c r="AF146">
        <f t="shared" ca="1" si="13"/>
        <v>544</v>
      </c>
    </row>
    <row r="147" spans="1:33">
      <c r="A147" s="2756"/>
      <c r="B147" s="2755" t="s">
        <v>44</v>
      </c>
      <c r="C147" s="4" t="s">
        <v>619</v>
      </c>
      <c r="D147" s="9" t="s">
        <v>32</v>
      </c>
      <c r="E147" s="9"/>
      <c r="F147" s="9"/>
      <c r="G147" s="9"/>
      <c r="H147" s="5" t="s">
        <v>33</v>
      </c>
      <c r="I147" s="5" t="s">
        <v>47</v>
      </c>
      <c r="J147" s="16" t="s">
        <v>620</v>
      </c>
      <c r="K147" s="111"/>
      <c r="L147" s="5">
        <v>6</v>
      </c>
      <c r="M147" s="199">
        <f t="shared" si="15"/>
        <v>44593</v>
      </c>
      <c r="N147" s="199">
        <f t="shared" si="14"/>
        <v>44682</v>
      </c>
      <c r="O147" s="14">
        <v>44866</v>
      </c>
      <c r="P147" s="12">
        <v>24</v>
      </c>
      <c r="Q147" s="12" t="s">
        <v>621</v>
      </c>
      <c r="R147" s="18">
        <v>6000</v>
      </c>
      <c r="S147" s="5" t="s">
        <v>45</v>
      </c>
      <c r="T147" s="41" t="s">
        <v>38</v>
      </c>
      <c r="U147" s="12" t="s">
        <v>67</v>
      </c>
      <c r="V147" s="12"/>
      <c r="W147" s="5" t="s">
        <v>287</v>
      </c>
      <c r="X147" s="80" t="s">
        <v>289</v>
      </c>
      <c r="Y147" s="80" t="s">
        <v>115</v>
      </c>
      <c r="Z147" s="80" t="s">
        <v>154</v>
      </c>
      <c r="AA147" s="80" t="s">
        <v>38</v>
      </c>
      <c r="AB147" s="354" t="s">
        <v>88</v>
      </c>
      <c r="AC147" s="1112"/>
      <c r="AD147" s="76" t="s">
        <v>240</v>
      </c>
      <c r="AE147" s="211">
        <v>3000</v>
      </c>
      <c r="AF147" t="str">
        <f t="shared" ca="1" si="13"/>
        <v>N/A</v>
      </c>
    </row>
    <row r="148" spans="1:33">
      <c r="A148" s="911" t="s">
        <v>71</v>
      </c>
      <c r="B148" s="695" t="s">
        <v>44</v>
      </c>
      <c r="C148" s="738" t="s">
        <v>45</v>
      </c>
      <c r="D148" s="808" t="s">
        <v>32</v>
      </c>
      <c r="E148" s="730" t="s">
        <v>449</v>
      </c>
      <c r="F148" s="808" t="s">
        <v>361</v>
      </c>
      <c r="G148" s="710" t="s">
        <v>569</v>
      </c>
      <c r="H148" s="710" t="s">
        <v>33</v>
      </c>
      <c r="I148" s="710" t="s">
        <v>47</v>
      </c>
      <c r="J148" s="1608" t="s">
        <v>622</v>
      </c>
      <c r="K148" s="843"/>
      <c r="L148" s="710">
        <v>6</v>
      </c>
      <c r="M148" s="769">
        <f t="shared" si="15"/>
        <v>44593</v>
      </c>
      <c r="N148" s="769">
        <f t="shared" si="14"/>
        <v>44682</v>
      </c>
      <c r="O148" s="947">
        <v>44866</v>
      </c>
      <c r="P148" s="710">
        <v>12</v>
      </c>
      <c r="Q148" s="884" t="s">
        <v>50</v>
      </c>
      <c r="R148" s="772">
        <v>6700</v>
      </c>
      <c r="S148" s="710" t="s">
        <v>37</v>
      </c>
      <c r="T148" s="836" t="s">
        <v>38</v>
      </c>
      <c r="U148" s="837" t="s">
        <v>67</v>
      </c>
      <c r="V148" s="837"/>
      <c r="W148" s="738" t="s">
        <v>262</v>
      </c>
      <c r="X148" s="919" t="s">
        <v>289</v>
      </c>
      <c r="Y148" s="843" t="s">
        <v>115</v>
      </c>
      <c r="Z148" s="843" t="s">
        <v>154</v>
      </c>
      <c r="AA148" s="843" t="s">
        <v>70</v>
      </c>
      <c r="AB148" s="1499" t="s">
        <v>71</v>
      </c>
      <c r="AC148" s="1374"/>
      <c r="AD148" s="843" t="s">
        <v>264</v>
      </c>
      <c r="AE148" s="1938">
        <v>6700</v>
      </c>
      <c r="AF148" t="str">
        <f t="shared" ca="1" si="13"/>
        <v>N/A</v>
      </c>
      <c r="AG148" s="906"/>
    </row>
    <row r="149" spans="1:33" ht="52">
      <c r="A149" s="1244" t="s">
        <v>71</v>
      </c>
      <c r="B149" s="695" t="s">
        <v>44</v>
      </c>
      <c r="C149" s="1323" t="s">
        <v>623</v>
      </c>
      <c r="D149" s="914" t="s">
        <v>122</v>
      </c>
      <c r="E149" s="914"/>
      <c r="F149" s="914"/>
      <c r="G149" s="914"/>
      <c r="H149" s="1429" t="s">
        <v>33</v>
      </c>
      <c r="I149" s="1429" t="s">
        <v>34</v>
      </c>
      <c r="J149" s="1623" t="s">
        <v>624</v>
      </c>
      <c r="K149" s="945" t="s">
        <v>625</v>
      </c>
      <c r="L149" s="914" t="e">
        <f>IF(OR(S149=#REF!,S149=#REF!,S149=#REF!,S149=#REF!,S149=#REF!,S149=#REF!,S149=#REF!,S149=#REF!),12,IF(OR(S149=#REF!,S149=#REF!,S149=#REF!,S149=#REF!,S149=#REF!,S149=#REF!,S149=#REF!),3,IF(S149=#REF!,1,IF(S149=#REF!,18,IF(OR(S149=#REF!,S149=#REF!,S149=#REF!,S149=#REF!,S149=#REF!),14,"Invalid proposed procurement method")))))</f>
        <v>#REF!</v>
      </c>
      <c r="M149" s="1351" t="str">
        <f t="shared" si="15"/>
        <v>Invalid procurement method or date entered</v>
      </c>
      <c r="N149" s="1351" t="str">
        <f t="shared" si="14"/>
        <v>Invalid procurement method or date entered</v>
      </c>
      <c r="O149" s="1440">
        <v>45047</v>
      </c>
      <c r="P149" s="1323">
        <v>48</v>
      </c>
      <c r="Q149" s="914" t="s">
        <v>626</v>
      </c>
      <c r="R149" s="1313">
        <v>120000</v>
      </c>
      <c r="S149" s="914" t="s">
        <v>130</v>
      </c>
      <c r="T149" s="2080" t="s">
        <v>62</v>
      </c>
      <c r="U149" s="2080" t="s">
        <v>67</v>
      </c>
      <c r="V149" s="2080"/>
      <c r="W149" s="1429" t="s">
        <v>627</v>
      </c>
      <c r="X149" s="843" t="s">
        <v>189</v>
      </c>
      <c r="Y149" s="843" t="s">
        <v>40</v>
      </c>
      <c r="Z149" s="843" t="s">
        <v>69</v>
      </c>
      <c r="AA149" s="843" t="s">
        <v>70</v>
      </c>
      <c r="AB149" s="1102">
        <v>44841</v>
      </c>
      <c r="AC149" s="945" t="s">
        <v>628</v>
      </c>
      <c r="AD149" s="798" t="s">
        <v>96</v>
      </c>
      <c r="AE149" s="806"/>
      <c r="AF149">
        <f t="shared" ca="1" si="13"/>
        <v>467</v>
      </c>
      <c r="AG149" s="906"/>
    </row>
    <row r="150" spans="1:33" ht="234">
      <c r="A150" s="911" t="s">
        <v>71</v>
      </c>
      <c r="B150" s="695" t="s">
        <v>44</v>
      </c>
      <c r="C150" s="741" t="s">
        <v>629</v>
      </c>
      <c r="D150" s="723" t="s">
        <v>32</v>
      </c>
      <c r="E150" s="794"/>
      <c r="F150" s="1271" t="s">
        <v>630</v>
      </c>
      <c r="G150" s="1271" t="s">
        <v>569</v>
      </c>
      <c r="H150" s="723" t="s">
        <v>33</v>
      </c>
      <c r="I150" s="723" t="s">
        <v>34</v>
      </c>
      <c r="J150" s="1976" t="s">
        <v>631</v>
      </c>
      <c r="K150" s="843"/>
      <c r="L150" s="723" t="e">
        <f>IF(OR(S150=#REF!,S150=#REF!,S150=#REF!,S150=#REF!,S150=#REF!,S150=#REF!,S150=#REF!,S150=#REF!),12,IF(OR(S150=#REF!,S150=#REF!,S150=#REF!,S150=#REF!,S150=#REF!,S150=#REF!,S150=#REF!),3,IF(S150=#REF!,1,IF(S150=#REF!,18,IF(OR(S150=#REF!,S150=#REF!,S150=#REF!,S150=#REF!,S150=#REF!),14,"Invalid proposed procurement method")))))</f>
        <v>#REF!</v>
      </c>
      <c r="M150" s="1246" t="str">
        <f t="shared" si="15"/>
        <v>Invalid procurement method or date entered</v>
      </c>
      <c r="N150" s="1246" t="str">
        <f t="shared" si="14"/>
        <v>Invalid procurement method or date entered</v>
      </c>
      <c r="O150" s="1246">
        <v>45047</v>
      </c>
      <c r="P150" s="741">
        <v>35</v>
      </c>
      <c r="Q150" s="723" t="s">
        <v>632</v>
      </c>
      <c r="R150" s="807">
        <v>184652</v>
      </c>
      <c r="S150" s="723" t="s">
        <v>130</v>
      </c>
      <c r="T150" s="1504" t="s">
        <v>62</v>
      </c>
      <c r="U150" s="1504" t="s">
        <v>45</v>
      </c>
      <c r="V150" s="1504"/>
      <c r="W150" s="723" t="s">
        <v>633</v>
      </c>
      <c r="X150" s="843" t="s">
        <v>561</v>
      </c>
      <c r="Y150" s="843" t="s">
        <v>40</v>
      </c>
      <c r="Z150" s="843" t="s">
        <v>69</v>
      </c>
      <c r="AA150" s="843" t="s">
        <v>70</v>
      </c>
      <c r="AB150" s="1897">
        <v>44967</v>
      </c>
      <c r="AC150" s="945" t="s">
        <v>634</v>
      </c>
      <c r="AD150" s="798" t="s">
        <v>165</v>
      </c>
      <c r="AE150" s="1936"/>
      <c r="AF150">
        <f t="shared" ca="1" si="13"/>
        <v>341</v>
      </c>
      <c r="AG150" s="906"/>
    </row>
    <row r="151" spans="1:33">
      <c r="AF151">
        <f t="shared" ca="1" si="13"/>
        <v>45308</v>
      </c>
    </row>
    <row r="152" spans="1:33" ht="58">
      <c r="A152" s="2754"/>
      <c r="B152" s="2755" t="s">
        <v>44</v>
      </c>
      <c r="C152" s="4"/>
      <c r="D152" s="9" t="s">
        <v>32</v>
      </c>
      <c r="E152" s="9"/>
      <c r="F152" s="9"/>
      <c r="G152" s="9"/>
      <c r="H152" s="5" t="s">
        <v>33</v>
      </c>
      <c r="I152" s="5" t="s">
        <v>47</v>
      </c>
      <c r="J152" s="16" t="s">
        <v>635</v>
      </c>
      <c r="K152" s="101"/>
      <c r="L152" s="5" t="e">
        <f>IF(OR(S152=#REF!,S152=#REF!,S152=#REF!,S152=#REF!,S152=#REF!,S152=#REF!,S152=#REF!,S152=#REF!),12,IF(OR(S152=#REF!,S152=#REF!,S152=#REF!,S152=#REF!,S152=#REF!,S152=#REF!,S152=#REF!),3,IF(S152=#REF!,1,IF(S152=#REF!,18,IF(OR(S152=#REF!,S152=#REF!,S152=#REF!,S152=#REF!,S152=#REF!),14,"Invalid proposed procurement method")))))</f>
        <v>#REF!</v>
      </c>
      <c r="M152" s="199">
        <v>44594</v>
      </c>
      <c r="N152" s="199" t="str">
        <f>IFERROR(EDATE(O152,-L152),"Invalid procurement method or date entered")</f>
        <v>Invalid procurement method or date entered</v>
      </c>
      <c r="O152" s="182">
        <v>44652</v>
      </c>
      <c r="P152" s="12">
        <v>12</v>
      </c>
      <c r="Q152" s="12">
        <v>12</v>
      </c>
      <c r="R152" s="18">
        <v>30000</v>
      </c>
      <c r="S152" s="5" t="s">
        <v>84</v>
      </c>
      <c r="T152" s="322" t="s">
        <v>38</v>
      </c>
      <c r="U152" s="323" t="s">
        <v>67</v>
      </c>
      <c r="V152" s="323"/>
      <c r="W152" s="46" t="s">
        <v>287</v>
      </c>
      <c r="X152" s="80" t="s">
        <v>162</v>
      </c>
      <c r="Y152" s="80" t="s">
        <v>40</v>
      </c>
      <c r="Z152" s="80" t="s">
        <v>154</v>
      </c>
      <c r="AA152" s="80" t="s">
        <v>70</v>
      </c>
      <c r="AB152" s="354">
        <v>44685</v>
      </c>
      <c r="AC152" s="101" t="s">
        <v>636</v>
      </c>
      <c r="AD152" s="80" t="s">
        <v>240</v>
      </c>
      <c r="AE152" s="339">
        <v>30000</v>
      </c>
      <c r="AF152">
        <f t="shared" ca="1" si="13"/>
        <v>623</v>
      </c>
    </row>
    <row r="153" spans="1:33" ht="50">
      <c r="B153" s="577" t="s">
        <v>56</v>
      </c>
      <c r="C153" s="510" t="s">
        <v>60</v>
      </c>
      <c r="D153" s="511" t="s">
        <v>348</v>
      </c>
      <c r="E153" s="511"/>
      <c r="F153" s="511"/>
      <c r="G153" s="511"/>
      <c r="H153" s="511" t="s">
        <v>58</v>
      </c>
      <c r="I153" s="510" t="s">
        <v>47</v>
      </c>
      <c r="J153" s="1580" t="s">
        <v>637</v>
      </c>
      <c r="K153" s="616"/>
      <c r="L153" s="511">
        <v>3</v>
      </c>
      <c r="M153" s="513">
        <v>44595</v>
      </c>
      <c r="N153" s="514">
        <f>IF(O153="tbc","",(IFERROR(EDATE(O153,-L153),"Invalid procurement method or date entered")))</f>
        <v>44595</v>
      </c>
      <c r="O153" s="534">
        <v>44684</v>
      </c>
      <c r="P153" s="535">
        <v>5</v>
      </c>
      <c r="Q153" s="535">
        <v>5</v>
      </c>
      <c r="R153" s="528">
        <v>745595</v>
      </c>
      <c r="S153" s="515" t="s">
        <v>61</v>
      </c>
      <c r="T153" s="515" t="s">
        <v>310</v>
      </c>
      <c r="U153" s="520" t="s">
        <v>567</v>
      </c>
      <c r="V153" s="520"/>
      <c r="W153" s="521" t="s">
        <v>70</v>
      </c>
      <c r="AF153">
        <f t="shared" ca="1" si="13"/>
        <v>45308</v>
      </c>
    </row>
    <row r="154" spans="1:33" ht="29">
      <c r="A154" s="2756"/>
      <c r="B154" s="2779" t="s">
        <v>44</v>
      </c>
      <c r="C154" s="188"/>
      <c r="D154" s="190" t="s">
        <v>32</v>
      </c>
      <c r="E154" s="190"/>
      <c r="F154" s="190"/>
      <c r="G154" s="190"/>
      <c r="H154" s="190" t="s">
        <v>506</v>
      </c>
      <c r="I154" s="190" t="s">
        <v>47</v>
      </c>
      <c r="J154" s="191" t="s">
        <v>638</v>
      </c>
      <c r="K154" s="1994"/>
      <c r="L154" s="190"/>
      <c r="M154" s="192">
        <v>44602</v>
      </c>
      <c r="N154" s="192"/>
      <c r="O154" s="315" t="s">
        <v>45</v>
      </c>
      <c r="P154" s="190" t="s">
        <v>45</v>
      </c>
      <c r="Q154" s="316" t="s">
        <v>45</v>
      </c>
      <c r="R154" s="317">
        <v>30000</v>
      </c>
      <c r="S154" s="2780" t="s">
        <v>45</v>
      </c>
      <c r="T154" s="318" t="s">
        <v>38</v>
      </c>
      <c r="U154" s="318" t="s">
        <v>67</v>
      </c>
      <c r="V154" s="318"/>
      <c r="W154" s="190" t="s">
        <v>639</v>
      </c>
      <c r="X154" s="2105" t="s">
        <v>254</v>
      </c>
      <c r="Y154" s="2105" t="s">
        <v>40</v>
      </c>
      <c r="Z154" s="2105"/>
      <c r="AA154" s="2105"/>
      <c r="AB154" s="354" t="s">
        <v>88</v>
      </c>
      <c r="AC154" s="1994" t="s">
        <v>640</v>
      </c>
      <c r="AD154" s="1125" t="s">
        <v>506</v>
      </c>
      <c r="AE154" s="2160">
        <v>30000</v>
      </c>
      <c r="AF154" t="str">
        <f t="shared" ca="1" si="13"/>
        <v>N/A</v>
      </c>
    </row>
    <row r="155" spans="1:33" ht="72.5">
      <c r="A155" s="2754"/>
      <c r="B155" s="2755" t="s">
        <v>44</v>
      </c>
      <c r="C155" s="4" t="s">
        <v>45</v>
      </c>
      <c r="D155" s="9" t="s">
        <v>32</v>
      </c>
      <c r="E155" s="9"/>
      <c r="F155" s="9"/>
      <c r="G155" s="9"/>
      <c r="H155" s="5" t="s">
        <v>127</v>
      </c>
      <c r="I155" s="5" t="s">
        <v>47</v>
      </c>
      <c r="J155" s="268" t="s">
        <v>641</v>
      </c>
      <c r="K155" s="2001"/>
      <c r="L155" s="5">
        <v>3</v>
      </c>
      <c r="M155" s="199">
        <v>44603</v>
      </c>
      <c r="N155" s="199">
        <f>IFERROR(EDATE(O155,-L155),"Invalid procurement method or date entered")</f>
        <v>44562</v>
      </c>
      <c r="O155" s="14">
        <v>44652</v>
      </c>
      <c r="P155" s="5">
        <v>36</v>
      </c>
      <c r="Q155" s="5">
        <v>36</v>
      </c>
      <c r="R155" s="61">
        <v>165000</v>
      </c>
      <c r="S155" s="5" t="s">
        <v>529</v>
      </c>
      <c r="T155" s="322" t="s">
        <v>62</v>
      </c>
      <c r="U155" s="323" t="s">
        <v>67</v>
      </c>
      <c r="V155" s="323"/>
      <c r="W155" s="5" t="s">
        <v>642</v>
      </c>
      <c r="X155" s="80" t="s">
        <v>162</v>
      </c>
      <c r="Y155" s="80" t="s">
        <v>40</v>
      </c>
      <c r="Z155" s="80"/>
      <c r="AA155" s="80"/>
      <c r="AB155" s="354" t="s">
        <v>88</v>
      </c>
      <c r="AC155" s="1111" t="s">
        <v>643</v>
      </c>
      <c r="AD155" s="80" t="s">
        <v>127</v>
      </c>
      <c r="AE155" s="211"/>
      <c r="AF155" t="str">
        <f t="shared" ca="1" si="13"/>
        <v>N/A</v>
      </c>
    </row>
    <row r="156" spans="1:33" ht="130.5">
      <c r="A156" s="2754"/>
      <c r="B156" s="2755" t="s">
        <v>44</v>
      </c>
      <c r="C156" s="4"/>
      <c r="D156" s="9" t="s">
        <v>32</v>
      </c>
      <c r="E156" s="9"/>
      <c r="F156" s="9"/>
      <c r="G156" s="9"/>
      <c r="H156" s="5" t="s">
        <v>33</v>
      </c>
      <c r="I156" s="5" t="s">
        <v>268</v>
      </c>
      <c r="J156" s="16" t="s">
        <v>644</v>
      </c>
      <c r="K156" s="111"/>
      <c r="L156" s="5" t="e">
        <f>IF(OR(S156=#REF!,S156=#REF!,S156=#REF!,S156=#REF!,S156=#REF!,S156=#REF!,S156=#REF!,S156=#REF!),12,IF(OR(S156=#REF!,S156=#REF!,S156=#REF!,S156=#REF!,S156=#REF!,S156=#REF!,S156=#REF!),3,IF(S156=#REF!,1,IF(S156=#REF!,18,IF(OR(S156=#REF!,S156=#REF!,S156=#REF!,S156=#REF!,S156=#REF!),14,"Invalid proposed procurement method")))))</f>
        <v>#REF!</v>
      </c>
      <c r="M156" s="199">
        <v>44606</v>
      </c>
      <c r="N156" s="199" t="str">
        <f>IFERROR(EDATE(O156,-L156),"Invalid procurement method or date entered")</f>
        <v>Invalid procurement method or date entered</v>
      </c>
      <c r="O156" s="182">
        <v>44652</v>
      </c>
      <c r="P156" s="12" t="s">
        <v>67</v>
      </c>
      <c r="Q156" s="7" t="s">
        <v>67</v>
      </c>
      <c r="R156" s="18">
        <v>25000</v>
      </c>
      <c r="S156" s="5" t="s">
        <v>270</v>
      </c>
      <c r="T156" s="322" t="s">
        <v>38</v>
      </c>
      <c r="U156" s="323" t="s">
        <v>67</v>
      </c>
      <c r="V156" s="323"/>
      <c r="W156" s="5" t="s">
        <v>645</v>
      </c>
      <c r="X156" s="1076" t="s">
        <v>39</v>
      </c>
      <c r="Y156" s="80" t="s">
        <v>40</v>
      </c>
      <c r="Z156" s="80"/>
      <c r="AA156" s="80" t="s">
        <v>38</v>
      </c>
      <c r="AB156" s="354">
        <v>44726</v>
      </c>
      <c r="AC156" s="101" t="s">
        <v>646</v>
      </c>
      <c r="AD156" s="80" t="s">
        <v>96</v>
      </c>
      <c r="AE156" s="1131"/>
      <c r="AF156">
        <f t="shared" ca="1" si="13"/>
        <v>582</v>
      </c>
    </row>
    <row r="157" spans="1:33" ht="58">
      <c r="A157" s="2754"/>
      <c r="B157" s="2755" t="s">
        <v>44</v>
      </c>
      <c r="C157" s="4">
        <v>52022</v>
      </c>
      <c r="D157" s="9" t="s">
        <v>647</v>
      </c>
      <c r="E157" s="9"/>
      <c r="F157" s="9"/>
      <c r="G157" s="9"/>
      <c r="H157" s="5" t="s">
        <v>33</v>
      </c>
      <c r="I157" s="5" t="s">
        <v>47</v>
      </c>
      <c r="J157" s="16" t="s">
        <v>648</v>
      </c>
      <c r="K157" s="111"/>
      <c r="L157" s="5">
        <v>3</v>
      </c>
      <c r="M157" s="199">
        <v>44606</v>
      </c>
      <c r="N157" s="199">
        <f>IFERROR(EDATE(O157,-L157),"Invalid procurement method or date entered")</f>
        <v>44581</v>
      </c>
      <c r="O157" s="329" t="s">
        <v>649</v>
      </c>
      <c r="P157" s="307">
        <v>48</v>
      </c>
      <c r="Q157" s="1784" t="s">
        <v>215</v>
      </c>
      <c r="R157" s="18">
        <v>168115.24</v>
      </c>
      <c r="S157" s="31" t="s">
        <v>84</v>
      </c>
      <c r="T157" s="322" t="s">
        <v>70</v>
      </c>
      <c r="U157" s="2086" t="s">
        <v>650</v>
      </c>
      <c r="V157" s="2086"/>
      <c r="W157" s="76" t="s">
        <v>651</v>
      </c>
      <c r="X157" s="493" t="s">
        <v>168</v>
      </c>
      <c r="Y157" s="80" t="s">
        <v>40</v>
      </c>
      <c r="Z157" s="80"/>
      <c r="AA157" s="354" t="s">
        <v>70</v>
      </c>
      <c r="AB157" s="354">
        <v>44679</v>
      </c>
      <c r="AC157" s="101" t="s">
        <v>652</v>
      </c>
      <c r="AD157" s="80" t="s">
        <v>96</v>
      </c>
      <c r="AE157" s="197"/>
      <c r="AF157">
        <f t="shared" ca="1" si="13"/>
        <v>629</v>
      </c>
    </row>
    <row r="158" spans="1:33" ht="225">
      <c r="B158" s="577" t="s">
        <v>56</v>
      </c>
      <c r="C158" s="510">
        <v>50148</v>
      </c>
      <c r="D158" s="511" t="s">
        <v>348</v>
      </c>
      <c r="E158" s="511"/>
      <c r="F158" s="511"/>
      <c r="G158" s="511"/>
      <c r="H158" s="511" t="s">
        <v>58</v>
      </c>
      <c r="I158" s="510" t="s">
        <v>47</v>
      </c>
      <c r="J158" s="1580" t="s">
        <v>653</v>
      </c>
      <c r="K158" s="672"/>
      <c r="L158" s="511">
        <v>3</v>
      </c>
      <c r="M158" s="513">
        <v>44609</v>
      </c>
      <c r="N158" s="514">
        <f>IF(O158="tbc","",(IFERROR(EDATE(O158,-L158),"Invalid procurement method or date entered")))</f>
        <v>44618</v>
      </c>
      <c r="O158" s="534">
        <v>44707</v>
      </c>
      <c r="P158" s="535">
        <v>3</v>
      </c>
      <c r="Q158" s="535">
        <v>3</v>
      </c>
      <c r="R158" s="528">
        <f>61000+45000+40000+132000+46000+101000+15000+20821+10000</f>
        <v>470821</v>
      </c>
      <c r="S158" s="515" t="s">
        <v>61</v>
      </c>
      <c r="T158" s="515" t="s">
        <v>71</v>
      </c>
      <c r="U158" s="520" t="s">
        <v>251</v>
      </c>
      <c r="V158" s="520"/>
      <c r="W158" s="521" t="s">
        <v>70</v>
      </c>
      <c r="AF158">
        <f t="shared" ca="1" si="13"/>
        <v>45308</v>
      </c>
    </row>
    <row r="159" spans="1:33" ht="29">
      <c r="A159" s="2756"/>
      <c r="B159" s="2755" t="s">
        <v>44</v>
      </c>
      <c r="C159" s="4" t="s">
        <v>654</v>
      </c>
      <c r="D159" s="5" t="s">
        <v>32</v>
      </c>
      <c r="E159" s="5"/>
      <c r="F159" s="5"/>
      <c r="G159" s="5"/>
      <c r="H159" s="5" t="s">
        <v>444</v>
      </c>
      <c r="I159" s="5" t="s">
        <v>130</v>
      </c>
      <c r="J159" s="268" t="s">
        <v>655</v>
      </c>
      <c r="K159" s="2001"/>
      <c r="L159" s="5">
        <v>9</v>
      </c>
      <c r="M159" s="199">
        <f>IFERROR(EDATE($N159,-3),"Invalid procurement method or date entered")</f>
        <v>44614</v>
      </c>
      <c r="N159" s="199">
        <f>IFERROR(EDATE(O159,-L159),"Invalid procurement method or date entered")</f>
        <v>44703</v>
      </c>
      <c r="O159" s="199">
        <v>44979</v>
      </c>
      <c r="P159" s="5">
        <v>48</v>
      </c>
      <c r="Q159" s="5" t="s">
        <v>656</v>
      </c>
      <c r="R159" s="18" t="s">
        <v>657</v>
      </c>
      <c r="S159" s="5" t="s">
        <v>130</v>
      </c>
      <c r="T159" s="324" t="s">
        <v>70</v>
      </c>
      <c r="U159" s="324" t="s">
        <v>71</v>
      </c>
      <c r="V159" s="324"/>
      <c r="W159" s="5" t="s">
        <v>658</v>
      </c>
      <c r="X159" s="80" t="s">
        <v>283</v>
      </c>
      <c r="Y159" s="80" t="s">
        <v>40</v>
      </c>
      <c r="Z159" s="80" t="s">
        <v>69</v>
      </c>
      <c r="AA159" s="80" t="s">
        <v>70</v>
      </c>
      <c r="AB159" s="354" t="s">
        <v>88</v>
      </c>
      <c r="AC159" s="101" t="s">
        <v>659</v>
      </c>
      <c r="AD159" s="80" t="s">
        <v>285</v>
      </c>
      <c r="AE159" s="211"/>
      <c r="AF159" t="str">
        <f t="shared" ca="1" si="13"/>
        <v>N/A</v>
      </c>
    </row>
    <row r="160" spans="1:33" ht="78">
      <c r="A160" s="1244" t="s">
        <v>71</v>
      </c>
      <c r="B160" s="695" t="s">
        <v>44</v>
      </c>
      <c r="C160" s="695" t="s">
        <v>660</v>
      </c>
      <c r="D160" s="695" t="s">
        <v>32</v>
      </c>
      <c r="E160" s="695"/>
      <c r="F160" s="695"/>
      <c r="G160" s="695"/>
      <c r="H160" s="695" t="s">
        <v>661</v>
      </c>
      <c r="I160" s="695" t="s">
        <v>268</v>
      </c>
      <c r="J160" s="1608" t="s">
        <v>662</v>
      </c>
      <c r="K160" s="843" t="s">
        <v>663</v>
      </c>
      <c r="L160" s="695">
        <v>3</v>
      </c>
      <c r="M160" s="1235">
        <v>44616</v>
      </c>
      <c r="N160" s="1235">
        <v>44616</v>
      </c>
      <c r="O160" s="1235">
        <v>44652</v>
      </c>
      <c r="P160" s="695">
        <v>48</v>
      </c>
      <c r="Q160" s="695" t="s">
        <v>446</v>
      </c>
      <c r="R160" s="1030">
        <v>505912</v>
      </c>
      <c r="S160" s="801" t="s">
        <v>270</v>
      </c>
      <c r="T160" s="840" t="s">
        <v>310</v>
      </c>
      <c r="U160" s="932" t="s">
        <v>45</v>
      </c>
      <c r="V160" s="932"/>
      <c r="W160" s="710" t="s">
        <v>664</v>
      </c>
      <c r="X160" s="912" t="s">
        <v>283</v>
      </c>
      <c r="Y160" s="889" t="s">
        <v>40</v>
      </c>
      <c r="Z160" s="889" t="s">
        <v>69</v>
      </c>
      <c r="AA160" s="889" t="s">
        <v>70</v>
      </c>
      <c r="AB160" s="1244">
        <v>44915</v>
      </c>
      <c r="AC160" s="1906" t="s">
        <v>665</v>
      </c>
      <c r="AD160" s="843" t="s">
        <v>506</v>
      </c>
      <c r="AE160" s="889"/>
      <c r="AF160">
        <f t="shared" ca="1" si="13"/>
        <v>393</v>
      </c>
      <c r="AG160" s="906"/>
    </row>
    <row r="161" spans="1:33" ht="75">
      <c r="B161" s="577" t="s">
        <v>56</v>
      </c>
      <c r="C161" s="510" t="s">
        <v>60</v>
      </c>
      <c r="D161" s="511" t="s">
        <v>348</v>
      </c>
      <c r="E161" s="511"/>
      <c r="F161" s="511"/>
      <c r="G161" s="511"/>
      <c r="H161" s="511" t="s">
        <v>58</v>
      </c>
      <c r="I161" s="510" t="s">
        <v>47</v>
      </c>
      <c r="J161" s="1580" t="s">
        <v>666</v>
      </c>
      <c r="K161" s="672"/>
      <c r="L161" s="511">
        <v>3</v>
      </c>
      <c r="M161" s="513">
        <v>44616</v>
      </c>
      <c r="N161" s="514">
        <f t="shared" ref="N161:N167" si="16">IF(O161="tbc","",(IFERROR(EDATE(O161,-L161),"Invalid procurement method or date entered")))</f>
        <v>44581</v>
      </c>
      <c r="O161" s="534">
        <v>44671</v>
      </c>
      <c r="P161" s="535">
        <v>1</v>
      </c>
      <c r="Q161" s="535">
        <v>1</v>
      </c>
      <c r="R161" s="528">
        <f>128724+147673+103378+127122+32198</f>
        <v>539095</v>
      </c>
      <c r="S161" s="515" t="s">
        <v>61</v>
      </c>
      <c r="T161" s="515" t="s">
        <v>71</v>
      </c>
      <c r="U161" s="520" t="s">
        <v>594</v>
      </c>
      <c r="V161" s="520"/>
      <c r="W161" s="521" t="s">
        <v>70</v>
      </c>
      <c r="AF161">
        <f t="shared" ca="1" si="13"/>
        <v>45308</v>
      </c>
    </row>
    <row r="162" spans="1:33" ht="234">
      <c r="A162" s="911"/>
      <c r="B162" s="726" t="s">
        <v>56</v>
      </c>
      <c r="C162" s="726" t="s">
        <v>60</v>
      </c>
      <c r="D162" s="730" t="s">
        <v>348</v>
      </c>
      <c r="E162" s="730"/>
      <c r="F162" s="730"/>
      <c r="G162" s="730"/>
      <c r="H162" s="728" t="s">
        <v>58</v>
      </c>
      <c r="I162" s="729" t="s">
        <v>47</v>
      </c>
      <c r="J162" s="1604" t="s">
        <v>667</v>
      </c>
      <c r="K162" s="955"/>
      <c r="L162" s="730">
        <v>3</v>
      </c>
      <c r="M162" s="731">
        <v>44616</v>
      </c>
      <c r="N162" s="712">
        <f t="shared" si="16"/>
        <v>44587</v>
      </c>
      <c r="O162" s="759">
        <v>44677</v>
      </c>
      <c r="P162" s="891">
        <v>1</v>
      </c>
      <c r="Q162" s="891">
        <v>1</v>
      </c>
      <c r="R162" s="772">
        <f>58300+75200+84500+9800+60000</f>
        <v>287800</v>
      </c>
      <c r="S162" s="711" t="s">
        <v>61</v>
      </c>
      <c r="T162" s="711" t="s">
        <v>71</v>
      </c>
      <c r="U162" s="711" t="s">
        <v>589</v>
      </c>
      <c r="V162" s="711"/>
      <c r="W162" s="729" t="s">
        <v>668</v>
      </c>
      <c r="X162" s="922" t="s">
        <v>351</v>
      </c>
      <c r="Y162" s="900" t="s">
        <v>594</v>
      </c>
      <c r="Z162" s="1087" t="s">
        <v>154</v>
      </c>
      <c r="AA162" s="889" t="s">
        <v>70</v>
      </c>
      <c r="AB162" s="1104">
        <v>44770</v>
      </c>
      <c r="AC162" s="1515" t="s">
        <v>669</v>
      </c>
      <c r="AD162" s="1502"/>
      <c r="AE162" s="1502"/>
      <c r="AF162">
        <f t="shared" ca="1" si="13"/>
        <v>538</v>
      </c>
      <c r="AG162" s="906"/>
    </row>
    <row r="163" spans="1:33" ht="195">
      <c r="A163" s="911"/>
      <c r="B163" s="726" t="s">
        <v>56</v>
      </c>
      <c r="C163" s="726" t="s">
        <v>60</v>
      </c>
      <c r="D163" s="730" t="s">
        <v>348</v>
      </c>
      <c r="E163" s="730"/>
      <c r="F163" s="730"/>
      <c r="G163" s="730"/>
      <c r="H163" s="728" t="s">
        <v>58</v>
      </c>
      <c r="I163" s="729" t="s">
        <v>47</v>
      </c>
      <c r="J163" s="1604" t="s">
        <v>670</v>
      </c>
      <c r="K163" s="955"/>
      <c r="L163" s="730">
        <v>3</v>
      </c>
      <c r="M163" s="731">
        <v>44616</v>
      </c>
      <c r="N163" s="712">
        <f t="shared" si="16"/>
        <v>44595</v>
      </c>
      <c r="O163" s="759">
        <v>44684</v>
      </c>
      <c r="P163" s="891">
        <v>7</v>
      </c>
      <c r="Q163" s="891">
        <v>7</v>
      </c>
      <c r="R163" s="772">
        <f>18478.99+3402.48+14902.4+23123.82+21580.9+14018.66+61917.09+4257.49+38859.57+12471.54+42840.96+74548.89</f>
        <v>330402.78999999998</v>
      </c>
      <c r="S163" s="711" t="s">
        <v>61</v>
      </c>
      <c r="T163" s="711" t="s">
        <v>71</v>
      </c>
      <c r="U163" s="711" t="s">
        <v>589</v>
      </c>
      <c r="V163" s="711"/>
      <c r="W163" s="729" t="s">
        <v>671</v>
      </c>
      <c r="X163" s="922" t="s">
        <v>312</v>
      </c>
      <c r="Y163" s="900" t="s">
        <v>594</v>
      </c>
      <c r="Z163" s="1087" t="s">
        <v>69</v>
      </c>
      <c r="AA163" s="889" t="s">
        <v>70</v>
      </c>
      <c r="AB163" s="1104">
        <v>44812</v>
      </c>
      <c r="AC163" s="1515" t="s">
        <v>672</v>
      </c>
      <c r="AD163" s="926"/>
      <c r="AE163" s="926"/>
      <c r="AF163">
        <f t="shared" ca="1" si="13"/>
        <v>496</v>
      </c>
      <c r="AG163" s="906"/>
    </row>
    <row r="164" spans="1:33" ht="50">
      <c r="B164" s="577" t="s">
        <v>56</v>
      </c>
      <c r="C164" s="510">
        <v>50493</v>
      </c>
      <c r="D164" s="511" t="s">
        <v>348</v>
      </c>
      <c r="E164" s="511"/>
      <c r="F164" s="511"/>
      <c r="G164" s="511"/>
      <c r="H164" s="511" t="s">
        <v>58</v>
      </c>
      <c r="I164" s="510" t="s">
        <v>47</v>
      </c>
      <c r="J164" s="1580" t="s">
        <v>673</v>
      </c>
      <c r="K164" s="672"/>
      <c r="L164" s="511">
        <v>3</v>
      </c>
      <c r="M164" s="513">
        <v>44616</v>
      </c>
      <c r="N164" s="514">
        <f t="shared" si="16"/>
        <v>44601</v>
      </c>
      <c r="O164" s="534">
        <v>44690</v>
      </c>
      <c r="P164" s="535">
        <v>1</v>
      </c>
      <c r="Q164" s="535">
        <v>1</v>
      </c>
      <c r="R164" s="528">
        <v>60000</v>
      </c>
      <c r="S164" s="515" t="s">
        <v>61</v>
      </c>
      <c r="T164" s="515" t="s">
        <v>71</v>
      </c>
      <c r="U164" s="520" t="s">
        <v>225</v>
      </c>
      <c r="V164" s="520"/>
      <c r="W164" s="521" t="s">
        <v>70</v>
      </c>
      <c r="AF164">
        <f t="shared" ca="1" si="13"/>
        <v>45308</v>
      </c>
    </row>
    <row r="165" spans="1:33" ht="273">
      <c r="A165" s="911"/>
      <c r="B165" s="726" t="s">
        <v>56</v>
      </c>
      <c r="C165" s="726" t="s">
        <v>60</v>
      </c>
      <c r="D165" s="730" t="s">
        <v>348</v>
      </c>
      <c r="E165" s="730"/>
      <c r="F165" s="730"/>
      <c r="G165" s="730"/>
      <c r="H165" s="728" t="s">
        <v>58</v>
      </c>
      <c r="I165" s="729" t="s">
        <v>47</v>
      </c>
      <c r="J165" s="1604" t="s">
        <v>674</v>
      </c>
      <c r="K165" s="955"/>
      <c r="L165" s="730">
        <v>3</v>
      </c>
      <c r="M165" s="731">
        <v>44616</v>
      </c>
      <c r="N165" s="712">
        <f t="shared" si="16"/>
        <v>44610</v>
      </c>
      <c r="O165" s="759">
        <v>44699</v>
      </c>
      <c r="P165" s="891">
        <v>1</v>
      </c>
      <c r="Q165" s="891">
        <v>1</v>
      </c>
      <c r="R165" s="772">
        <f>176000+100000+100000</f>
        <v>376000</v>
      </c>
      <c r="S165" s="711" t="s">
        <v>61</v>
      </c>
      <c r="T165" s="711" t="s">
        <v>62</v>
      </c>
      <c r="U165" s="711" t="s">
        <v>60</v>
      </c>
      <c r="V165" s="711"/>
      <c r="W165" s="729" t="s">
        <v>668</v>
      </c>
      <c r="X165" s="922" t="s">
        <v>351</v>
      </c>
      <c r="Y165" s="900" t="s">
        <v>115</v>
      </c>
      <c r="Z165" s="1087" t="s">
        <v>154</v>
      </c>
      <c r="AA165" s="889" t="s">
        <v>70</v>
      </c>
      <c r="AB165" s="1103">
        <v>44770</v>
      </c>
      <c r="AC165" s="1515" t="s">
        <v>675</v>
      </c>
      <c r="AD165" s="1502"/>
      <c r="AE165" s="1502"/>
      <c r="AF165">
        <f t="shared" ca="1" si="13"/>
        <v>538</v>
      </c>
      <c r="AG165" s="906"/>
    </row>
    <row r="166" spans="1:33" ht="87.5">
      <c r="B166" s="577" t="s">
        <v>56</v>
      </c>
      <c r="C166" s="510" t="s">
        <v>60</v>
      </c>
      <c r="D166" s="511" t="s">
        <v>348</v>
      </c>
      <c r="E166" s="511"/>
      <c r="F166" s="511"/>
      <c r="G166" s="511"/>
      <c r="H166" s="511" t="s">
        <v>58</v>
      </c>
      <c r="I166" s="510" t="s">
        <v>47</v>
      </c>
      <c r="J166" s="1580" t="s">
        <v>676</v>
      </c>
      <c r="K166" s="672"/>
      <c r="L166" s="511">
        <v>3</v>
      </c>
      <c r="M166" s="513">
        <v>44616</v>
      </c>
      <c r="N166" s="514">
        <f t="shared" si="16"/>
        <v>44618</v>
      </c>
      <c r="O166" s="534">
        <v>44707</v>
      </c>
      <c r="P166" s="535">
        <v>1</v>
      </c>
      <c r="Q166" s="535">
        <v>1</v>
      </c>
      <c r="R166" s="528">
        <f>54160+81692+157680+316451</f>
        <v>609983</v>
      </c>
      <c r="S166" s="515" t="s">
        <v>61</v>
      </c>
      <c r="T166" s="515" t="s">
        <v>71</v>
      </c>
      <c r="U166" s="520" t="s">
        <v>594</v>
      </c>
      <c r="V166" s="520"/>
      <c r="W166" s="521" t="s">
        <v>70</v>
      </c>
      <c r="AF166">
        <f t="shared" ca="1" si="13"/>
        <v>45308</v>
      </c>
    </row>
    <row r="167" spans="1:33" ht="37.5">
      <c r="B167" s="577" t="s">
        <v>56</v>
      </c>
      <c r="C167" s="510">
        <v>50985</v>
      </c>
      <c r="D167" s="511" t="s">
        <v>122</v>
      </c>
      <c r="E167" s="511"/>
      <c r="F167" s="511"/>
      <c r="G167" s="511"/>
      <c r="H167" s="511" t="s">
        <v>308</v>
      </c>
      <c r="I167" s="510" t="s">
        <v>47</v>
      </c>
      <c r="J167" s="1580" t="s">
        <v>677</v>
      </c>
      <c r="K167" s="658"/>
      <c r="L167" s="511">
        <v>3</v>
      </c>
      <c r="M167" s="513">
        <v>44616</v>
      </c>
      <c r="N167" s="514">
        <f t="shared" si="16"/>
        <v>44652</v>
      </c>
      <c r="O167" s="534">
        <v>44743</v>
      </c>
      <c r="P167" s="535">
        <v>4</v>
      </c>
      <c r="Q167" s="535">
        <v>4</v>
      </c>
      <c r="R167" s="528">
        <v>202000</v>
      </c>
      <c r="S167" s="515" t="s">
        <v>75</v>
      </c>
      <c r="T167" s="515" t="s">
        <v>62</v>
      </c>
      <c r="U167" s="520" t="s">
        <v>115</v>
      </c>
      <c r="V167" s="520"/>
      <c r="W167" s="521" t="s">
        <v>70</v>
      </c>
      <c r="AF167">
        <f t="shared" ca="1" si="13"/>
        <v>45308</v>
      </c>
    </row>
    <row r="168" spans="1:33" ht="52">
      <c r="A168" s="911" t="s">
        <v>71</v>
      </c>
      <c r="B168" s="695" t="s">
        <v>44</v>
      </c>
      <c r="C168" s="738" t="s">
        <v>45</v>
      </c>
      <c r="D168" s="710" t="s">
        <v>647</v>
      </c>
      <c r="E168" s="710"/>
      <c r="F168" s="710"/>
      <c r="G168" s="710"/>
      <c r="H168" s="709" t="s">
        <v>506</v>
      </c>
      <c r="I168" s="709" t="s">
        <v>47</v>
      </c>
      <c r="J168" s="1608" t="s">
        <v>678</v>
      </c>
      <c r="K168" s="945"/>
      <c r="L168" s="710">
        <v>7</v>
      </c>
      <c r="M168" s="711">
        <v>44617</v>
      </c>
      <c r="N168" s="711">
        <f t="shared" ref="N168:N179" si="17">IFERROR(EDATE(O168,-L168),"Invalid procurement method or date entered")</f>
        <v>44593</v>
      </c>
      <c r="O168" s="711">
        <v>44805</v>
      </c>
      <c r="P168" s="738" t="s">
        <v>45</v>
      </c>
      <c r="Q168" s="738" t="s">
        <v>45</v>
      </c>
      <c r="R168" s="772">
        <v>2000</v>
      </c>
      <c r="S168" s="710" t="s">
        <v>45</v>
      </c>
      <c r="T168" s="731" t="s">
        <v>612</v>
      </c>
      <c r="U168" s="731" t="s">
        <v>67</v>
      </c>
      <c r="V168" s="731"/>
      <c r="W168" s="709" t="s">
        <v>679</v>
      </c>
      <c r="X168" s="843" t="s">
        <v>206</v>
      </c>
      <c r="Y168" s="843" t="s">
        <v>115</v>
      </c>
      <c r="Z168" s="843" t="s">
        <v>154</v>
      </c>
      <c r="AA168" s="843" t="s">
        <v>70</v>
      </c>
      <c r="AB168" s="1890">
        <v>44817</v>
      </c>
      <c r="AC168" s="945" t="s">
        <v>680</v>
      </c>
      <c r="AD168" s="843" t="s">
        <v>506</v>
      </c>
      <c r="AE168" s="806"/>
      <c r="AF168">
        <f t="shared" ca="1" si="13"/>
        <v>491</v>
      </c>
      <c r="AG168" s="906"/>
    </row>
    <row r="169" spans="1:33" ht="52">
      <c r="A169" s="911" t="s">
        <v>71</v>
      </c>
      <c r="B169" s="695" t="s">
        <v>44</v>
      </c>
      <c r="C169" s="738" t="s">
        <v>45</v>
      </c>
      <c r="D169" s="710" t="s">
        <v>647</v>
      </c>
      <c r="E169" s="710"/>
      <c r="F169" s="710"/>
      <c r="G169" s="710"/>
      <c r="H169" s="709" t="s">
        <v>506</v>
      </c>
      <c r="I169" s="709" t="s">
        <v>47</v>
      </c>
      <c r="J169" s="1608" t="s">
        <v>681</v>
      </c>
      <c r="K169" s="945"/>
      <c r="L169" s="710">
        <v>7</v>
      </c>
      <c r="M169" s="711">
        <v>44617</v>
      </c>
      <c r="N169" s="711">
        <f t="shared" si="17"/>
        <v>44593</v>
      </c>
      <c r="O169" s="711">
        <v>44805</v>
      </c>
      <c r="P169" s="738" t="s">
        <v>45</v>
      </c>
      <c r="Q169" s="738" t="s">
        <v>45</v>
      </c>
      <c r="R169" s="772">
        <v>10000</v>
      </c>
      <c r="S169" s="710" t="s">
        <v>45</v>
      </c>
      <c r="T169" s="731" t="s">
        <v>612</v>
      </c>
      <c r="U169" s="731" t="s">
        <v>67</v>
      </c>
      <c r="V169" s="731"/>
      <c r="W169" s="709" t="s">
        <v>679</v>
      </c>
      <c r="X169" s="843" t="s">
        <v>206</v>
      </c>
      <c r="Y169" s="843" t="s">
        <v>115</v>
      </c>
      <c r="Z169" s="843" t="s">
        <v>154</v>
      </c>
      <c r="AA169" s="843" t="s">
        <v>70</v>
      </c>
      <c r="AB169" s="1890">
        <v>44817</v>
      </c>
      <c r="AC169" s="945" t="s">
        <v>680</v>
      </c>
      <c r="AD169" s="843" t="s">
        <v>506</v>
      </c>
      <c r="AE169" s="806"/>
      <c r="AF169">
        <f t="shared" ca="1" si="13"/>
        <v>491</v>
      </c>
      <c r="AG169" s="906"/>
    </row>
    <row r="170" spans="1:33" ht="52">
      <c r="A170" s="911" t="s">
        <v>71</v>
      </c>
      <c r="B170" s="695" t="s">
        <v>44</v>
      </c>
      <c r="C170" s="738" t="s">
        <v>45</v>
      </c>
      <c r="D170" s="710" t="s">
        <v>647</v>
      </c>
      <c r="E170" s="710"/>
      <c r="F170" s="710"/>
      <c r="G170" s="710"/>
      <c r="H170" s="709" t="s">
        <v>506</v>
      </c>
      <c r="I170" s="709" t="s">
        <v>47</v>
      </c>
      <c r="J170" s="1608" t="s">
        <v>682</v>
      </c>
      <c r="K170" s="945"/>
      <c r="L170" s="710">
        <v>7</v>
      </c>
      <c r="M170" s="711">
        <v>44617</v>
      </c>
      <c r="N170" s="711">
        <f t="shared" si="17"/>
        <v>44593</v>
      </c>
      <c r="O170" s="711">
        <v>44805</v>
      </c>
      <c r="P170" s="738" t="s">
        <v>45</v>
      </c>
      <c r="Q170" s="738" t="s">
        <v>45</v>
      </c>
      <c r="R170" s="772">
        <v>10000</v>
      </c>
      <c r="S170" s="710" t="s">
        <v>45</v>
      </c>
      <c r="T170" s="731" t="s">
        <v>612</v>
      </c>
      <c r="U170" s="731" t="s">
        <v>67</v>
      </c>
      <c r="V170" s="731"/>
      <c r="W170" s="709" t="s">
        <v>679</v>
      </c>
      <c r="X170" s="843" t="s">
        <v>206</v>
      </c>
      <c r="Y170" s="843" t="s">
        <v>115</v>
      </c>
      <c r="Z170" s="843" t="s">
        <v>154</v>
      </c>
      <c r="AA170" s="843" t="s">
        <v>70</v>
      </c>
      <c r="AB170" s="1890">
        <v>44817</v>
      </c>
      <c r="AC170" s="945" t="s">
        <v>680</v>
      </c>
      <c r="AD170" s="843" t="s">
        <v>506</v>
      </c>
      <c r="AE170" s="806"/>
      <c r="AF170">
        <f t="shared" ca="1" si="13"/>
        <v>491</v>
      </c>
      <c r="AG170" s="906"/>
    </row>
    <row r="171" spans="1:33" ht="52">
      <c r="A171" s="911" t="s">
        <v>71</v>
      </c>
      <c r="B171" s="695" t="s">
        <v>44</v>
      </c>
      <c r="C171" s="738" t="s">
        <v>45</v>
      </c>
      <c r="D171" s="710" t="s">
        <v>647</v>
      </c>
      <c r="E171" s="710"/>
      <c r="F171" s="710"/>
      <c r="G171" s="710"/>
      <c r="H171" s="709" t="s">
        <v>506</v>
      </c>
      <c r="I171" s="709" t="s">
        <v>47</v>
      </c>
      <c r="J171" s="1608" t="s">
        <v>683</v>
      </c>
      <c r="K171" s="945"/>
      <c r="L171" s="710">
        <v>7</v>
      </c>
      <c r="M171" s="711">
        <v>44617</v>
      </c>
      <c r="N171" s="711">
        <f t="shared" si="17"/>
        <v>44593</v>
      </c>
      <c r="O171" s="711">
        <v>44805</v>
      </c>
      <c r="P171" s="738" t="s">
        <v>45</v>
      </c>
      <c r="Q171" s="738" t="s">
        <v>45</v>
      </c>
      <c r="R171" s="772">
        <v>10000</v>
      </c>
      <c r="S171" s="710" t="s">
        <v>45</v>
      </c>
      <c r="T171" s="731" t="s">
        <v>612</v>
      </c>
      <c r="U171" s="731" t="s">
        <v>67</v>
      </c>
      <c r="V171" s="731"/>
      <c r="W171" s="709" t="s">
        <v>679</v>
      </c>
      <c r="X171" s="843" t="s">
        <v>206</v>
      </c>
      <c r="Y171" s="843" t="s">
        <v>115</v>
      </c>
      <c r="Z171" s="843" t="s">
        <v>154</v>
      </c>
      <c r="AA171" s="843" t="s">
        <v>70</v>
      </c>
      <c r="AB171" s="1890">
        <v>44817</v>
      </c>
      <c r="AC171" s="945" t="s">
        <v>680</v>
      </c>
      <c r="AD171" s="843" t="s">
        <v>506</v>
      </c>
      <c r="AE171" s="806"/>
      <c r="AF171">
        <f t="shared" ca="1" si="13"/>
        <v>491</v>
      </c>
      <c r="AG171" s="906"/>
    </row>
    <row r="172" spans="1:33" ht="52">
      <c r="A172" s="911" t="s">
        <v>71</v>
      </c>
      <c r="B172" s="695" t="s">
        <v>44</v>
      </c>
      <c r="C172" s="738" t="s">
        <v>45</v>
      </c>
      <c r="D172" s="710" t="s">
        <v>647</v>
      </c>
      <c r="E172" s="710"/>
      <c r="F172" s="710"/>
      <c r="G172" s="710"/>
      <c r="H172" s="709" t="s">
        <v>506</v>
      </c>
      <c r="I172" s="709" t="s">
        <v>47</v>
      </c>
      <c r="J172" s="1608" t="s">
        <v>684</v>
      </c>
      <c r="K172" s="945"/>
      <c r="L172" s="710">
        <v>7</v>
      </c>
      <c r="M172" s="711">
        <v>44617</v>
      </c>
      <c r="N172" s="711">
        <f t="shared" si="17"/>
        <v>44593</v>
      </c>
      <c r="O172" s="711">
        <v>44805</v>
      </c>
      <c r="P172" s="738" t="s">
        <v>45</v>
      </c>
      <c r="Q172" s="738" t="s">
        <v>45</v>
      </c>
      <c r="R172" s="772">
        <v>2000</v>
      </c>
      <c r="S172" s="710" t="s">
        <v>45</v>
      </c>
      <c r="T172" s="731" t="s">
        <v>612</v>
      </c>
      <c r="U172" s="731" t="s">
        <v>67</v>
      </c>
      <c r="V172" s="731"/>
      <c r="W172" s="709" t="s">
        <v>679</v>
      </c>
      <c r="X172" s="843" t="s">
        <v>206</v>
      </c>
      <c r="Y172" s="843" t="s">
        <v>115</v>
      </c>
      <c r="Z172" s="843" t="s">
        <v>154</v>
      </c>
      <c r="AA172" s="843" t="s">
        <v>70</v>
      </c>
      <c r="AB172" s="1890">
        <v>44817</v>
      </c>
      <c r="AC172" s="945" t="s">
        <v>680</v>
      </c>
      <c r="AD172" s="843" t="s">
        <v>506</v>
      </c>
      <c r="AE172" s="806"/>
      <c r="AF172">
        <f t="shared" ca="1" si="13"/>
        <v>491</v>
      </c>
      <c r="AG172" s="906"/>
    </row>
    <row r="173" spans="1:33" ht="52">
      <c r="A173" s="911" t="s">
        <v>71</v>
      </c>
      <c r="B173" s="695" t="s">
        <v>44</v>
      </c>
      <c r="C173" s="738" t="s">
        <v>45</v>
      </c>
      <c r="D173" s="710" t="s">
        <v>647</v>
      </c>
      <c r="E173" s="710"/>
      <c r="F173" s="710"/>
      <c r="G173" s="710"/>
      <c r="H173" s="709" t="s">
        <v>506</v>
      </c>
      <c r="I173" s="709" t="s">
        <v>47</v>
      </c>
      <c r="J173" s="1608" t="s">
        <v>685</v>
      </c>
      <c r="K173" s="945"/>
      <c r="L173" s="710">
        <v>7</v>
      </c>
      <c r="M173" s="711">
        <v>44617</v>
      </c>
      <c r="N173" s="711">
        <f t="shared" si="17"/>
        <v>44593</v>
      </c>
      <c r="O173" s="711">
        <v>44805</v>
      </c>
      <c r="P173" s="738" t="s">
        <v>45</v>
      </c>
      <c r="Q173" s="738" t="s">
        <v>45</v>
      </c>
      <c r="R173" s="772">
        <v>2100</v>
      </c>
      <c r="S173" s="710" t="s">
        <v>45</v>
      </c>
      <c r="T173" s="731" t="s">
        <v>612</v>
      </c>
      <c r="U173" s="731" t="s">
        <v>67</v>
      </c>
      <c r="V173" s="731"/>
      <c r="W173" s="709" t="s">
        <v>679</v>
      </c>
      <c r="X173" s="843" t="s">
        <v>206</v>
      </c>
      <c r="Y173" s="843" t="s">
        <v>115</v>
      </c>
      <c r="Z173" s="843" t="s">
        <v>154</v>
      </c>
      <c r="AA173" s="843" t="s">
        <v>70</v>
      </c>
      <c r="AB173" s="1890">
        <v>44817</v>
      </c>
      <c r="AC173" s="945" t="s">
        <v>680</v>
      </c>
      <c r="AD173" s="843" t="s">
        <v>506</v>
      </c>
      <c r="AE173" s="806"/>
      <c r="AF173">
        <f t="shared" ca="1" si="13"/>
        <v>491</v>
      </c>
      <c r="AG173" s="906"/>
    </row>
    <row r="174" spans="1:33" ht="52">
      <c r="A174" s="911" t="s">
        <v>71</v>
      </c>
      <c r="B174" s="695" t="s">
        <v>44</v>
      </c>
      <c r="C174" s="738" t="s">
        <v>45</v>
      </c>
      <c r="D174" s="710" t="s">
        <v>647</v>
      </c>
      <c r="E174" s="710"/>
      <c r="F174" s="710"/>
      <c r="G174" s="710"/>
      <c r="H174" s="709" t="s">
        <v>506</v>
      </c>
      <c r="I174" s="709" t="s">
        <v>47</v>
      </c>
      <c r="J174" s="1608" t="s">
        <v>686</v>
      </c>
      <c r="K174" s="945"/>
      <c r="L174" s="710">
        <v>7</v>
      </c>
      <c r="M174" s="711">
        <v>44617</v>
      </c>
      <c r="N174" s="711">
        <f t="shared" si="17"/>
        <v>44593</v>
      </c>
      <c r="O174" s="711">
        <v>44805</v>
      </c>
      <c r="P174" s="738" t="s">
        <v>45</v>
      </c>
      <c r="Q174" s="738" t="s">
        <v>45</v>
      </c>
      <c r="R174" s="772">
        <v>6000</v>
      </c>
      <c r="S174" s="710" t="s">
        <v>45</v>
      </c>
      <c r="T174" s="731" t="s">
        <v>612</v>
      </c>
      <c r="U174" s="731" t="s">
        <v>67</v>
      </c>
      <c r="V174" s="731"/>
      <c r="W174" s="709" t="s">
        <v>679</v>
      </c>
      <c r="X174" s="843" t="s">
        <v>206</v>
      </c>
      <c r="Y174" s="843" t="s">
        <v>115</v>
      </c>
      <c r="Z174" s="843" t="s">
        <v>154</v>
      </c>
      <c r="AA174" s="843" t="s">
        <v>70</v>
      </c>
      <c r="AB174" s="1890">
        <v>44817</v>
      </c>
      <c r="AC174" s="945" t="s">
        <v>680</v>
      </c>
      <c r="AD174" s="843" t="s">
        <v>506</v>
      </c>
      <c r="AE174" s="806"/>
      <c r="AF174">
        <f t="shared" ca="1" si="13"/>
        <v>491</v>
      </c>
      <c r="AG174" s="906"/>
    </row>
    <row r="175" spans="1:33" ht="52">
      <c r="A175" s="911" t="s">
        <v>71</v>
      </c>
      <c r="B175" s="695" t="s">
        <v>44</v>
      </c>
      <c r="C175" s="738" t="s">
        <v>45</v>
      </c>
      <c r="D175" s="710" t="s">
        <v>647</v>
      </c>
      <c r="E175" s="710"/>
      <c r="F175" s="710"/>
      <c r="G175" s="710"/>
      <c r="H175" s="709" t="s">
        <v>506</v>
      </c>
      <c r="I175" s="709" t="s">
        <v>47</v>
      </c>
      <c r="J175" s="1608" t="s">
        <v>687</v>
      </c>
      <c r="K175" s="945"/>
      <c r="L175" s="710">
        <v>7</v>
      </c>
      <c r="M175" s="711">
        <v>44617</v>
      </c>
      <c r="N175" s="711">
        <f t="shared" si="17"/>
        <v>44593</v>
      </c>
      <c r="O175" s="711">
        <v>44805</v>
      </c>
      <c r="P175" s="738" t="s">
        <v>45</v>
      </c>
      <c r="Q175" s="738" t="s">
        <v>45</v>
      </c>
      <c r="R175" s="772">
        <v>1000</v>
      </c>
      <c r="S175" s="710" t="s">
        <v>45</v>
      </c>
      <c r="T175" s="731" t="s">
        <v>612</v>
      </c>
      <c r="U175" s="731" t="s">
        <v>67</v>
      </c>
      <c r="V175" s="731"/>
      <c r="W175" s="709" t="s">
        <v>679</v>
      </c>
      <c r="X175" s="843" t="s">
        <v>206</v>
      </c>
      <c r="Y175" s="843" t="s">
        <v>115</v>
      </c>
      <c r="Z175" s="843" t="s">
        <v>154</v>
      </c>
      <c r="AA175" s="843" t="s">
        <v>70</v>
      </c>
      <c r="AB175" s="1890">
        <v>44817</v>
      </c>
      <c r="AC175" s="945" t="s">
        <v>680</v>
      </c>
      <c r="AD175" s="843" t="s">
        <v>506</v>
      </c>
      <c r="AE175" s="806"/>
      <c r="AF175">
        <f t="shared" ca="1" si="13"/>
        <v>491</v>
      </c>
      <c r="AG175" s="906"/>
    </row>
    <row r="176" spans="1:33" ht="52">
      <c r="A176" s="911" t="s">
        <v>71</v>
      </c>
      <c r="B176" s="695" t="s">
        <v>44</v>
      </c>
      <c r="C176" s="738" t="s">
        <v>45</v>
      </c>
      <c r="D176" s="710" t="s">
        <v>647</v>
      </c>
      <c r="E176" s="710"/>
      <c r="F176" s="710"/>
      <c r="G176" s="710"/>
      <c r="H176" s="709" t="s">
        <v>506</v>
      </c>
      <c r="I176" s="709" t="s">
        <v>47</v>
      </c>
      <c r="J176" s="1608" t="s">
        <v>688</v>
      </c>
      <c r="K176" s="945"/>
      <c r="L176" s="710">
        <v>7</v>
      </c>
      <c r="M176" s="711">
        <v>44617</v>
      </c>
      <c r="N176" s="711">
        <f t="shared" si="17"/>
        <v>44593</v>
      </c>
      <c r="O176" s="711">
        <v>44805</v>
      </c>
      <c r="P176" s="738" t="s">
        <v>45</v>
      </c>
      <c r="Q176" s="738" t="s">
        <v>45</v>
      </c>
      <c r="R176" s="772">
        <v>1000</v>
      </c>
      <c r="S176" s="710" t="s">
        <v>45</v>
      </c>
      <c r="T176" s="731" t="s">
        <v>612</v>
      </c>
      <c r="U176" s="731" t="s">
        <v>67</v>
      </c>
      <c r="V176" s="731"/>
      <c r="W176" s="709" t="s">
        <v>679</v>
      </c>
      <c r="X176" s="843" t="s">
        <v>206</v>
      </c>
      <c r="Y176" s="843" t="s">
        <v>115</v>
      </c>
      <c r="Z176" s="843" t="s">
        <v>154</v>
      </c>
      <c r="AA176" s="843" t="s">
        <v>70</v>
      </c>
      <c r="AB176" s="1890">
        <v>44817</v>
      </c>
      <c r="AC176" s="945" t="s">
        <v>680</v>
      </c>
      <c r="AD176" s="843" t="s">
        <v>506</v>
      </c>
      <c r="AE176" s="806"/>
      <c r="AF176">
        <f t="shared" ca="1" si="13"/>
        <v>491</v>
      </c>
      <c r="AG176" s="906"/>
    </row>
    <row r="177" spans="1:33" ht="52">
      <c r="A177" s="911" t="s">
        <v>71</v>
      </c>
      <c r="B177" s="695" t="s">
        <v>44</v>
      </c>
      <c r="C177" s="738" t="s">
        <v>45</v>
      </c>
      <c r="D177" s="710" t="s">
        <v>647</v>
      </c>
      <c r="E177" s="710"/>
      <c r="F177" s="710"/>
      <c r="G177" s="710"/>
      <c r="H177" s="709" t="s">
        <v>506</v>
      </c>
      <c r="I177" s="709" t="s">
        <v>47</v>
      </c>
      <c r="J177" s="1608" t="s">
        <v>689</v>
      </c>
      <c r="K177" s="945"/>
      <c r="L177" s="710">
        <v>7</v>
      </c>
      <c r="M177" s="711">
        <v>44617</v>
      </c>
      <c r="N177" s="711">
        <f t="shared" si="17"/>
        <v>44593</v>
      </c>
      <c r="O177" s="711">
        <v>44805</v>
      </c>
      <c r="P177" s="738" t="s">
        <v>45</v>
      </c>
      <c r="Q177" s="738" t="s">
        <v>45</v>
      </c>
      <c r="R177" s="772">
        <v>3000</v>
      </c>
      <c r="S177" s="710" t="s">
        <v>45</v>
      </c>
      <c r="T177" s="731" t="s">
        <v>612</v>
      </c>
      <c r="U177" s="731" t="s">
        <v>67</v>
      </c>
      <c r="V177" s="731"/>
      <c r="W177" s="709" t="s">
        <v>679</v>
      </c>
      <c r="X177" s="843" t="s">
        <v>206</v>
      </c>
      <c r="Y177" s="843" t="s">
        <v>115</v>
      </c>
      <c r="Z177" s="843" t="s">
        <v>154</v>
      </c>
      <c r="AA177" s="843" t="s">
        <v>70</v>
      </c>
      <c r="AB177" s="1890">
        <v>44817</v>
      </c>
      <c r="AC177" s="945" t="s">
        <v>680</v>
      </c>
      <c r="AD177" s="843" t="s">
        <v>506</v>
      </c>
      <c r="AE177" s="806"/>
      <c r="AF177">
        <f t="shared" ca="1" si="13"/>
        <v>491</v>
      </c>
      <c r="AG177" s="906"/>
    </row>
    <row r="178" spans="1:33" ht="52">
      <c r="A178" s="911" t="s">
        <v>71</v>
      </c>
      <c r="B178" s="695" t="s">
        <v>44</v>
      </c>
      <c r="C178" s="738" t="s">
        <v>45</v>
      </c>
      <c r="D178" s="710" t="s">
        <v>647</v>
      </c>
      <c r="E178" s="710"/>
      <c r="F178" s="710"/>
      <c r="G178" s="710"/>
      <c r="H178" s="709" t="s">
        <v>506</v>
      </c>
      <c r="I178" s="709" t="s">
        <v>47</v>
      </c>
      <c r="J178" s="1608" t="s">
        <v>690</v>
      </c>
      <c r="K178" s="945"/>
      <c r="L178" s="710">
        <v>7</v>
      </c>
      <c r="M178" s="711">
        <v>44617</v>
      </c>
      <c r="N178" s="711">
        <f t="shared" si="17"/>
        <v>44593</v>
      </c>
      <c r="O178" s="711">
        <v>44805</v>
      </c>
      <c r="P178" s="738" t="s">
        <v>45</v>
      </c>
      <c r="Q178" s="738" t="s">
        <v>45</v>
      </c>
      <c r="R178" s="772">
        <v>2000</v>
      </c>
      <c r="S178" s="710" t="s">
        <v>45</v>
      </c>
      <c r="T178" s="731" t="s">
        <v>612</v>
      </c>
      <c r="U178" s="731" t="s">
        <v>67</v>
      </c>
      <c r="V178" s="731"/>
      <c r="W178" s="709" t="s">
        <v>679</v>
      </c>
      <c r="X178" s="843" t="s">
        <v>206</v>
      </c>
      <c r="Y178" s="843" t="s">
        <v>115</v>
      </c>
      <c r="Z178" s="843" t="s">
        <v>154</v>
      </c>
      <c r="AA178" s="843" t="s">
        <v>70</v>
      </c>
      <c r="AB178" s="1890">
        <v>44817</v>
      </c>
      <c r="AC178" s="945" t="s">
        <v>680</v>
      </c>
      <c r="AD178" s="843" t="s">
        <v>506</v>
      </c>
      <c r="AE178" s="806"/>
      <c r="AF178">
        <f t="shared" ca="1" si="13"/>
        <v>491</v>
      </c>
      <c r="AG178" s="906"/>
    </row>
    <row r="179" spans="1:33" ht="234">
      <c r="A179" s="889" t="s">
        <v>71</v>
      </c>
      <c r="B179" s="695" t="s">
        <v>44</v>
      </c>
      <c r="C179" s="738" t="s">
        <v>45</v>
      </c>
      <c r="D179" s="710" t="s">
        <v>32</v>
      </c>
      <c r="E179" s="710"/>
      <c r="F179" s="710"/>
      <c r="G179" s="710"/>
      <c r="H179" s="709" t="s">
        <v>80</v>
      </c>
      <c r="I179" s="709" t="s">
        <v>47</v>
      </c>
      <c r="J179" s="1608" t="s">
        <v>691</v>
      </c>
      <c r="K179" s="945" t="s">
        <v>692</v>
      </c>
      <c r="L179" s="710" t="e">
        <f>IF(OR(S179=#REF!,S179=#REF!,S179=#REF!,S179=#REF!,S179=#REF!,S179=#REF!,S179=#REF!,S179=#REF!),12,IF(OR(S179=#REF!,S179=#REF!,S179=#REF!,S179=#REF!,S179=#REF!,S179=#REF!,S179=#REF!),3,IF(S179=#REF!,1,IF(S179=#REF!,18,IF(OR(S179=#REF!,S179=#REF!,S179=#REF!,S179=#REF!,S179=#REF!),14,"Invalid proposed procurement method")))))</f>
        <v>#REF!</v>
      </c>
      <c r="M179" s="711">
        <v>44617</v>
      </c>
      <c r="N179" s="711" t="str">
        <f t="shared" si="17"/>
        <v>Invalid procurement method or date entered</v>
      </c>
      <c r="O179" s="770">
        <v>44805</v>
      </c>
      <c r="P179" s="738">
        <v>48</v>
      </c>
      <c r="Q179" s="695">
        <v>48</v>
      </c>
      <c r="R179" s="772">
        <v>140000</v>
      </c>
      <c r="S179" s="710" t="s">
        <v>45</v>
      </c>
      <c r="T179" s="860" t="s">
        <v>62</v>
      </c>
      <c r="U179" s="855" t="s">
        <v>45</v>
      </c>
      <c r="V179" s="855"/>
      <c r="W179" s="709" t="s">
        <v>85</v>
      </c>
      <c r="X179" s="843" t="s">
        <v>168</v>
      </c>
      <c r="Y179" s="843" t="s">
        <v>40</v>
      </c>
      <c r="Z179" s="843" t="s">
        <v>69</v>
      </c>
      <c r="AA179" s="843" t="s">
        <v>70</v>
      </c>
      <c r="AB179" s="956">
        <v>44819</v>
      </c>
      <c r="AC179" s="945" t="s">
        <v>693</v>
      </c>
      <c r="AD179" s="843" t="s">
        <v>80</v>
      </c>
      <c r="AE179" s="1936">
        <v>70000</v>
      </c>
      <c r="AF179">
        <f t="shared" ca="1" si="13"/>
        <v>489</v>
      </c>
      <c r="AG179" s="906"/>
    </row>
    <row r="180" spans="1:33" ht="29">
      <c r="A180" s="2754"/>
      <c r="B180" s="2755" t="s">
        <v>44</v>
      </c>
      <c r="C180" s="2755"/>
      <c r="D180" s="2763" t="s">
        <v>694</v>
      </c>
      <c r="E180" s="2763"/>
      <c r="F180" s="2763"/>
      <c r="G180" s="2763"/>
      <c r="H180" s="2763" t="s">
        <v>33</v>
      </c>
      <c r="I180" s="2763" t="s">
        <v>270</v>
      </c>
      <c r="J180" s="2752" t="s">
        <v>695</v>
      </c>
      <c r="K180" s="2781"/>
      <c r="L180" s="2763"/>
      <c r="M180" s="2764">
        <v>44621</v>
      </c>
      <c r="N180" s="2777"/>
      <c r="O180" s="2764">
        <v>44652</v>
      </c>
      <c r="P180" s="2763">
        <v>36</v>
      </c>
      <c r="Q180" s="2763">
        <v>36</v>
      </c>
      <c r="R180" s="1547">
        <v>60000</v>
      </c>
      <c r="S180" s="2751" t="s">
        <v>270</v>
      </c>
      <c r="T180" s="2782" t="s">
        <v>38</v>
      </c>
      <c r="U180" s="2782" t="s">
        <v>71</v>
      </c>
      <c r="V180" s="2782"/>
      <c r="W180" s="2763" t="s">
        <v>696</v>
      </c>
      <c r="X180" s="1554" t="s">
        <v>54</v>
      </c>
      <c r="Y180" s="80" t="s">
        <v>40</v>
      </c>
      <c r="Z180" s="2765" t="s">
        <v>71</v>
      </c>
      <c r="AA180" s="2765" t="s">
        <v>38</v>
      </c>
      <c r="AB180" s="354" t="s">
        <v>88</v>
      </c>
      <c r="AC180" s="2760" t="s">
        <v>697</v>
      </c>
      <c r="AD180" s="2773"/>
      <c r="AE180" s="2773"/>
      <c r="AF180" t="str">
        <f t="shared" ca="1" si="13"/>
        <v>N/A</v>
      </c>
    </row>
    <row r="181" spans="1:33" ht="43.5">
      <c r="A181" s="1184"/>
      <c r="B181" s="200" t="s">
        <v>100</v>
      </c>
      <c r="C181" s="200" t="s">
        <v>45</v>
      </c>
      <c r="D181" s="8" t="s">
        <v>122</v>
      </c>
      <c r="E181" s="8"/>
      <c r="F181" s="8"/>
      <c r="G181" s="8"/>
      <c r="H181" s="16" t="s">
        <v>197</v>
      </c>
      <c r="I181" s="16" t="s">
        <v>47</v>
      </c>
      <c r="J181" s="16" t="s">
        <v>698</v>
      </c>
      <c r="K181" s="101"/>
      <c r="L181" s="5">
        <v>3</v>
      </c>
      <c r="M181" s="199">
        <v>44621</v>
      </c>
      <c r="N181" s="149">
        <f>IFERROR(EDATE(O181,-L181),"Invalid procurement method or date entered")</f>
        <v>44652</v>
      </c>
      <c r="O181" s="367">
        <v>44743</v>
      </c>
      <c r="P181" s="381" t="s">
        <v>45</v>
      </c>
      <c r="Q181" s="381" t="s">
        <v>45</v>
      </c>
      <c r="R181" s="463" t="s">
        <v>45</v>
      </c>
      <c r="S181" s="5" t="s">
        <v>51</v>
      </c>
      <c r="T181" s="357" t="s">
        <v>45</v>
      </c>
      <c r="U181" s="357" t="s">
        <v>45</v>
      </c>
      <c r="V181" s="357"/>
      <c r="W181" s="8" t="s">
        <v>699</v>
      </c>
      <c r="X181" s="111" t="s">
        <v>120</v>
      </c>
      <c r="Y181" s="111" t="s">
        <v>40</v>
      </c>
      <c r="Z181" s="111"/>
      <c r="AA181" s="1091" t="s">
        <v>69</v>
      </c>
      <c r="AB181" s="1101" t="s">
        <v>70</v>
      </c>
      <c r="AC181" s="491">
        <v>44741</v>
      </c>
      <c r="AD181" s="491"/>
      <c r="AE181" s="491"/>
      <c r="AF181" t="str">
        <f t="shared" ca="1" si="13"/>
        <v>N/A</v>
      </c>
    </row>
    <row r="182" spans="1:33" ht="39">
      <c r="A182" s="889" t="s">
        <v>71</v>
      </c>
      <c r="B182" s="707" t="s">
        <v>100</v>
      </c>
      <c r="C182" s="707" t="s">
        <v>700</v>
      </c>
      <c r="D182" s="710" t="s">
        <v>32</v>
      </c>
      <c r="E182" s="710"/>
      <c r="F182" s="710"/>
      <c r="G182" s="710"/>
      <c r="H182" s="709" t="s">
        <v>103</v>
      </c>
      <c r="I182" s="709" t="s">
        <v>47</v>
      </c>
      <c r="J182" s="1608" t="s">
        <v>701</v>
      </c>
      <c r="K182" s="945" t="s">
        <v>71</v>
      </c>
      <c r="L182" s="710">
        <v>3</v>
      </c>
      <c r="M182" s="711">
        <f>IFERROR(EDATE(N182,-3),"Invalid procurement method or date entered")</f>
        <v>44621</v>
      </c>
      <c r="N182" s="712">
        <f>IFERROR(EDATE(O182,-L182),"Invalid procurement method or date entered")</f>
        <v>44713</v>
      </c>
      <c r="O182" s="713">
        <v>44805</v>
      </c>
      <c r="P182" s="777">
        <v>24</v>
      </c>
      <c r="Q182" s="777">
        <v>24</v>
      </c>
      <c r="R182" s="772">
        <v>124000</v>
      </c>
      <c r="S182" s="710" t="s">
        <v>51</v>
      </c>
      <c r="T182" s="710" t="s">
        <v>38</v>
      </c>
      <c r="U182" s="711" t="s">
        <v>71</v>
      </c>
      <c r="V182" s="711"/>
      <c r="W182" s="709" t="s">
        <v>360</v>
      </c>
      <c r="X182" s="843" t="s">
        <v>254</v>
      </c>
      <c r="Y182" s="843" t="s">
        <v>40</v>
      </c>
      <c r="Z182" s="843" t="s">
        <v>45</v>
      </c>
      <c r="AA182" s="1092" t="s">
        <v>70</v>
      </c>
      <c r="AB182" s="1102">
        <v>44809</v>
      </c>
      <c r="AC182" s="945" t="s">
        <v>702</v>
      </c>
      <c r="AD182" s="843"/>
      <c r="AE182" s="843"/>
      <c r="AF182">
        <f t="shared" ca="1" si="13"/>
        <v>499</v>
      </c>
      <c r="AG182" s="906"/>
    </row>
    <row r="183" spans="1:33" ht="52">
      <c r="A183" s="889" t="s">
        <v>71</v>
      </c>
      <c r="B183" s="707" t="s">
        <v>100</v>
      </c>
      <c r="C183" s="707" t="s">
        <v>703</v>
      </c>
      <c r="D183" s="707" t="s">
        <v>57</v>
      </c>
      <c r="E183" s="707"/>
      <c r="F183" s="707"/>
      <c r="G183" s="707"/>
      <c r="H183" s="709" t="s">
        <v>197</v>
      </c>
      <c r="I183" s="709" t="s">
        <v>34</v>
      </c>
      <c r="J183" s="1602" t="s">
        <v>704</v>
      </c>
      <c r="K183" s="945"/>
      <c r="L183" s="710">
        <v>12</v>
      </c>
      <c r="M183" s="711">
        <v>44621</v>
      </c>
      <c r="N183" s="712">
        <f>IFERROR(EDATE(O183,-L183),"Invalid procurement method or date entered")</f>
        <v>44440</v>
      </c>
      <c r="O183" s="711">
        <v>44805</v>
      </c>
      <c r="P183" s="710">
        <v>60</v>
      </c>
      <c r="Q183" s="884" t="s">
        <v>705</v>
      </c>
      <c r="R183" s="772">
        <v>338000</v>
      </c>
      <c r="S183" s="758" t="s">
        <v>130</v>
      </c>
      <c r="T183" s="710" t="s">
        <v>70</v>
      </c>
      <c r="U183" s="710" t="s">
        <v>706</v>
      </c>
      <c r="V183" s="710"/>
      <c r="W183" s="709" t="s">
        <v>707</v>
      </c>
      <c r="X183" s="843" t="s">
        <v>189</v>
      </c>
      <c r="Y183" s="843" t="s">
        <v>40</v>
      </c>
      <c r="Z183" s="843" t="s">
        <v>87</v>
      </c>
      <c r="AA183" s="1092" t="s">
        <v>70</v>
      </c>
      <c r="AB183" s="1102">
        <v>44853</v>
      </c>
      <c r="AC183" s="1115" t="s">
        <v>708</v>
      </c>
      <c r="AD183" s="922"/>
      <c r="AE183" s="922"/>
      <c r="AF183">
        <f t="shared" ca="1" si="13"/>
        <v>455</v>
      </c>
      <c r="AG183" s="906"/>
    </row>
    <row r="184" spans="1:33" ht="29">
      <c r="A184" s="2754"/>
      <c r="B184" s="2755" t="s">
        <v>44</v>
      </c>
      <c r="C184" s="4"/>
      <c r="D184" s="5" t="s">
        <v>709</v>
      </c>
      <c r="E184" s="5"/>
      <c r="F184" s="5"/>
      <c r="G184" s="5"/>
      <c r="H184" s="5" t="s">
        <v>710</v>
      </c>
      <c r="I184" s="5" t="s">
        <v>47</v>
      </c>
      <c r="J184" s="16" t="s">
        <v>711</v>
      </c>
      <c r="K184" s="101"/>
      <c r="L184" s="5"/>
      <c r="M184" s="199">
        <v>44621</v>
      </c>
      <c r="N184" s="199"/>
      <c r="O184" s="199" t="s">
        <v>45</v>
      </c>
      <c r="P184" s="5"/>
      <c r="Q184" s="7"/>
      <c r="R184" s="18" t="s">
        <v>45</v>
      </c>
      <c r="S184" s="5"/>
      <c r="T184" s="5"/>
      <c r="U184" s="12"/>
      <c r="V184" s="12"/>
      <c r="W184" s="5"/>
      <c r="X184" s="1082" t="s">
        <v>254</v>
      </c>
      <c r="Y184" s="80" t="s">
        <v>40</v>
      </c>
      <c r="Z184" s="80"/>
      <c r="AA184" s="80"/>
      <c r="AB184" s="354" t="s">
        <v>88</v>
      </c>
      <c r="AC184" s="1110" t="s">
        <v>712</v>
      </c>
      <c r="AD184" s="80"/>
      <c r="AE184" s="1144"/>
      <c r="AF184" t="str">
        <f t="shared" ca="1" si="13"/>
        <v>N/A</v>
      </c>
    </row>
    <row r="185" spans="1:33" ht="234">
      <c r="A185" s="1198"/>
      <c r="B185" s="726" t="s">
        <v>56</v>
      </c>
      <c r="C185" s="726">
        <v>51037</v>
      </c>
      <c r="D185" s="730" t="s">
        <v>122</v>
      </c>
      <c r="E185" s="730"/>
      <c r="F185" s="730"/>
      <c r="G185" s="730"/>
      <c r="H185" s="728" t="s">
        <v>308</v>
      </c>
      <c r="I185" s="729" t="s">
        <v>47</v>
      </c>
      <c r="J185" s="1604" t="s">
        <v>713</v>
      </c>
      <c r="K185" s="955"/>
      <c r="L185" s="730">
        <v>12</v>
      </c>
      <c r="M185" s="731">
        <v>44623</v>
      </c>
      <c r="N185" s="712">
        <f>IF(O185="tbc","",(IFERROR(EDATE(O185,-L185),"Invalid procurement method or date entered")))</f>
        <v>44317</v>
      </c>
      <c r="O185" s="759">
        <v>44682</v>
      </c>
      <c r="P185" s="891">
        <v>4</v>
      </c>
      <c r="Q185" s="891">
        <v>4</v>
      </c>
      <c r="R185" s="772">
        <v>398000</v>
      </c>
      <c r="S185" s="711" t="s">
        <v>75</v>
      </c>
      <c r="T185" s="711" t="s">
        <v>62</v>
      </c>
      <c r="U185" s="711" t="s">
        <v>60</v>
      </c>
      <c r="V185" s="711"/>
      <c r="W185" s="728" t="s">
        <v>714</v>
      </c>
      <c r="X185" s="922" t="s">
        <v>715</v>
      </c>
      <c r="Y185" s="900" t="s">
        <v>40</v>
      </c>
      <c r="Z185" s="1088" t="s">
        <v>69</v>
      </c>
      <c r="AA185" s="889" t="s">
        <v>70</v>
      </c>
      <c r="AB185" s="1104">
        <v>44743</v>
      </c>
      <c r="AC185" s="955" t="s">
        <v>716</v>
      </c>
      <c r="AD185" s="926"/>
      <c r="AE185" s="926"/>
      <c r="AF185">
        <f t="shared" ca="1" si="13"/>
        <v>565</v>
      </c>
    </row>
    <row r="186" spans="1:33" ht="338">
      <c r="A186" s="911"/>
      <c r="B186" s="726" t="s">
        <v>56</v>
      </c>
      <c r="C186" s="726" t="s">
        <v>60</v>
      </c>
      <c r="D186" s="730" t="s">
        <v>32</v>
      </c>
      <c r="E186" s="730"/>
      <c r="F186" s="730"/>
      <c r="G186" s="730"/>
      <c r="H186" s="730" t="s">
        <v>308</v>
      </c>
      <c r="I186" s="710" t="s">
        <v>34</v>
      </c>
      <c r="J186" s="1624" t="s">
        <v>717</v>
      </c>
      <c r="K186" s="1870"/>
      <c r="L186" s="730">
        <v>8</v>
      </c>
      <c r="M186" s="731">
        <v>44623</v>
      </c>
      <c r="N186" s="712">
        <f>IF(O186="tbc","",(IFERROR(EDATE(O186,-L186),"Invalid procurement method or date entered")))</f>
        <v>44713</v>
      </c>
      <c r="O186" s="711">
        <v>44958</v>
      </c>
      <c r="P186" s="893" t="s">
        <v>60</v>
      </c>
      <c r="Q186" s="893" t="s">
        <v>60</v>
      </c>
      <c r="R186" s="1030">
        <f>SUM(2851216*1)+SUM(77350*1)+SUM(105445*1)+SUM(211405*1)+SUM(299940*1)</f>
        <v>3545356</v>
      </c>
      <c r="S186" s="711" t="s">
        <v>130</v>
      </c>
      <c r="T186" s="711" t="s">
        <v>474</v>
      </c>
      <c r="U186" s="726" t="s">
        <v>60</v>
      </c>
      <c r="V186" s="726"/>
      <c r="W186" s="726" t="s">
        <v>379</v>
      </c>
      <c r="X186" s="922" t="s">
        <v>561</v>
      </c>
      <c r="Y186" s="900" t="s">
        <v>40</v>
      </c>
      <c r="Z186" s="900" t="s">
        <v>69</v>
      </c>
      <c r="AA186" s="889" t="s">
        <v>70</v>
      </c>
      <c r="AB186" s="1897">
        <v>44939</v>
      </c>
      <c r="AC186" s="1516" t="s">
        <v>718</v>
      </c>
      <c r="AD186" s="919"/>
      <c r="AE186" s="919"/>
      <c r="AF186">
        <f t="shared" ca="1" si="13"/>
        <v>369</v>
      </c>
      <c r="AG186" s="779"/>
    </row>
    <row r="187" spans="1:33" ht="50">
      <c r="B187" s="577" t="s">
        <v>56</v>
      </c>
      <c r="C187" s="510" t="s">
        <v>60</v>
      </c>
      <c r="D187" s="511" t="s">
        <v>348</v>
      </c>
      <c r="E187" s="511"/>
      <c r="F187" s="511"/>
      <c r="G187" s="511"/>
      <c r="H187" s="511" t="s">
        <v>58</v>
      </c>
      <c r="I187" s="519" t="s">
        <v>47</v>
      </c>
      <c r="J187" s="1578" t="s">
        <v>719</v>
      </c>
      <c r="K187" s="672"/>
      <c r="L187" s="511">
        <v>3</v>
      </c>
      <c r="M187" s="513">
        <v>44624</v>
      </c>
      <c r="N187" s="514">
        <f>IF(O187="tbc","",(IFERROR(EDATE(O187,-L187),"Invalid procurement method or date entered")))</f>
        <v>44621</v>
      </c>
      <c r="O187" s="515">
        <v>44713</v>
      </c>
      <c r="P187" s="516" t="s">
        <v>60</v>
      </c>
      <c r="Q187" s="516" t="s">
        <v>60</v>
      </c>
      <c r="R187" s="528">
        <v>220000</v>
      </c>
      <c r="S187" s="515" t="s">
        <v>61</v>
      </c>
      <c r="T187" s="515" t="s">
        <v>62</v>
      </c>
      <c r="U187" s="515">
        <v>43700</v>
      </c>
      <c r="V187" s="515"/>
      <c r="W187" s="521" t="s">
        <v>70</v>
      </c>
      <c r="AF187">
        <f t="shared" ca="1" si="13"/>
        <v>45308</v>
      </c>
    </row>
    <row r="188" spans="1:33" ht="260">
      <c r="A188" s="911"/>
      <c r="B188" s="726" t="s">
        <v>56</v>
      </c>
      <c r="C188" s="726" t="s">
        <v>60</v>
      </c>
      <c r="D188" s="730" t="s">
        <v>348</v>
      </c>
      <c r="E188" s="730"/>
      <c r="F188" s="730"/>
      <c r="G188" s="730"/>
      <c r="H188" s="728" t="s">
        <v>58</v>
      </c>
      <c r="I188" s="729" t="s">
        <v>47</v>
      </c>
      <c r="J188" s="1604" t="s">
        <v>720</v>
      </c>
      <c r="K188" s="955"/>
      <c r="L188" s="730">
        <v>3</v>
      </c>
      <c r="M188" s="731">
        <v>44629</v>
      </c>
      <c r="N188" s="712" t="s">
        <v>60</v>
      </c>
      <c r="O188" s="759">
        <v>44682</v>
      </c>
      <c r="P188" s="891">
        <v>120</v>
      </c>
      <c r="Q188" s="891" t="s">
        <v>721</v>
      </c>
      <c r="R188" s="772">
        <v>2000000</v>
      </c>
      <c r="S188" s="711" t="s">
        <v>158</v>
      </c>
      <c r="T188" s="711" t="s">
        <v>71</v>
      </c>
      <c r="U188" s="711" t="s">
        <v>589</v>
      </c>
      <c r="V188" s="711"/>
      <c r="W188" s="729" t="s">
        <v>722</v>
      </c>
      <c r="X188" s="922" t="s">
        <v>351</v>
      </c>
      <c r="Y188" s="900" t="s">
        <v>594</v>
      </c>
      <c r="Z188" s="1087" t="s">
        <v>69</v>
      </c>
      <c r="AA188" s="889" t="s">
        <v>70</v>
      </c>
      <c r="AB188" s="1104">
        <v>44694</v>
      </c>
      <c r="AC188" s="1515" t="s">
        <v>723</v>
      </c>
      <c r="AD188" s="1502"/>
      <c r="AE188" s="1502"/>
      <c r="AF188">
        <f t="shared" ca="1" si="13"/>
        <v>614</v>
      </c>
      <c r="AG188" s="906"/>
    </row>
    <row r="189" spans="1:33" ht="156">
      <c r="A189" s="911"/>
      <c r="B189" s="726" t="s">
        <v>56</v>
      </c>
      <c r="C189" s="1318" t="s">
        <v>60</v>
      </c>
      <c r="D189" s="854" t="s">
        <v>348</v>
      </c>
      <c r="E189" s="854"/>
      <c r="F189" s="854"/>
      <c r="G189" s="854"/>
      <c r="H189" s="852" t="s">
        <v>58</v>
      </c>
      <c r="I189" s="853" t="s">
        <v>47</v>
      </c>
      <c r="J189" s="1988" t="s">
        <v>724</v>
      </c>
      <c r="K189" s="955"/>
      <c r="L189" s="854">
        <v>3</v>
      </c>
      <c r="M189" s="1154">
        <v>44630</v>
      </c>
      <c r="N189" s="702">
        <f>IF(O189="tbc","",(IFERROR(EDATE(O189,-L189),"Invalid procurement method or date entered")))</f>
        <v>44635</v>
      </c>
      <c r="O189" s="1155">
        <v>44727</v>
      </c>
      <c r="P189" s="1378">
        <v>1</v>
      </c>
      <c r="Q189" s="1378">
        <v>1</v>
      </c>
      <c r="R189" s="1472">
        <f>80000+170000+308000</f>
        <v>558000</v>
      </c>
      <c r="S189" s="701" t="s">
        <v>61</v>
      </c>
      <c r="T189" s="701" t="s">
        <v>71</v>
      </c>
      <c r="U189" s="701" t="s">
        <v>589</v>
      </c>
      <c r="V189" s="701"/>
      <c r="W189" s="729" t="s">
        <v>668</v>
      </c>
      <c r="X189" s="922" t="s">
        <v>206</v>
      </c>
      <c r="Y189" s="900" t="s">
        <v>40</v>
      </c>
      <c r="Z189" s="1087" t="s">
        <v>154</v>
      </c>
      <c r="AA189" s="889" t="s">
        <v>70</v>
      </c>
      <c r="AB189" s="1890">
        <v>44817</v>
      </c>
      <c r="AC189" s="1515" t="s">
        <v>725</v>
      </c>
      <c r="AD189" s="1502"/>
      <c r="AE189" s="1502"/>
      <c r="AF189">
        <f t="shared" ca="1" si="13"/>
        <v>491</v>
      </c>
      <c r="AG189" s="906"/>
    </row>
    <row r="190" spans="1:33" ht="37.5">
      <c r="B190" s="577" t="s">
        <v>56</v>
      </c>
      <c r="C190" s="510">
        <v>51733</v>
      </c>
      <c r="D190" s="511" t="s">
        <v>122</v>
      </c>
      <c r="E190" s="511"/>
      <c r="F190" s="511"/>
      <c r="G190" s="511"/>
      <c r="H190" s="511" t="s">
        <v>308</v>
      </c>
      <c r="I190" s="510" t="s">
        <v>47</v>
      </c>
      <c r="J190" s="1580" t="s">
        <v>726</v>
      </c>
      <c r="K190" s="658"/>
      <c r="L190" s="511">
        <v>12</v>
      </c>
      <c r="M190" s="513">
        <v>44630</v>
      </c>
      <c r="N190" s="514">
        <f>IF(O190="tbc","",(IFERROR(EDATE(O190,-L190),"Invalid procurement method or date entered")))</f>
        <v>44378</v>
      </c>
      <c r="O190" s="534">
        <v>44743</v>
      </c>
      <c r="P190" s="535" t="s">
        <v>60</v>
      </c>
      <c r="Q190" s="535" t="s">
        <v>60</v>
      </c>
      <c r="R190" s="528">
        <v>150000</v>
      </c>
      <c r="S190" s="515" t="s">
        <v>75</v>
      </c>
      <c r="T190" s="515" t="s">
        <v>310</v>
      </c>
      <c r="U190" s="520" t="s">
        <v>727</v>
      </c>
      <c r="V190" s="520"/>
      <c r="W190" s="521" t="s">
        <v>70</v>
      </c>
      <c r="AF190">
        <f t="shared" ca="1" si="13"/>
        <v>45308</v>
      </c>
    </row>
    <row r="191" spans="1:33" ht="26">
      <c r="A191" s="911" t="s">
        <v>71</v>
      </c>
      <c r="B191" s="695" t="s">
        <v>44</v>
      </c>
      <c r="C191" s="738" t="s">
        <v>45</v>
      </c>
      <c r="D191" s="710" t="s">
        <v>32</v>
      </c>
      <c r="E191" s="730" t="s">
        <v>449</v>
      </c>
      <c r="F191" s="808" t="s">
        <v>361</v>
      </c>
      <c r="G191" s="808" t="s">
        <v>569</v>
      </c>
      <c r="H191" s="710" t="s">
        <v>33</v>
      </c>
      <c r="I191" s="710" t="s">
        <v>47</v>
      </c>
      <c r="J191" s="1608" t="s">
        <v>728</v>
      </c>
      <c r="K191" s="843"/>
      <c r="L191" s="710">
        <v>6</v>
      </c>
      <c r="M191" s="769">
        <f>IFERROR(EDATE($N191,-3),"Invalid procurement method or date entered")</f>
        <v>44640</v>
      </c>
      <c r="N191" s="769">
        <f>IFERROR(EDATE(O191,-L191),"Invalid procurement method or date entered")</f>
        <v>44732</v>
      </c>
      <c r="O191" s="947">
        <v>44915</v>
      </c>
      <c r="P191" s="738">
        <v>12</v>
      </c>
      <c r="Q191" s="884" t="s">
        <v>50</v>
      </c>
      <c r="R191" s="772">
        <v>2355.1999999999998</v>
      </c>
      <c r="S191" s="710" t="s">
        <v>37</v>
      </c>
      <c r="T191" s="846" t="s">
        <v>38</v>
      </c>
      <c r="U191" s="856" t="s">
        <v>67</v>
      </c>
      <c r="V191" s="856"/>
      <c r="W191" s="710" t="s">
        <v>383</v>
      </c>
      <c r="X191" s="843" t="s">
        <v>289</v>
      </c>
      <c r="Y191" s="843" t="s">
        <v>115</v>
      </c>
      <c r="Z191" s="843" t="s">
        <v>154</v>
      </c>
      <c r="AA191" s="843" t="s">
        <v>70</v>
      </c>
      <c r="AB191" s="1499" t="s">
        <v>71</v>
      </c>
      <c r="AC191" s="945" t="s">
        <v>729</v>
      </c>
      <c r="AD191" s="843" t="s">
        <v>385</v>
      </c>
      <c r="AE191" s="883"/>
      <c r="AF191" t="str">
        <f t="shared" ca="1" si="13"/>
        <v>N/A</v>
      </c>
      <c r="AG191" s="908"/>
    </row>
    <row r="192" spans="1:33" ht="37.5">
      <c r="B192" s="577" t="s">
        <v>56</v>
      </c>
      <c r="C192" s="620" t="s">
        <v>60</v>
      </c>
      <c r="D192" s="526" t="s">
        <v>122</v>
      </c>
      <c r="E192" s="526"/>
      <c r="F192" s="526"/>
      <c r="G192" s="526"/>
      <c r="H192" s="526" t="s">
        <v>308</v>
      </c>
      <c r="I192" s="620" t="s">
        <v>47</v>
      </c>
      <c r="J192" s="1599" t="s">
        <v>730</v>
      </c>
      <c r="K192" s="672"/>
      <c r="L192" s="526">
        <v>14</v>
      </c>
      <c r="M192" s="690">
        <v>44648</v>
      </c>
      <c r="N192" s="634">
        <f>IF(O192="tbc","",(IFERROR(EDATE(O192,-L192),"Invalid procurement method or date entered")))</f>
        <v>44317</v>
      </c>
      <c r="O192" s="662">
        <v>44743</v>
      </c>
      <c r="P192" s="668" t="s">
        <v>60</v>
      </c>
      <c r="Q192" s="668" t="s">
        <v>60</v>
      </c>
      <c r="R192" s="517">
        <v>285000</v>
      </c>
      <c r="S192" s="518" t="s">
        <v>45</v>
      </c>
      <c r="T192" s="518" t="s">
        <v>310</v>
      </c>
      <c r="U192" s="691" t="s">
        <v>727</v>
      </c>
      <c r="V192" s="691"/>
      <c r="W192" s="692" t="s">
        <v>70</v>
      </c>
      <c r="AF192">
        <f t="shared" ca="1" si="13"/>
        <v>45308</v>
      </c>
    </row>
    <row r="193" spans="1:33" ht="29">
      <c r="B193" s="2755" t="s">
        <v>44</v>
      </c>
      <c r="C193" s="4"/>
      <c r="D193" s="9" t="s">
        <v>709</v>
      </c>
      <c r="E193" s="9"/>
      <c r="F193" s="9"/>
      <c r="G193" s="9"/>
      <c r="H193" s="5" t="s">
        <v>33</v>
      </c>
      <c r="I193" s="5" t="s">
        <v>731</v>
      </c>
      <c r="J193" s="1590" t="s">
        <v>732</v>
      </c>
      <c r="K193" s="1114"/>
      <c r="L193" s="5">
        <v>2</v>
      </c>
      <c r="M193" s="199">
        <v>44649</v>
      </c>
      <c r="N193" s="199">
        <f>IFERROR(EDATE(O193,-L193),"Invalid procurement method or date entered")</f>
        <v>44682</v>
      </c>
      <c r="O193" s="65">
        <v>44743</v>
      </c>
      <c r="P193" s="66">
        <v>18</v>
      </c>
      <c r="Q193" s="345" t="s">
        <v>733</v>
      </c>
      <c r="R193" s="18">
        <v>1500000</v>
      </c>
      <c r="S193" s="66" t="s">
        <v>84</v>
      </c>
      <c r="T193" s="14" t="s">
        <v>70</v>
      </c>
      <c r="U193" s="14">
        <v>44741</v>
      </c>
      <c r="V193" s="14"/>
      <c r="W193" s="12" t="s">
        <v>734</v>
      </c>
      <c r="X193" s="80" t="s">
        <v>162</v>
      </c>
      <c r="Y193" s="80" t="s">
        <v>40</v>
      </c>
      <c r="Z193" s="80" t="s">
        <v>87</v>
      </c>
      <c r="AA193" s="80" t="s">
        <v>38</v>
      </c>
      <c r="AB193" s="354">
        <v>44757</v>
      </c>
      <c r="AC193" s="1114" t="s">
        <v>735</v>
      </c>
      <c r="AD193" s="80" t="s">
        <v>385</v>
      </c>
      <c r="AE193" s="2765"/>
      <c r="AF193">
        <f t="shared" ca="1" si="13"/>
        <v>551</v>
      </c>
    </row>
    <row r="194" spans="1:33" ht="37.5">
      <c r="B194" s="577" t="s">
        <v>56</v>
      </c>
      <c r="C194" s="510" t="s">
        <v>60</v>
      </c>
      <c r="D194" s="511" t="s">
        <v>122</v>
      </c>
      <c r="E194" s="511"/>
      <c r="F194" s="511"/>
      <c r="G194" s="511"/>
      <c r="H194" s="511" t="s">
        <v>308</v>
      </c>
      <c r="I194" s="510" t="s">
        <v>47</v>
      </c>
      <c r="J194" s="1580" t="s">
        <v>736</v>
      </c>
      <c r="K194" s="616"/>
      <c r="L194" s="511">
        <v>12</v>
      </c>
      <c r="M194" s="513">
        <v>44651</v>
      </c>
      <c r="N194" s="514">
        <f t="shared" ref="N194:N214" si="18">IF(O194="tbc","",(IFERROR(EDATE(O194,-L194),"Invalid procurement method or date entered")))</f>
        <v>44287</v>
      </c>
      <c r="O194" s="534">
        <v>44652</v>
      </c>
      <c r="P194" s="535">
        <v>3</v>
      </c>
      <c r="Q194" s="535">
        <v>3</v>
      </c>
      <c r="R194" s="528">
        <v>331727</v>
      </c>
      <c r="S194" s="515" t="s">
        <v>75</v>
      </c>
      <c r="T194" s="515" t="s">
        <v>62</v>
      </c>
      <c r="U194" s="520" t="s">
        <v>115</v>
      </c>
      <c r="V194" s="520"/>
      <c r="W194" s="521" t="s">
        <v>70</v>
      </c>
      <c r="AF194">
        <f t="shared" ref="AF194:AF257" ca="1" si="19">IFERROR(TODAY()-AB194,"N/A")</f>
        <v>45308</v>
      </c>
    </row>
    <row r="195" spans="1:33" ht="37.5">
      <c r="B195" s="577" t="s">
        <v>56</v>
      </c>
      <c r="C195" s="510" t="s">
        <v>60</v>
      </c>
      <c r="D195" s="511" t="s">
        <v>122</v>
      </c>
      <c r="E195" s="511"/>
      <c r="F195" s="511"/>
      <c r="G195" s="511"/>
      <c r="H195" s="511" t="s">
        <v>308</v>
      </c>
      <c r="I195" s="510" t="s">
        <v>47</v>
      </c>
      <c r="J195" s="1580" t="s">
        <v>737</v>
      </c>
      <c r="K195" s="658"/>
      <c r="L195" s="511">
        <v>12</v>
      </c>
      <c r="M195" s="513">
        <v>44651</v>
      </c>
      <c r="N195" s="514">
        <f t="shared" si="18"/>
        <v>44317</v>
      </c>
      <c r="O195" s="534">
        <v>44682</v>
      </c>
      <c r="P195" s="535">
        <v>4</v>
      </c>
      <c r="Q195" s="535">
        <v>4</v>
      </c>
      <c r="R195" s="528">
        <v>249999</v>
      </c>
      <c r="S195" s="515" t="s">
        <v>75</v>
      </c>
      <c r="T195" s="515" t="s">
        <v>62</v>
      </c>
      <c r="U195" s="520" t="s">
        <v>251</v>
      </c>
      <c r="V195" s="520"/>
      <c r="W195" s="521" t="s">
        <v>70</v>
      </c>
      <c r="AF195">
        <f t="shared" ca="1" si="19"/>
        <v>45308</v>
      </c>
    </row>
    <row r="196" spans="1:33" ht="50">
      <c r="B196" s="577" t="s">
        <v>56</v>
      </c>
      <c r="C196" s="510" t="s">
        <v>60</v>
      </c>
      <c r="D196" s="511" t="s">
        <v>57</v>
      </c>
      <c r="E196" s="511"/>
      <c r="F196" s="511"/>
      <c r="G196" s="511"/>
      <c r="H196" s="511" t="s">
        <v>58</v>
      </c>
      <c r="I196" s="510" t="s">
        <v>47</v>
      </c>
      <c r="J196" s="1605" t="s">
        <v>738</v>
      </c>
      <c r="K196" s="616"/>
      <c r="L196" s="693">
        <v>3</v>
      </c>
      <c r="M196" s="513">
        <v>44651</v>
      </c>
      <c r="N196" s="514">
        <f t="shared" si="18"/>
        <v>44594</v>
      </c>
      <c r="O196" s="534">
        <v>44683</v>
      </c>
      <c r="P196" s="535" t="s">
        <v>60</v>
      </c>
      <c r="Q196" s="535" t="s">
        <v>60</v>
      </c>
      <c r="R196" s="528">
        <v>100000</v>
      </c>
      <c r="S196" s="515" t="s">
        <v>61</v>
      </c>
      <c r="T196" s="515" t="s">
        <v>62</v>
      </c>
      <c r="U196" s="520" t="s">
        <v>251</v>
      </c>
      <c r="V196" s="520"/>
      <c r="W196" s="521" t="s">
        <v>70</v>
      </c>
      <c r="AF196">
        <f t="shared" ca="1" si="19"/>
        <v>45308</v>
      </c>
    </row>
    <row r="197" spans="1:33" ht="78">
      <c r="A197" s="1650"/>
      <c r="B197" s="862" t="s">
        <v>56</v>
      </c>
      <c r="C197" s="862" t="s">
        <v>60</v>
      </c>
      <c r="D197" s="866" t="s">
        <v>57</v>
      </c>
      <c r="E197" s="866"/>
      <c r="F197" s="866"/>
      <c r="G197" s="866"/>
      <c r="H197" s="864" t="s">
        <v>58</v>
      </c>
      <c r="I197" s="865" t="s">
        <v>47</v>
      </c>
      <c r="J197" s="1619" t="s">
        <v>739</v>
      </c>
      <c r="K197" s="1717"/>
      <c r="L197" s="866">
        <v>3</v>
      </c>
      <c r="M197" s="867">
        <v>44651</v>
      </c>
      <c r="N197" s="868">
        <f t="shared" si="18"/>
        <v>44601</v>
      </c>
      <c r="O197" s="869">
        <v>44690</v>
      </c>
      <c r="P197" s="1772">
        <v>1</v>
      </c>
      <c r="Q197" s="1772">
        <v>1</v>
      </c>
      <c r="R197" s="1811">
        <v>40000</v>
      </c>
      <c r="S197" s="872" t="s">
        <v>61</v>
      </c>
      <c r="T197" s="872" t="s">
        <v>62</v>
      </c>
      <c r="U197" s="872" t="s">
        <v>60</v>
      </c>
      <c r="V197" s="872"/>
      <c r="W197" s="865" t="s">
        <v>740</v>
      </c>
      <c r="X197" s="1867" t="s">
        <v>351</v>
      </c>
      <c r="Y197" s="1866" t="s">
        <v>115</v>
      </c>
      <c r="Z197" s="1866" t="s">
        <v>154</v>
      </c>
      <c r="AA197" s="1880" t="s">
        <v>70</v>
      </c>
      <c r="AB197" s="1891">
        <v>44769</v>
      </c>
      <c r="AC197" s="1907" t="s">
        <v>741</v>
      </c>
      <c r="AD197" s="1728"/>
      <c r="AE197" s="1728"/>
      <c r="AF197">
        <f t="shared" ca="1" si="19"/>
        <v>539</v>
      </c>
      <c r="AG197" s="906"/>
    </row>
    <row r="198" spans="1:33" ht="143">
      <c r="A198" s="1650"/>
      <c r="B198" s="862" t="s">
        <v>56</v>
      </c>
      <c r="C198" s="862" t="s">
        <v>60</v>
      </c>
      <c r="D198" s="866" t="s">
        <v>348</v>
      </c>
      <c r="E198" s="866"/>
      <c r="F198" s="866"/>
      <c r="G198" s="866"/>
      <c r="H198" s="864" t="s">
        <v>58</v>
      </c>
      <c r="I198" s="865" t="s">
        <v>47</v>
      </c>
      <c r="J198" s="1619" t="s">
        <v>742</v>
      </c>
      <c r="K198" s="1717"/>
      <c r="L198" s="866">
        <v>3</v>
      </c>
      <c r="M198" s="867">
        <v>44651</v>
      </c>
      <c r="N198" s="868">
        <f t="shared" si="18"/>
        <v>44610</v>
      </c>
      <c r="O198" s="869">
        <v>44699</v>
      </c>
      <c r="P198" s="1772">
        <v>1</v>
      </c>
      <c r="Q198" s="1772">
        <v>1</v>
      </c>
      <c r="R198" s="1811">
        <v>670000</v>
      </c>
      <c r="S198" s="872" t="s">
        <v>61</v>
      </c>
      <c r="T198" s="872" t="s">
        <v>71</v>
      </c>
      <c r="U198" s="872" t="s">
        <v>589</v>
      </c>
      <c r="V198" s="872"/>
      <c r="W198" s="865" t="s">
        <v>743</v>
      </c>
      <c r="X198" s="1867" t="s">
        <v>351</v>
      </c>
      <c r="Y198" s="1866" t="s">
        <v>594</v>
      </c>
      <c r="Z198" s="1877" t="s">
        <v>69</v>
      </c>
      <c r="AA198" s="1880" t="s">
        <v>70</v>
      </c>
      <c r="AB198" s="1891">
        <v>44770</v>
      </c>
      <c r="AC198" s="1907" t="s">
        <v>744</v>
      </c>
      <c r="AD198" s="1728"/>
      <c r="AE198" s="1728"/>
      <c r="AF198">
        <f t="shared" ca="1" si="19"/>
        <v>538</v>
      </c>
      <c r="AG198" s="906"/>
    </row>
    <row r="199" spans="1:33" ht="50">
      <c r="B199" s="577" t="s">
        <v>56</v>
      </c>
      <c r="C199" s="557" t="s">
        <v>60</v>
      </c>
      <c r="D199" s="558" t="s">
        <v>57</v>
      </c>
      <c r="E199" s="558"/>
      <c r="F199" s="558"/>
      <c r="G199" s="558"/>
      <c r="H199" s="558" t="s">
        <v>58</v>
      </c>
      <c r="I199" s="557" t="s">
        <v>47</v>
      </c>
      <c r="J199" s="1603" t="s">
        <v>745</v>
      </c>
      <c r="K199" s="672"/>
      <c r="L199" s="558">
        <v>3</v>
      </c>
      <c r="M199" s="559">
        <v>44651</v>
      </c>
      <c r="N199" s="560">
        <f t="shared" si="18"/>
        <v>44621</v>
      </c>
      <c r="O199" s="561">
        <v>44713</v>
      </c>
      <c r="P199" s="562" t="s">
        <v>60</v>
      </c>
      <c r="Q199" s="562" t="s">
        <v>60</v>
      </c>
      <c r="R199" s="563">
        <v>25000</v>
      </c>
      <c r="S199" s="564" t="s">
        <v>182</v>
      </c>
      <c r="T199" s="564" t="s">
        <v>589</v>
      </c>
      <c r="U199" s="565" t="s">
        <v>115</v>
      </c>
      <c r="V199" s="565"/>
      <c r="W199" s="566" t="s">
        <v>70</v>
      </c>
      <c r="AF199">
        <f t="shared" ca="1" si="19"/>
        <v>45308</v>
      </c>
    </row>
    <row r="200" spans="1:33" ht="234">
      <c r="A200" s="911"/>
      <c r="B200" s="726" t="s">
        <v>56</v>
      </c>
      <c r="C200" s="726" t="s">
        <v>60</v>
      </c>
      <c r="D200" s="730" t="s">
        <v>348</v>
      </c>
      <c r="E200" s="730"/>
      <c r="F200" s="730"/>
      <c r="G200" s="730"/>
      <c r="H200" s="728" t="s">
        <v>58</v>
      </c>
      <c r="I200" s="729" t="s">
        <v>47</v>
      </c>
      <c r="J200" s="1604" t="s">
        <v>746</v>
      </c>
      <c r="K200" s="955"/>
      <c r="L200" s="730">
        <v>3</v>
      </c>
      <c r="M200" s="731">
        <v>44651</v>
      </c>
      <c r="N200" s="712">
        <f t="shared" si="18"/>
        <v>44621</v>
      </c>
      <c r="O200" s="759">
        <v>44713</v>
      </c>
      <c r="P200" s="891">
        <v>1</v>
      </c>
      <c r="Q200" s="891">
        <v>1</v>
      </c>
      <c r="R200" s="772">
        <v>40000</v>
      </c>
      <c r="S200" s="711" t="s">
        <v>176</v>
      </c>
      <c r="T200" s="711" t="s">
        <v>62</v>
      </c>
      <c r="U200" s="711" t="s">
        <v>589</v>
      </c>
      <c r="V200" s="711"/>
      <c r="W200" s="729" t="s">
        <v>747</v>
      </c>
      <c r="X200" s="922" t="s">
        <v>312</v>
      </c>
      <c r="Y200" s="900" t="s">
        <v>115</v>
      </c>
      <c r="Z200" s="1087" t="s">
        <v>154</v>
      </c>
      <c r="AA200" s="889" t="s">
        <v>70</v>
      </c>
      <c r="AB200" s="1104">
        <v>44817</v>
      </c>
      <c r="AC200" s="1515" t="s">
        <v>748</v>
      </c>
      <c r="AD200" s="926"/>
      <c r="AE200" s="926"/>
      <c r="AF200">
        <f t="shared" ca="1" si="19"/>
        <v>491</v>
      </c>
      <c r="AG200" s="906"/>
    </row>
    <row r="201" spans="1:33" ht="169">
      <c r="A201" s="911"/>
      <c r="B201" s="726" t="s">
        <v>56</v>
      </c>
      <c r="C201" s="726" t="s">
        <v>60</v>
      </c>
      <c r="D201" s="730" t="s">
        <v>57</v>
      </c>
      <c r="E201" s="730"/>
      <c r="F201" s="730"/>
      <c r="G201" s="730"/>
      <c r="H201" s="728" t="s">
        <v>58</v>
      </c>
      <c r="I201" s="729" t="s">
        <v>47</v>
      </c>
      <c r="J201" s="1604" t="s">
        <v>749</v>
      </c>
      <c r="K201" s="955"/>
      <c r="L201" s="730">
        <v>3</v>
      </c>
      <c r="M201" s="731">
        <v>44651</v>
      </c>
      <c r="N201" s="712">
        <f t="shared" si="18"/>
        <v>44621</v>
      </c>
      <c r="O201" s="759">
        <v>44713</v>
      </c>
      <c r="P201" s="891" t="s">
        <v>60</v>
      </c>
      <c r="Q201" s="891" t="s">
        <v>60</v>
      </c>
      <c r="R201" s="772">
        <v>180000</v>
      </c>
      <c r="S201" s="711" t="s">
        <v>176</v>
      </c>
      <c r="T201" s="711" t="s">
        <v>62</v>
      </c>
      <c r="U201" s="711"/>
      <c r="V201" s="711"/>
      <c r="W201" s="729" t="s">
        <v>750</v>
      </c>
      <c r="X201" s="922" t="s">
        <v>312</v>
      </c>
      <c r="Y201" s="900" t="s">
        <v>115</v>
      </c>
      <c r="Z201" s="1087" t="s">
        <v>69</v>
      </c>
      <c r="AA201" s="889" t="s">
        <v>70</v>
      </c>
      <c r="AB201" s="1104">
        <v>44840</v>
      </c>
      <c r="AC201" s="1515" t="s">
        <v>751</v>
      </c>
      <c r="AD201" s="926"/>
      <c r="AE201" s="926"/>
      <c r="AF201">
        <f t="shared" ca="1" si="19"/>
        <v>468</v>
      </c>
      <c r="AG201" s="906"/>
    </row>
    <row r="202" spans="1:33" ht="234">
      <c r="A202" s="911"/>
      <c r="B202" s="726" t="s">
        <v>56</v>
      </c>
      <c r="C202" s="726" t="s">
        <v>60</v>
      </c>
      <c r="D202" s="730" t="s">
        <v>348</v>
      </c>
      <c r="E202" s="730"/>
      <c r="F202" s="730"/>
      <c r="G202" s="730"/>
      <c r="H202" s="728" t="s">
        <v>58</v>
      </c>
      <c r="I202" s="729" t="s">
        <v>47</v>
      </c>
      <c r="J202" s="1604" t="s">
        <v>752</v>
      </c>
      <c r="K202" s="955"/>
      <c r="L202" s="730">
        <v>3</v>
      </c>
      <c r="M202" s="731">
        <v>44651</v>
      </c>
      <c r="N202" s="712">
        <f t="shared" si="18"/>
        <v>44640</v>
      </c>
      <c r="O202" s="759">
        <v>44732</v>
      </c>
      <c r="P202" s="891">
        <v>4</v>
      </c>
      <c r="Q202" s="891">
        <v>4</v>
      </c>
      <c r="R202" s="772">
        <f>65000+135281.25+55000+44000+75000+150000+152000+138670+45480+17016+30600+382998+228161+164531.25</f>
        <v>1683737.5</v>
      </c>
      <c r="S202" s="711" t="s">
        <v>61</v>
      </c>
      <c r="T202" s="711" t="s">
        <v>71</v>
      </c>
      <c r="U202" s="711" t="s">
        <v>589</v>
      </c>
      <c r="V202" s="711"/>
      <c r="W202" s="729" t="s">
        <v>753</v>
      </c>
      <c r="X202" s="922" t="s">
        <v>351</v>
      </c>
      <c r="Y202" s="900" t="s">
        <v>594</v>
      </c>
      <c r="Z202" s="1087" t="s">
        <v>69</v>
      </c>
      <c r="AA202" s="889" t="s">
        <v>70</v>
      </c>
      <c r="AB202" s="1104">
        <v>44748</v>
      </c>
      <c r="AC202" s="1515" t="s">
        <v>754</v>
      </c>
      <c r="AD202" s="1502"/>
      <c r="AE202" s="1502"/>
      <c r="AF202">
        <f t="shared" ca="1" si="19"/>
        <v>560</v>
      </c>
      <c r="AG202" s="906"/>
    </row>
    <row r="203" spans="1:33" ht="50">
      <c r="B203" s="577" t="s">
        <v>56</v>
      </c>
      <c r="C203" s="510" t="s">
        <v>60</v>
      </c>
      <c r="D203" s="511" t="s">
        <v>57</v>
      </c>
      <c r="E203" s="511"/>
      <c r="F203" s="511"/>
      <c r="G203" s="511"/>
      <c r="H203" s="511" t="s">
        <v>58</v>
      </c>
      <c r="I203" s="510" t="s">
        <v>47</v>
      </c>
      <c r="J203" s="1580" t="s">
        <v>755</v>
      </c>
      <c r="K203" s="616"/>
      <c r="L203" s="511">
        <v>3</v>
      </c>
      <c r="M203" s="513">
        <v>44651</v>
      </c>
      <c r="N203" s="514">
        <f t="shared" si="18"/>
        <v>44641</v>
      </c>
      <c r="O203" s="534">
        <v>44733</v>
      </c>
      <c r="P203" s="535" t="s">
        <v>60</v>
      </c>
      <c r="Q203" s="535" t="s">
        <v>60</v>
      </c>
      <c r="R203" s="528">
        <v>40000</v>
      </c>
      <c r="S203" s="515" t="s">
        <v>61</v>
      </c>
      <c r="T203" s="515" t="s">
        <v>62</v>
      </c>
      <c r="U203" s="520" t="s">
        <v>115</v>
      </c>
      <c r="V203" s="520"/>
      <c r="W203" s="521" t="s">
        <v>70</v>
      </c>
      <c r="AF203">
        <f t="shared" ca="1" si="19"/>
        <v>45308</v>
      </c>
    </row>
    <row r="204" spans="1:33" ht="37.5">
      <c r="B204" s="577" t="s">
        <v>56</v>
      </c>
      <c r="C204" s="510" t="s">
        <v>60</v>
      </c>
      <c r="D204" s="511" t="s">
        <v>122</v>
      </c>
      <c r="E204" s="511"/>
      <c r="F204" s="511"/>
      <c r="G204" s="511"/>
      <c r="H204" s="511" t="s">
        <v>308</v>
      </c>
      <c r="I204" s="510" t="s">
        <v>47</v>
      </c>
      <c r="J204" s="1580" t="s">
        <v>756</v>
      </c>
      <c r="K204" s="616"/>
      <c r="L204" s="511">
        <v>12</v>
      </c>
      <c r="M204" s="513">
        <v>44651</v>
      </c>
      <c r="N204" s="514">
        <f t="shared" si="18"/>
        <v>44378</v>
      </c>
      <c r="O204" s="534">
        <v>44743</v>
      </c>
      <c r="P204" s="535">
        <v>3</v>
      </c>
      <c r="Q204" s="535">
        <v>3</v>
      </c>
      <c r="R204" s="528">
        <v>331727</v>
      </c>
      <c r="S204" s="515" t="s">
        <v>75</v>
      </c>
      <c r="T204" s="515" t="s">
        <v>62</v>
      </c>
      <c r="U204" s="520" t="s">
        <v>251</v>
      </c>
      <c r="V204" s="520"/>
      <c r="W204" s="521" t="s">
        <v>70</v>
      </c>
      <c r="AF204">
        <f t="shared" ca="1" si="19"/>
        <v>45308</v>
      </c>
    </row>
    <row r="205" spans="1:33" ht="37.5">
      <c r="B205" s="577" t="s">
        <v>56</v>
      </c>
      <c r="C205" s="510" t="s">
        <v>60</v>
      </c>
      <c r="D205" s="511" t="s">
        <v>122</v>
      </c>
      <c r="E205" s="511"/>
      <c r="F205" s="511"/>
      <c r="G205" s="511"/>
      <c r="H205" s="511" t="s">
        <v>308</v>
      </c>
      <c r="I205" s="519" t="s">
        <v>47</v>
      </c>
      <c r="J205" s="1578" t="s">
        <v>757</v>
      </c>
      <c r="K205" s="658"/>
      <c r="L205" s="511">
        <v>1</v>
      </c>
      <c r="M205" s="513">
        <v>44651</v>
      </c>
      <c r="N205" s="514">
        <f t="shared" si="18"/>
        <v>44713</v>
      </c>
      <c r="O205" s="612">
        <v>44743</v>
      </c>
      <c r="P205" s="516">
        <v>4</v>
      </c>
      <c r="Q205" s="516">
        <v>4</v>
      </c>
      <c r="R205" s="528">
        <v>330000</v>
      </c>
      <c r="S205" s="515" t="s">
        <v>75</v>
      </c>
      <c r="T205" s="515" t="s">
        <v>62</v>
      </c>
      <c r="U205" s="520" t="s">
        <v>758</v>
      </c>
      <c r="V205" s="520"/>
      <c r="W205" s="521" t="s">
        <v>70</v>
      </c>
      <c r="AF205">
        <f t="shared" ca="1" si="19"/>
        <v>45308</v>
      </c>
    </row>
    <row r="206" spans="1:33" ht="37.5">
      <c r="B206" s="577" t="s">
        <v>56</v>
      </c>
      <c r="C206" s="510" t="s">
        <v>60</v>
      </c>
      <c r="D206" s="511" t="s">
        <v>122</v>
      </c>
      <c r="E206" s="511"/>
      <c r="F206" s="511"/>
      <c r="G206" s="511"/>
      <c r="H206" s="511" t="s">
        <v>308</v>
      </c>
      <c r="I206" s="510" t="s">
        <v>47</v>
      </c>
      <c r="J206" s="1580" t="s">
        <v>759</v>
      </c>
      <c r="K206" s="616"/>
      <c r="L206" s="511">
        <v>12</v>
      </c>
      <c r="M206" s="513">
        <v>44651</v>
      </c>
      <c r="N206" s="514">
        <f t="shared" si="18"/>
        <v>44378</v>
      </c>
      <c r="O206" s="534">
        <v>44743</v>
      </c>
      <c r="P206" s="535">
        <v>3</v>
      </c>
      <c r="Q206" s="535">
        <v>3</v>
      </c>
      <c r="R206" s="528">
        <v>331727</v>
      </c>
      <c r="S206" s="515" t="s">
        <v>75</v>
      </c>
      <c r="T206" s="515" t="s">
        <v>62</v>
      </c>
      <c r="U206" s="520" t="s">
        <v>251</v>
      </c>
      <c r="V206" s="520"/>
      <c r="W206" s="521" t="s">
        <v>70</v>
      </c>
      <c r="AF206">
        <f t="shared" ca="1" si="19"/>
        <v>45308</v>
      </c>
    </row>
    <row r="207" spans="1:33" ht="37.5">
      <c r="B207" s="577" t="s">
        <v>56</v>
      </c>
      <c r="C207" s="510" t="s">
        <v>60</v>
      </c>
      <c r="D207" s="511" t="s">
        <v>122</v>
      </c>
      <c r="E207" s="511"/>
      <c r="F207" s="511"/>
      <c r="G207" s="511"/>
      <c r="H207" s="511" t="s">
        <v>308</v>
      </c>
      <c r="I207" s="510" t="s">
        <v>47</v>
      </c>
      <c r="J207" s="1580" t="s">
        <v>760</v>
      </c>
      <c r="K207" s="658"/>
      <c r="L207" s="511">
        <v>12</v>
      </c>
      <c r="M207" s="513">
        <v>44651</v>
      </c>
      <c r="N207" s="514">
        <f t="shared" si="18"/>
        <v>44378</v>
      </c>
      <c r="O207" s="534">
        <v>44743</v>
      </c>
      <c r="P207" s="535">
        <v>3</v>
      </c>
      <c r="Q207" s="535">
        <v>3</v>
      </c>
      <c r="R207" s="528">
        <v>331727</v>
      </c>
      <c r="S207" s="515" t="s">
        <v>75</v>
      </c>
      <c r="T207" s="515" t="s">
        <v>62</v>
      </c>
      <c r="U207" s="520" t="s">
        <v>727</v>
      </c>
      <c r="V207" s="520"/>
      <c r="W207" s="521" t="s">
        <v>70</v>
      </c>
      <c r="AF207">
        <f t="shared" ca="1" si="19"/>
        <v>45308</v>
      </c>
    </row>
    <row r="208" spans="1:33" ht="169">
      <c r="A208" s="911"/>
      <c r="B208" s="726" t="s">
        <v>56</v>
      </c>
      <c r="C208" s="726" t="s">
        <v>60</v>
      </c>
      <c r="D208" s="730" t="s">
        <v>122</v>
      </c>
      <c r="E208" s="730"/>
      <c r="F208" s="730"/>
      <c r="G208" s="730"/>
      <c r="H208" s="728" t="s">
        <v>308</v>
      </c>
      <c r="I208" s="729" t="s">
        <v>47</v>
      </c>
      <c r="J208" s="1604" t="s">
        <v>761</v>
      </c>
      <c r="K208" s="955"/>
      <c r="L208" s="730">
        <v>12</v>
      </c>
      <c r="M208" s="731">
        <v>44651</v>
      </c>
      <c r="N208" s="712">
        <f t="shared" si="18"/>
        <v>44378</v>
      </c>
      <c r="O208" s="759">
        <v>44743</v>
      </c>
      <c r="P208" s="891">
        <v>3</v>
      </c>
      <c r="Q208" s="891">
        <v>3</v>
      </c>
      <c r="R208" s="772">
        <v>331727</v>
      </c>
      <c r="S208" s="711" t="s">
        <v>75</v>
      </c>
      <c r="T208" s="711" t="s">
        <v>62</v>
      </c>
      <c r="U208" s="711" t="s">
        <v>60</v>
      </c>
      <c r="V208" s="711"/>
      <c r="W208" s="728" t="s">
        <v>714</v>
      </c>
      <c r="X208" s="922" t="s">
        <v>312</v>
      </c>
      <c r="Y208" s="900" t="s">
        <v>115</v>
      </c>
      <c r="Z208" s="1088" t="s">
        <v>69</v>
      </c>
      <c r="AA208" s="889" t="s">
        <v>70</v>
      </c>
      <c r="AB208" s="1104">
        <v>44812</v>
      </c>
      <c r="AC208" s="1917" t="s">
        <v>762</v>
      </c>
      <c r="AD208" s="926"/>
      <c r="AE208" s="926"/>
      <c r="AF208">
        <f t="shared" ca="1" si="19"/>
        <v>496</v>
      </c>
      <c r="AG208" s="906"/>
    </row>
    <row r="209" spans="1:33" s="906" customFormat="1" ht="156">
      <c r="A209" s="911"/>
      <c r="B209" s="725" t="s">
        <v>56</v>
      </c>
      <c r="C209" s="726" t="s">
        <v>60</v>
      </c>
      <c r="D209" s="727" t="s">
        <v>348</v>
      </c>
      <c r="E209" s="727"/>
      <c r="F209" s="727"/>
      <c r="G209" s="727"/>
      <c r="H209" s="728" t="s">
        <v>58</v>
      </c>
      <c r="I209" s="729" t="s">
        <v>47</v>
      </c>
      <c r="J209" s="1604" t="s">
        <v>763</v>
      </c>
      <c r="K209" s="729"/>
      <c r="L209" s="730">
        <v>3</v>
      </c>
      <c r="M209" s="731">
        <v>44651</v>
      </c>
      <c r="N209" s="712">
        <f t="shared" si="18"/>
        <v>44663</v>
      </c>
      <c r="O209" s="759">
        <v>44754</v>
      </c>
      <c r="P209" s="760">
        <v>1</v>
      </c>
      <c r="Q209" s="761">
        <v>1</v>
      </c>
      <c r="R209" s="742">
        <f>37161.4+6739.75+31942.09+23647.82</f>
        <v>99491.06</v>
      </c>
      <c r="S209" s="734" t="s">
        <v>61</v>
      </c>
      <c r="T209" s="711" t="s">
        <v>71</v>
      </c>
      <c r="U209" s="711" t="s">
        <v>589</v>
      </c>
      <c r="V209" s="711"/>
      <c r="W209" s="729" t="s">
        <v>764</v>
      </c>
      <c r="X209" s="730" t="s">
        <v>312</v>
      </c>
      <c r="Y209" s="762" t="s">
        <v>594</v>
      </c>
      <c r="Z209" s="736" t="s">
        <v>69</v>
      </c>
      <c r="AA209" s="695" t="s">
        <v>70</v>
      </c>
      <c r="AB209" s="764">
        <v>44812</v>
      </c>
      <c r="AC209" s="935" t="s">
        <v>765</v>
      </c>
      <c r="AD209" s="923"/>
      <c r="AE209" s="920"/>
      <c r="AF209">
        <f t="shared" ca="1" si="19"/>
        <v>496</v>
      </c>
    </row>
    <row r="210" spans="1:33" s="906" customFormat="1" ht="50">
      <c r="A210" s="1119"/>
      <c r="B210" s="960" t="s">
        <v>56</v>
      </c>
      <c r="C210" s="510" t="s">
        <v>60</v>
      </c>
      <c r="D210" s="611" t="s">
        <v>57</v>
      </c>
      <c r="E210" s="611"/>
      <c r="F210" s="611"/>
      <c r="G210" s="611"/>
      <c r="H210" s="511" t="s">
        <v>58</v>
      </c>
      <c r="I210" s="510" t="s">
        <v>47</v>
      </c>
      <c r="J210" s="1580" t="s">
        <v>766</v>
      </c>
      <c r="K210" s="600"/>
      <c r="L210" s="511">
        <v>3</v>
      </c>
      <c r="M210" s="513">
        <v>44651</v>
      </c>
      <c r="N210" s="514">
        <f t="shared" si="18"/>
        <v>44669</v>
      </c>
      <c r="O210" s="534">
        <v>44760</v>
      </c>
      <c r="P210" s="1011">
        <v>1</v>
      </c>
      <c r="Q210" s="684">
        <v>1</v>
      </c>
      <c r="R210" s="1034">
        <v>55000</v>
      </c>
      <c r="S210" s="1044" t="s">
        <v>61</v>
      </c>
      <c r="T210" s="515" t="s">
        <v>62</v>
      </c>
      <c r="U210" s="520" t="s">
        <v>115</v>
      </c>
      <c r="V210" s="520"/>
      <c r="W210" s="521" t="s">
        <v>70</v>
      </c>
      <c r="X210" s="120"/>
      <c r="Y210" s="120"/>
      <c r="Z210" s="120"/>
      <c r="AA210" s="120"/>
      <c r="AB210" s="120"/>
      <c r="AC210" s="120"/>
      <c r="AD210" s="336"/>
      <c r="AE210" s="120"/>
      <c r="AF210">
        <f t="shared" ca="1" si="19"/>
        <v>45308</v>
      </c>
      <c r="AG210"/>
    </row>
    <row r="211" spans="1:33" ht="78">
      <c r="A211" s="911"/>
      <c r="B211" s="725" t="s">
        <v>56</v>
      </c>
      <c r="C211" s="726" t="s">
        <v>60</v>
      </c>
      <c r="D211" s="727" t="s">
        <v>348</v>
      </c>
      <c r="E211" s="727"/>
      <c r="F211" s="727"/>
      <c r="G211" s="727"/>
      <c r="H211" s="728" t="s">
        <v>58</v>
      </c>
      <c r="I211" s="729" t="s">
        <v>47</v>
      </c>
      <c r="J211" s="1604" t="s">
        <v>767</v>
      </c>
      <c r="K211" s="729"/>
      <c r="L211" s="730">
        <v>3</v>
      </c>
      <c r="M211" s="731">
        <v>44651</v>
      </c>
      <c r="N211" s="712">
        <f t="shared" si="18"/>
        <v>44671</v>
      </c>
      <c r="O211" s="759">
        <v>44762</v>
      </c>
      <c r="P211" s="760">
        <v>1</v>
      </c>
      <c r="Q211" s="761">
        <v>1</v>
      </c>
      <c r="R211" s="742">
        <f>47842+57258</f>
        <v>105100</v>
      </c>
      <c r="S211" s="734" t="s">
        <v>61</v>
      </c>
      <c r="T211" s="711" t="s">
        <v>71</v>
      </c>
      <c r="U211" s="711" t="s">
        <v>589</v>
      </c>
      <c r="V211" s="711"/>
      <c r="W211" s="729" t="s">
        <v>768</v>
      </c>
      <c r="X211" s="730" t="s">
        <v>312</v>
      </c>
      <c r="Y211" s="762" t="s">
        <v>594</v>
      </c>
      <c r="Z211" s="736" t="s">
        <v>69</v>
      </c>
      <c r="AA211" s="695" t="s">
        <v>70</v>
      </c>
      <c r="AB211" s="764">
        <v>44840</v>
      </c>
      <c r="AC211" s="935" t="s">
        <v>769</v>
      </c>
      <c r="AD211" s="890"/>
      <c r="AE211" s="726"/>
      <c r="AF211">
        <f t="shared" ca="1" si="19"/>
        <v>468</v>
      </c>
      <c r="AG211" s="906"/>
    </row>
    <row r="212" spans="1:33" ht="117">
      <c r="A212" s="911"/>
      <c r="B212" s="725" t="s">
        <v>56</v>
      </c>
      <c r="C212" s="726" t="s">
        <v>60</v>
      </c>
      <c r="D212" s="727" t="s">
        <v>348</v>
      </c>
      <c r="E212" s="727"/>
      <c r="F212" s="727"/>
      <c r="G212" s="727"/>
      <c r="H212" s="728" t="s">
        <v>58</v>
      </c>
      <c r="I212" s="729" t="s">
        <v>47</v>
      </c>
      <c r="J212" s="1604" t="s">
        <v>770</v>
      </c>
      <c r="K212" s="729"/>
      <c r="L212" s="730">
        <v>3</v>
      </c>
      <c r="M212" s="2012">
        <v>44651</v>
      </c>
      <c r="N212" s="712">
        <f t="shared" si="18"/>
        <v>44677</v>
      </c>
      <c r="O212" s="759">
        <v>44768</v>
      </c>
      <c r="P212" s="760">
        <v>1</v>
      </c>
      <c r="Q212" s="761">
        <v>1</v>
      </c>
      <c r="R212" s="742">
        <f>53000+50000</f>
        <v>103000</v>
      </c>
      <c r="S212" s="734" t="s">
        <v>61</v>
      </c>
      <c r="T212" s="711" t="s">
        <v>71</v>
      </c>
      <c r="U212" s="711" t="s">
        <v>589</v>
      </c>
      <c r="V212" s="711"/>
      <c r="W212" s="729" t="s">
        <v>743</v>
      </c>
      <c r="X212" s="730" t="s">
        <v>351</v>
      </c>
      <c r="Y212" s="762" t="s">
        <v>594</v>
      </c>
      <c r="Z212" s="736" t="s">
        <v>154</v>
      </c>
      <c r="AA212" s="695" t="s">
        <v>70</v>
      </c>
      <c r="AB212" s="764">
        <v>44770</v>
      </c>
      <c r="AC212" s="935" t="s">
        <v>771</v>
      </c>
      <c r="AD212" s="890"/>
      <c r="AE212" s="726"/>
      <c r="AF212">
        <f t="shared" ca="1" si="19"/>
        <v>538</v>
      </c>
      <c r="AG212" s="906"/>
    </row>
    <row r="213" spans="1:33" s="906" customFormat="1" ht="62.5">
      <c r="A213" s="1199"/>
      <c r="B213" s="960" t="s">
        <v>56</v>
      </c>
      <c r="C213" s="510" t="s">
        <v>60</v>
      </c>
      <c r="D213" s="611" t="s">
        <v>348</v>
      </c>
      <c r="E213" s="611"/>
      <c r="F213" s="611"/>
      <c r="G213" s="611"/>
      <c r="H213" s="511" t="s">
        <v>58</v>
      </c>
      <c r="I213" s="510" t="s">
        <v>47</v>
      </c>
      <c r="J213" s="1580" t="s">
        <v>772</v>
      </c>
      <c r="K213" s="600"/>
      <c r="L213" s="511">
        <v>3</v>
      </c>
      <c r="M213" s="513">
        <v>44651</v>
      </c>
      <c r="N213" s="514">
        <f t="shared" si="18"/>
        <v>44678</v>
      </c>
      <c r="O213" s="534">
        <v>44769</v>
      </c>
      <c r="P213" s="1011">
        <v>1</v>
      </c>
      <c r="Q213" s="684">
        <v>1</v>
      </c>
      <c r="R213" s="1034">
        <f>40000+104792+100000</f>
        <v>244792</v>
      </c>
      <c r="S213" s="1044" t="s">
        <v>61</v>
      </c>
      <c r="T213" s="515" t="s">
        <v>71</v>
      </c>
      <c r="U213" s="520" t="s">
        <v>727</v>
      </c>
      <c r="V213" s="520"/>
      <c r="W213" s="521" t="s">
        <v>70</v>
      </c>
      <c r="X213" s="120"/>
      <c r="Y213" s="120"/>
      <c r="Z213" s="120"/>
      <c r="AA213" s="120"/>
      <c r="AB213" s="120"/>
      <c r="AC213" s="120"/>
      <c r="AD213" s="336"/>
      <c r="AE213" s="120"/>
      <c r="AF213">
        <f t="shared" ca="1" si="19"/>
        <v>45308</v>
      </c>
      <c r="AG213"/>
    </row>
    <row r="214" spans="1:33" s="906" customFormat="1" ht="37.5">
      <c r="A214" s="1199"/>
      <c r="B214" s="960" t="s">
        <v>56</v>
      </c>
      <c r="C214" s="510" t="s">
        <v>60</v>
      </c>
      <c r="D214" s="511" t="s">
        <v>348</v>
      </c>
      <c r="E214" s="511"/>
      <c r="F214" s="511"/>
      <c r="G214" s="511"/>
      <c r="H214" s="511" t="s">
        <v>308</v>
      </c>
      <c r="I214" s="510" t="s">
        <v>34</v>
      </c>
      <c r="J214" s="1580" t="s">
        <v>773</v>
      </c>
      <c r="K214" s="992"/>
      <c r="L214" s="511">
        <v>12</v>
      </c>
      <c r="M214" s="513">
        <v>44652</v>
      </c>
      <c r="N214" s="514">
        <f t="shared" si="18"/>
        <v>44348</v>
      </c>
      <c r="O214" s="534">
        <v>44713</v>
      </c>
      <c r="P214" s="1781">
        <v>12</v>
      </c>
      <c r="Q214" s="2051">
        <v>12</v>
      </c>
      <c r="R214" s="2065">
        <v>1050000</v>
      </c>
      <c r="S214" s="1044" t="s">
        <v>130</v>
      </c>
      <c r="T214" s="515" t="s">
        <v>589</v>
      </c>
      <c r="U214" s="520" t="s">
        <v>727</v>
      </c>
      <c r="V214" s="520"/>
      <c r="W214" s="521" t="s">
        <v>70</v>
      </c>
      <c r="X214" s="120"/>
      <c r="Y214" s="120"/>
      <c r="Z214" s="120"/>
      <c r="AA214" s="120"/>
      <c r="AB214" s="120"/>
      <c r="AC214" s="120"/>
      <c r="AD214" s="336"/>
      <c r="AE214" s="120"/>
      <c r="AF214">
        <f t="shared" ca="1" si="19"/>
        <v>45308</v>
      </c>
      <c r="AG214"/>
    </row>
    <row r="215" spans="1:33" s="906" customFormat="1" ht="58">
      <c r="A215" s="2777"/>
      <c r="B215" s="2783" t="s">
        <v>44</v>
      </c>
      <c r="C215" s="4" t="s">
        <v>774</v>
      </c>
      <c r="D215" s="31" t="s">
        <v>32</v>
      </c>
      <c r="E215" s="31"/>
      <c r="F215" s="31"/>
      <c r="G215" s="31"/>
      <c r="H215" s="5" t="s">
        <v>33</v>
      </c>
      <c r="I215" s="283" t="s">
        <v>47</v>
      </c>
      <c r="J215" s="16" t="s">
        <v>775</v>
      </c>
      <c r="K215" s="8"/>
      <c r="L215" s="5">
        <v>3</v>
      </c>
      <c r="M215" s="199">
        <f>IFERROR(EDATE($N215,-3),"Invalid procurement method or date entered")</f>
        <v>44652</v>
      </c>
      <c r="N215" s="199">
        <f>IFERROR(EDATE(O215,-L215),"Invalid procurement method or date entered")</f>
        <v>44743</v>
      </c>
      <c r="O215" s="199">
        <v>44835</v>
      </c>
      <c r="P215" s="26">
        <v>12</v>
      </c>
      <c r="Q215" s="293" t="s">
        <v>50</v>
      </c>
      <c r="R215" s="209">
        <v>8395</v>
      </c>
      <c r="S215" s="31" t="s">
        <v>37</v>
      </c>
      <c r="T215" s="11" t="s">
        <v>38</v>
      </c>
      <c r="U215" s="49" t="s">
        <v>67</v>
      </c>
      <c r="V215" s="49"/>
      <c r="W215" s="5" t="s">
        <v>776</v>
      </c>
      <c r="X215" s="5" t="s">
        <v>543</v>
      </c>
      <c r="Y215" s="5" t="s">
        <v>40</v>
      </c>
      <c r="Z215" s="5" t="s">
        <v>154</v>
      </c>
      <c r="AA215" s="5" t="s">
        <v>38</v>
      </c>
      <c r="AB215" s="199" t="s">
        <v>224</v>
      </c>
      <c r="AC215" s="8" t="s">
        <v>777</v>
      </c>
      <c r="AD215" s="31" t="s">
        <v>96</v>
      </c>
      <c r="AE215" s="41">
        <v>8395</v>
      </c>
      <c r="AF215" t="str">
        <f t="shared" ca="1" si="19"/>
        <v>N/A</v>
      </c>
      <c r="AG215"/>
    </row>
    <row r="216" spans="1:33" s="906" customFormat="1" ht="78">
      <c r="A216" s="1235" t="s">
        <v>71</v>
      </c>
      <c r="B216" s="737" t="s">
        <v>44</v>
      </c>
      <c r="C216" s="738"/>
      <c r="D216" s="708" t="s">
        <v>32</v>
      </c>
      <c r="E216" s="708"/>
      <c r="F216" s="708"/>
      <c r="G216" s="708"/>
      <c r="H216" s="709" t="s">
        <v>33</v>
      </c>
      <c r="I216" s="811" t="s">
        <v>47</v>
      </c>
      <c r="J216" s="1608" t="s">
        <v>775</v>
      </c>
      <c r="K216" s="709" t="s">
        <v>778</v>
      </c>
      <c r="L216" s="710">
        <v>3</v>
      </c>
      <c r="M216" s="769">
        <f>IFERROR(EDATE($N216,-3),"Invalid procurement method or date entered")</f>
        <v>44652</v>
      </c>
      <c r="N216" s="769">
        <f>IFERROR(EDATE(O216,-L216),"Invalid procurement method or date entered")</f>
        <v>44743</v>
      </c>
      <c r="O216" s="769">
        <v>44835</v>
      </c>
      <c r="P216" s="750">
        <v>12</v>
      </c>
      <c r="Q216" s="766" t="s">
        <v>50</v>
      </c>
      <c r="R216" s="742">
        <v>8395</v>
      </c>
      <c r="S216" s="710" t="s">
        <v>37</v>
      </c>
      <c r="T216" s="710" t="s">
        <v>38</v>
      </c>
      <c r="U216" s="738" t="s">
        <v>67</v>
      </c>
      <c r="V216" s="738"/>
      <c r="W216" s="709" t="s">
        <v>779</v>
      </c>
      <c r="X216" s="730" t="s">
        <v>780</v>
      </c>
      <c r="Y216" s="710" t="s">
        <v>40</v>
      </c>
      <c r="Z216" s="710" t="s">
        <v>154</v>
      </c>
      <c r="AA216" s="750" t="s">
        <v>70</v>
      </c>
      <c r="AB216" s="1903">
        <v>44832</v>
      </c>
      <c r="AC216" s="917" t="s">
        <v>781</v>
      </c>
      <c r="AD216" s="708" t="s">
        <v>96</v>
      </c>
      <c r="AE216" s="744">
        <v>8395</v>
      </c>
      <c r="AF216">
        <f t="shared" ca="1" si="19"/>
        <v>476</v>
      </c>
      <c r="AG216" s="1"/>
    </row>
    <row r="217" spans="1:33" s="906" customFormat="1" ht="39">
      <c r="A217" s="749">
        <v>44770</v>
      </c>
      <c r="B217" s="706" t="s">
        <v>100</v>
      </c>
      <c r="C217" s="707" t="s">
        <v>45</v>
      </c>
      <c r="D217" s="708" t="s">
        <v>110</v>
      </c>
      <c r="E217" s="708"/>
      <c r="F217" s="708"/>
      <c r="G217" s="708"/>
      <c r="H217" s="710" t="s">
        <v>116</v>
      </c>
      <c r="I217" s="710" t="s">
        <v>47</v>
      </c>
      <c r="J217" s="1608" t="s">
        <v>782</v>
      </c>
      <c r="K217" s="710"/>
      <c r="L217" s="710">
        <v>3</v>
      </c>
      <c r="M217" s="711">
        <f>IFERROR(EDATE(N217,-3),"Invalid procurement method or date entered")</f>
        <v>44652</v>
      </c>
      <c r="N217" s="712">
        <f>IFERROR(EDATE(O217,-L217),"Invalid procurement method or date entered")</f>
        <v>44743</v>
      </c>
      <c r="O217" s="713">
        <v>44835</v>
      </c>
      <c r="P217" s="714" t="s">
        <v>45</v>
      </c>
      <c r="Q217" s="715" t="s">
        <v>45</v>
      </c>
      <c r="R217" s="742">
        <v>40000</v>
      </c>
      <c r="S217" s="708" t="s">
        <v>51</v>
      </c>
      <c r="T217" s="710" t="s">
        <v>38</v>
      </c>
      <c r="U217" s="711" t="s">
        <v>71</v>
      </c>
      <c r="V217" s="711"/>
      <c r="W217" s="710" t="s">
        <v>783</v>
      </c>
      <c r="X217" s="710" t="s">
        <v>784</v>
      </c>
      <c r="Y217" s="710" t="s">
        <v>40</v>
      </c>
      <c r="Z217" s="710" t="s">
        <v>785</v>
      </c>
      <c r="AA217" s="724" t="s">
        <v>38</v>
      </c>
      <c r="AB217" s="769">
        <v>44887</v>
      </c>
      <c r="AC217" s="747" t="s">
        <v>786</v>
      </c>
      <c r="AD217" s="782"/>
      <c r="AE217" s="695"/>
      <c r="AF217">
        <f t="shared" ca="1" si="19"/>
        <v>421</v>
      </c>
    </row>
    <row r="218" spans="1:33" s="906" customFormat="1" ht="39">
      <c r="A218" s="1235" t="s">
        <v>71</v>
      </c>
      <c r="B218" s="737" t="s">
        <v>44</v>
      </c>
      <c r="C218" s="738"/>
      <c r="D218" s="723" t="s">
        <v>57</v>
      </c>
      <c r="E218" s="723"/>
      <c r="F218" s="723"/>
      <c r="G218" s="723"/>
      <c r="H218" s="718" t="s">
        <v>46</v>
      </c>
      <c r="I218" s="718" t="s">
        <v>47</v>
      </c>
      <c r="J218" s="1613" t="s">
        <v>787</v>
      </c>
      <c r="K218" s="718" t="s">
        <v>788</v>
      </c>
      <c r="L218" s="723">
        <v>9</v>
      </c>
      <c r="M218" s="1247">
        <f>IFERROR(EDATE($N218,-3),"Invalid procurement method or date entered")</f>
        <v>44652</v>
      </c>
      <c r="N218" s="1246">
        <f>IFERROR(EDATE(O218,-L218),"Invalid procurement method or date entered")</f>
        <v>44743</v>
      </c>
      <c r="O218" s="1239">
        <v>45017</v>
      </c>
      <c r="P218" s="1486">
        <v>60</v>
      </c>
      <c r="Q218" s="773">
        <v>60</v>
      </c>
      <c r="R218" s="937">
        <v>30250</v>
      </c>
      <c r="S218" s="789" t="s">
        <v>51</v>
      </c>
      <c r="T218" s="793" t="s">
        <v>38</v>
      </c>
      <c r="U218" s="1174" t="s">
        <v>67</v>
      </c>
      <c r="V218" s="1174"/>
      <c r="W218" s="1857" t="s">
        <v>789</v>
      </c>
      <c r="X218" s="723" t="s">
        <v>54</v>
      </c>
      <c r="Y218" s="723" t="s">
        <v>790</v>
      </c>
      <c r="Z218" s="723"/>
      <c r="AA218" s="723" t="s">
        <v>38</v>
      </c>
      <c r="AB218" s="720">
        <v>44789</v>
      </c>
      <c r="AC218" s="718" t="s">
        <v>791</v>
      </c>
      <c r="AD218" s="723" t="s">
        <v>46</v>
      </c>
      <c r="AE218" s="1288">
        <v>15000</v>
      </c>
      <c r="AF218">
        <f t="shared" ca="1" si="19"/>
        <v>519</v>
      </c>
    </row>
    <row r="219" spans="1:33" s="906" customFormat="1" ht="72.5">
      <c r="A219" s="248"/>
      <c r="B219" s="2784" t="s">
        <v>44</v>
      </c>
      <c r="C219" s="4"/>
      <c r="D219" s="9" t="s">
        <v>57</v>
      </c>
      <c r="E219" s="9"/>
      <c r="F219" s="9"/>
      <c r="G219" s="9"/>
      <c r="H219" s="46" t="s">
        <v>165</v>
      </c>
      <c r="I219" s="71" t="s">
        <v>47</v>
      </c>
      <c r="J219" s="16" t="s">
        <v>792</v>
      </c>
      <c r="K219" s="8"/>
      <c r="L219" s="5">
        <v>12</v>
      </c>
      <c r="M219" s="199">
        <f>IFERROR(EDATE($N219,-3),"Invalid procurement method or date entered")</f>
        <v>44652</v>
      </c>
      <c r="N219" s="199">
        <f>IFERROR(EDATE(O219,-L219),"Invalid procurement method or date entered")</f>
        <v>44743</v>
      </c>
      <c r="O219" s="182">
        <v>45108</v>
      </c>
      <c r="P219" s="12" t="s">
        <v>793</v>
      </c>
      <c r="Q219" s="12"/>
      <c r="R219" s="209">
        <v>15250490</v>
      </c>
      <c r="S219" s="46" t="s">
        <v>91</v>
      </c>
      <c r="T219" s="324" t="s">
        <v>70</v>
      </c>
      <c r="U219" s="324" t="s">
        <v>45</v>
      </c>
      <c r="V219" s="324"/>
      <c r="W219" s="71" t="s">
        <v>167</v>
      </c>
      <c r="X219" s="5" t="s">
        <v>168</v>
      </c>
      <c r="Y219" s="900" t="s">
        <v>40</v>
      </c>
      <c r="Z219" s="26" t="s">
        <v>69</v>
      </c>
      <c r="AA219" s="5" t="s">
        <v>70</v>
      </c>
      <c r="AB219" s="207"/>
      <c r="AC219" s="55" t="s">
        <v>794</v>
      </c>
      <c r="AD219" s="76" t="s">
        <v>165</v>
      </c>
      <c r="AE219" s="339"/>
      <c r="AF219">
        <f t="shared" ca="1" si="19"/>
        <v>45308</v>
      </c>
      <c r="AG219"/>
    </row>
    <row r="220" spans="1:33" s="906" customFormat="1" ht="37.5">
      <c r="A220" s="1199"/>
      <c r="B220" s="1948" t="s">
        <v>56</v>
      </c>
      <c r="C220" s="539" t="s">
        <v>60</v>
      </c>
      <c r="D220" s="1957" t="s">
        <v>122</v>
      </c>
      <c r="E220" s="1957"/>
      <c r="F220" s="1957"/>
      <c r="G220" s="1957"/>
      <c r="H220" s="540" t="s">
        <v>308</v>
      </c>
      <c r="I220" s="539" t="s">
        <v>47</v>
      </c>
      <c r="J220" s="1705" t="s">
        <v>795</v>
      </c>
      <c r="K220" s="1992"/>
      <c r="L220" s="540">
        <v>12</v>
      </c>
      <c r="M220" s="541">
        <f>IF(O220="tbc","",(IFERROR(EDATE($N220,-3),"Invalid procurement method or date entered")))</f>
        <v>44652</v>
      </c>
      <c r="N220" s="541">
        <f>IF(O220="tbc","",(IFERROR(EDATE(O220,-L220),"Invalid procurement method or date entered")))</f>
        <v>44743</v>
      </c>
      <c r="O220" s="1008">
        <v>45108</v>
      </c>
      <c r="P220" s="2030">
        <v>3</v>
      </c>
      <c r="Q220" s="684">
        <v>3</v>
      </c>
      <c r="R220" s="1034">
        <v>331727</v>
      </c>
      <c r="S220" s="1044" t="s">
        <v>75</v>
      </c>
      <c r="T220" s="542" t="s">
        <v>62</v>
      </c>
      <c r="U220" s="542" t="s">
        <v>60</v>
      </c>
      <c r="V220" s="542"/>
      <c r="W220" s="1074" t="s">
        <v>70</v>
      </c>
      <c r="X220" s="1081"/>
      <c r="Y220" s="1081"/>
      <c r="Z220" s="1081"/>
      <c r="AA220" s="1081"/>
      <c r="AB220" s="1081"/>
      <c r="AC220" s="1081"/>
      <c r="AD220" s="2151"/>
      <c r="AE220" s="1081"/>
      <c r="AF220">
        <f t="shared" ca="1" si="19"/>
        <v>45308</v>
      </c>
      <c r="AG220"/>
    </row>
    <row r="221" spans="1:33" s="906" customFormat="1" ht="37.5">
      <c r="A221" s="1199"/>
      <c r="B221" s="960" t="s">
        <v>56</v>
      </c>
      <c r="C221" s="510" t="s">
        <v>60</v>
      </c>
      <c r="D221" s="611" t="s">
        <v>122</v>
      </c>
      <c r="E221" s="611"/>
      <c r="F221" s="611"/>
      <c r="G221" s="611"/>
      <c r="H221" s="511" t="s">
        <v>308</v>
      </c>
      <c r="I221" s="510" t="s">
        <v>47</v>
      </c>
      <c r="J221" s="1595" t="s">
        <v>796</v>
      </c>
      <c r="K221" s="991"/>
      <c r="L221" s="511">
        <v>12</v>
      </c>
      <c r="M221" s="570">
        <f>IF(O221="tbc","",(IFERROR(EDATE($N221,-3),"Invalid procurement method or date entered")))</f>
        <v>44652</v>
      </c>
      <c r="N221" s="514">
        <f>IF(O221="tbc","",(IFERROR(EDATE(O221,-L221),"Invalid procurement method or date entered")))</f>
        <v>44743</v>
      </c>
      <c r="O221" s="572">
        <v>45108</v>
      </c>
      <c r="P221" s="1011">
        <v>3</v>
      </c>
      <c r="Q221" s="684">
        <v>3</v>
      </c>
      <c r="R221" s="1032">
        <v>331727</v>
      </c>
      <c r="S221" s="1044" t="s">
        <v>75</v>
      </c>
      <c r="T221" s="515" t="s">
        <v>62</v>
      </c>
      <c r="U221" s="515" t="s">
        <v>60</v>
      </c>
      <c r="V221" s="515"/>
      <c r="W221" s="576" t="s">
        <v>70</v>
      </c>
      <c r="X221" s="120"/>
      <c r="Y221" s="120"/>
      <c r="Z221" s="120"/>
      <c r="AA221" s="120"/>
      <c r="AB221" s="1081"/>
      <c r="AC221" s="120"/>
      <c r="AD221" s="336"/>
      <c r="AE221"/>
      <c r="AF221">
        <f t="shared" ca="1" si="19"/>
        <v>45308</v>
      </c>
      <c r="AG221"/>
    </row>
    <row r="222" spans="1:33" s="906" customFormat="1" ht="78">
      <c r="A222" s="1249" t="s">
        <v>71</v>
      </c>
      <c r="B222" s="1203" t="s">
        <v>44</v>
      </c>
      <c r="C222" s="1204" t="s">
        <v>45</v>
      </c>
      <c r="D222" s="1205" t="s">
        <v>57</v>
      </c>
      <c r="E222" s="1205"/>
      <c r="F222" s="1205"/>
      <c r="G222" s="1205"/>
      <c r="H222" s="1206" t="s">
        <v>496</v>
      </c>
      <c r="I222" s="1968" t="s">
        <v>47</v>
      </c>
      <c r="J222" s="1975" t="s">
        <v>797</v>
      </c>
      <c r="K222" s="1991"/>
      <c r="L222" s="1206" t="e">
        <f>IF(OR(S222=#REF!,S222=#REF!,S222=#REF!,S222=#REF!,S222=#REF!,S222=#REF!,S222=#REF!,S222=#REF!),12,IF(OR(S222=#REF!,S222=#REF!,S222=#REF!,S222=#REF!,S222=#REF!,S222=#REF!,S222=#REF!),3,IF(S222=#REF!,1,IF(S222=#REF!,18,IF(OR(S222=#REF!,S222=#REF!,S222=#REF!,S222=#REF!,S222=#REF!),14,"Invalid proposed procurement method")))))</f>
        <v>#REF!</v>
      </c>
      <c r="M222" s="1245" t="str">
        <f>IFERROR(EDATE($N222,-3),"Invalid procurement method or date entered")</f>
        <v>Invalid procurement method or date entered</v>
      </c>
      <c r="N222" s="1245" t="str">
        <f>IFERROR(EDATE(O222,-L222),"Invalid procurement method or date entered")</f>
        <v>Invalid procurement method or date entered</v>
      </c>
      <c r="O222" s="2021">
        <v>45108</v>
      </c>
      <c r="P222" s="1991" t="s">
        <v>45</v>
      </c>
      <c r="Q222" s="1304" t="s">
        <v>45</v>
      </c>
      <c r="R222" s="949">
        <v>3150000</v>
      </c>
      <c r="S222" s="1682" t="s">
        <v>45</v>
      </c>
      <c r="T222" s="1968" t="s">
        <v>70</v>
      </c>
      <c r="U222" s="2087"/>
      <c r="V222" s="2087"/>
      <c r="W222" s="1206" t="s">
        <v>798</v>
      </c>
      <c r="X222" s="1968" t="s">
        <v>351</v>
      </c>
      <c r="Y222" s="1206" t="s">
        <v>115</v>
      </c>
      <c r="Z222" s="1206" t="s">
        <v>234</v>
      </c>
      <c r="AA222" s="1206" t="s">
        <v>70</v>
      </c>
      <c r="AB222" s="2122">
        <v>44903</v>
      </c>
      <c r="AC222" s="2136" t="s">
        <v>799</v>
      </c>
      <c r="AD222" s="2150" t="s">
        <v>165</v>
      </c>
      <c r="AE222" s="2159"/>
      <c r="AF222">
        <f t="shared" ca="1" si="19"/>
        <v>405</v>
      </c>
      <c r="AG222" s="950"/>
    </row>
    <row r="223" spans="1:33" s="906" customFormat="1" ht="156">
      <c r="A223" s="749" t="s">
        <v>71</v>
      </c>
      <c r="B223" s="737" t="s">
        <v>44</v>
      </c>
      <c r="C223" s="710" t="s">
        <v>800</v>
      </c>
      <c r="D223" s="1369" t="s">
        <v>32</v>
      </c>
      <c r="E223" s="1369"/>
      <c r="F223" s="1369"/>
      <c r="G223" s="1369"/>
      <c r="H223" s="1319" t="s">
        <v>33</v>
      </c>
      <c r="I223" s="1319" t="s">
        <v>34</v>
      </c>
      <c r="J223" s="1990" t="s">
        <v>801</v>
      </c>
      <c r="K223" s="735" t="s">
        <v>802</v>
      </c>
      <c r="L223" s="710">
        <v>3</v>
      </c>
      <c r="M223" s="711">
        <f>IFERROR(EDATE($N223,-3),"Invalid procurement method or date entered")</f>
        <v>44654</v>
      </c>
      <c r="N223" s="711">
        <f>IFERROR(EDATE(O223,-L223),"Invalid procurement method or date entered")</f>
        <v>44745</v>
      </c>
      <c r="O223" s="1506">
        <v>44837</v>
      </c>
      <c r="P223" s="1175">
        <v>37</v>
      </c>
      <c r="Q223" s="719" t="s">
        <v>803</v>
      </c>
      <c r="R223" s="937">
        <v>81165</v>
      </c>
      <c r="S223" s="700" t="s">
        <v>130</v>
      </c>
      <c r="T223" s="1176" t="s">
        <v>62</v>
      </c>
      <c r="U223" s="844" t="s">
        <v>67</v>
      </c>
      <c r="V223" s="844"/>
      <c r="W223" s="2102" t="s">
        <v>804</v>
      </c>
      <c r="X223" s="1369" t="s">
        <v>39</v>
      </c>
      <c r="Y223" s="700" t="s">
        <v>40</v>
      </c>
      <c r="Z223" s="710" t="s">
        <v>87</v>
      </c>
      <c r="AA223" s="838" t="s">
        <v>38</v>
      </c>
      <c r="AB223" s="2134">
        <v>44785</v>
      </c>
      <c r="AC223" s="699" t="s">
        <v>805</v>
      </c>
      <c r="AD223" s="708" t="s">
        <v>806</v>
      </c>
      <c r="AE223" s="2162"/>
      <c r="AF223">
        <f t="shared" ca="1" si="19"/>
        <v>523</v>
      </c>
      <c r="AG223"/>
    </row>
    <row r="224" spans="1:33" s="906" customFormat="1" ht="29">
      <c r="A224" s="1199"/>
      <c r="B224" s="2783" t="s">
        <v>44</v>
      </c>
      <c r="C224" s="4">
        <v>52510</v>
      </c>
      <c r="D224" s="31" t="s">
        <v>709</v>
      </c>
      <c r="E224" s="31"/>
      <c r="F224" s="31"/>
      <c r="G224" s="31"/>
      <c r="H224" s="5" t="s">
        <v>127</v>
      </c>
      <c r="I224" s="2763" t="s">
        <v>47</v>
      </c>
      <c r="J224" s="16" t="s">
        <v>807</v>
      </c>
      <c r="K224" s="8"/>
      <c r="L224" s="5">
        <v>12</v>
      </c>
      <c r="M224" s="199">
        <v>44656</v>
      </c>
      <c r="N224" s="199">
        <f>IFERROR(EDATE(O224,-L224),"Invalid procurement method or date entered")</f>
        <v>44291</v>
      </c>
      <c r="O224" s="199">
        <v>44656</v>
      </c>
      <c r="P224" s="27">
        <v>11</v>
      </c>
      <c r="Q224" s="283">
        <v>11</v>
      </c>
      <c r="R224" s="209">
        <v>54500</v>
      </c>
      <c r="S224" s="2751" t="s">
        <v>84</v>
      </c>
      <c r="T224" s="5" t="s">
        <v>62</v>
      </c>
      <c r="U224" s="12" t="s">
        <v>45</v>
      </c>
      <c r="V224" s="12"/>
      <c r="W224" s="2763" t="s">
        <v>808</v>
      </c>
      <c r="X224" s="5" t="s">
        <v>254</v>
      </c>
      <c r="Y224" s="2763" t="s">
        <v>40</v>
      </c>
      <c r="Z224" s="2755"/>
      <c r="AA224" s="5" t="s">
        <v>38</v>
      </c>
      <c r="AB224" s="2785">
        <v>44739</v>
      </c>
      <c r="AC224" s="2752" t="s">
        <v>255</v>
      </c>
      <c r="AD224" s="2784" t="s">
        <v>127</v>
      </c>
      <c r="AE224" s="40"/>
      <c r="AF224">
        <f t="shared" ca="1" si="19"/>
        <v>569</v>
      </c>
      <c r="AG224"/>
    </row>
    <row r="225" spans="1:33" s="906" customFormat="1" ht="37.5">
      <c r="A225" s="1199"/>
      <c r="B225" s="960" t="s">
        <v>56</v>
      </c>
      <c r="C225" s="510" t="s">
        <v>60</v>
      </c>
      <c r="D225" s="611" t="s">
        <v>122</v>
      </c>
      <c r="E225" s="611"/>
      <c r="F225" s="611"/>
      <c r="G225" s="611"/>
      <c r="H225" s="511" t="s">
        <v>308</v>
      </c>
      <c r="I225" s="510" t="s">
        <v>47</v>
      </c>
      <c r="J225" s="1595" t="s">
        <v>809</v>
      </c>
      <c r="K225" s="991"/>
      <c r="L225" s="511">
        <v>14</v>
      </c>
      <c r="M225" s="570">
        <v>44658</v>
      </c>
      <c r="N225" s="514">
        <f>IF(O225="tbc","",(IFERROR(EDATE(O225,-L225),"Invalid procurement method or date entered")))</f>
        <v>44317</v>
      </c>
      <c r="O225" s="572">
        <v>44743</v>
      </c>
      <c r="P225" s="1011" t="s">
        <v>60</v>
      </c>
      <c r="Q225" s="684" t="s">
        <v>60</v>
      </c>
      <c r="R225" s="1032">
        <v>80000</v>
      </c>
      <c r="S225" s="1044" t="s">
        <v>45</v>
      </c>
      <c r="T225" s="515" t="s">
        <v>310</v>
      </c>
      <c r="U225" s="515" t="s">
        <v>60</v>
      </c>
      <c r="V225" s="515"/>
      <c r="W225" s="576" t="s">
        <v>70</v>
      </c>
      <c r="X225" s="120"/>
      <c r="Y225" s="120"/>
      <c r="Z225" s="120"/>
      <c r="AA225" s="120"/>
      <c r="AB225" s="1081"/>
      <c r="AC225" s="120"/>
      <c r="AD225" s="336"/>
      <c r="AE225" s="120"/>
      <c r="AF225">
        <f t="shared" ca="1" si="19"/>
        <v>45308</v>
      </c>
      <c r="AG225"/>
    </row>
    <row r="226" spans="1:33" s="906" customFormat="1" ht="37.5">
      <c r="A226" s="1199"/>
      <c r="B226" s="958" t="s">
        <v>56</v>
      </c>
      <c r="C226" s="510" t="s">
        <v>60</v>
      </c>
      <c r="D226" s="511" t="s">
        <v>122</v>
      </c>
      <c r="E226" s="511"/>
      <c r="F226" s="511"/>
      <c r="G226" s="511"/>
      <c r="H226" s="511" t="s">
        <v>308</v>
      </c>
      <c r="I226" s="510" t="s">
        <v>47</v>
      </c>
      <c r="J226" s="1580" t="s">
        <v>810</v>
      </c>
      <c r="K226" s="600"/>
      <c r="L226" s="511">
        <v>14</v>
      </c>
      <c r="M226" s="513">
        <v>44658</v>
      </c>
      <c r="N226" s="514">
        <f>IF(O226="tbc","",(IFERROR(EDATE(O226,-L226),"Invalid procurement method or date entered")))</f>
        <v>44317</v>
      </c>
      <c r="O226" s="534">
        <v>44743</v>
      </c>
      <c r="P226" s="535" t="s">
        <v>60</v>
      </c>
      <c r="Q226" s="535" t="s">
        <v>60</v>
      </c>
      <c r="R226" s="1034">
        <v>249999</v>
      </c>
      <c r="S226" s="515" t="s">
        <v>45</v>
      </c>
      <c r="T226" s="515" t="s">
        <v>310</v>
      </c>
      <c r="U226" s="515" t="s">
        <v>60</v>
      </c>
      <c r="V226" s="515"/>
      <c r="W226" s="521" t="s">
        <v>70</v>
      </c>
      <c r="X226" s="120"/>
      <c r="Y226" s="120"/>
      <c r="Z226" s="186"/>
      <c r="AA226" s="120"/>
      <c r="AB226" s="1081"/>
      <c r="AC226" s="120"/>
      <c r="AD226"/>
      <c r="AE226"/>
      <c r="AF226">
        <f t="shared" ca="1" si="19"/>
        <v>45308</v>
      </c>
      <c r="AG226"/>
    </row>
    <row r="227" spans="1:33" s="906" customFormat="1" ht="78">
      <c r="A227" s="749"/>
      <c r="B227" s="890" t="s">
        <v>56</v>
      </c>
      <c r="C227" s="726" t="s">
        <v>60</v>
      </c>
      <c r="D227" s="730" t="s">
        <v>348</v>
      </c>
      <c r="E227" s="730"/>
      <c r="F227" s="730"/>
      <c r="G227" s="730"/>
      <c r="H227" s="730" t="s">
        <v>308</v>
      </c>
      <c r="I227" s="726" t="s">
        <v>47</v>
      </c>
      <c r="J227" s="1604" t="s">
        <v>811</v>
      </c>
      <c r="K227" s="726"/>
      <c r="L227" s="730">
        <v>12</v>
      </c>
      <c r="M227" s="731">
        <v>44658</v>
      </c>
      <c r="N227" s="712">
        <f>IF(O227="tbc","",(IFERROR(EDATE(O227,-L227),"Invalid procurement method or date entered")))</f>
        <v>44713</v>
      </c>
      <c r="O227" s="759">
        <v>45078</v>
      </c>
      <c r="P227" s="891">
        <v>48</v>
      </c>
      <c r="Q227" s="891" t="s">
        <v>215</v>
      </c>
      <c r="R227" s="742">
        <v>1600000</v>
      </c>
      <c r="S227" s="711" t="s">
        <v>91</v>
      </c>
      <c r="T227" s="711" t="s">
        <v>589</v>
      </c>
      <c r="U227" s="711" t="s">
        <v>589</v>
      </c>
      <c r="V227" s="711"/>
      <c r="W227" s="730" t="s">
        <v>722</v>
      </c>
      <c r="X227" s="730" t="s">
        <v>561</v>
      </c>
      <c r="Y227" s="762" t="s">
        <v>115</v>
      </c>
      <c r="Z227" s="1310" t="s">
        <v>69</v>
      </c>
      <c r="AA227" s="695" t="s">
        <v>70</v>
      </c>
      <c r="AB227" s="2129">
        <v>44886</v>
      </c>
      <c r="AC227" s="935" t="s">
        <v>812</v>
      </c>
      <c r="AD227" s="926"/>
      <c r="AE227" s="926"/>
      <c r="AF227">
        <f t="shared" ca="1" si="19"/>
        <v>422</v>
      </c>
    </row>
    <row r="228" spans="1:33" s="906" customFormat="1" ht="52">
      <c r="A228" s="1235" t="s">
        <v>71</v>
      </c>
      <c r="B228" s="737" t="s">
        <v>44</v>
      </c>
      <c r="C228" s="741" t="s">
        <v>813</v>
      </c>
      <c r="D228" s="1271" t="s">
        <v>32</v>
      </c>
      <c r="E228" s="1271"/>
      <c r="F228" s="1271"/>
      <c r="G228" s="1271"/>
      <c r="H228" s="718" t="s">
        <v>80</v>
      </c>
      <c r="I228" s="718" t="s">
        <v>34</v>
      </c>
      <c r="J228" s="1613" t="s">
        <v>814</v>
      </c>
      <c r="K228" s="1998" t="s">
        <v>815</v>
      </c>
      <c r="L228" s="723" t="e">
        <f>IF(OR(S228=#REF!,S228=#REF!,S228=#REF!,S228=#REF!,S228=#REF!,S228=#REF!,S228=#REF!,S228=#REF!),12,IF(OR(S228=#REF!,S228=#REF!,S228=#REF!,S228=#REF!,S228=#REF!,S228=#REF!,S228=#REF!),3,IF(S228=#REF!,1,IF(S228=#REF!,18,IF(OR(S228=#REF!,S228=#REF!,S228=#REF!,S228=#REF!,S228=#REF!),14,"Invalid proposed procurement method")))))</f>
        <v>#REF!</v>
      </c>
      <c r="M228" s="1246" t="str">
        <f>IFERROR(EDATE($N228,-3),"Invalid procurement method or date entered")</f>
        <v>Invalid procurement method or date entered</v>
      </c>
      <c r="N228" s="1246" t="str">
        <f>IFERROR(EDATE(O228,-L228),"Invalid procurement method or date entered")</f>
        <v>Invalid procurement method or date entered</v>
      </c>
      <c r="O228" s="1246">
        <v>45126</v>
      </c>
      <c r="P228" s="1179">
        <v>36</v>
      </c>
      <c r="Q228" s="723" t="s">
        <v>816</v>
      </c>
      <c r="R228" s="742">
        <v>30000</v>
      </c>
      <c r="S228" s="789" t="s">
        <v>130</v>
      </c>
      <c r="T228" s="1388" t="s">
        <v>38</v>
      </c>
      <c r="U228" s="1507" t="s">
        <v>67</v>
      </c>
      <c r="V228" s="1507"/>
      <c r="W228" s="718" t="s">
        <v>817</v>
      </c>
      <c r="X228" s="2109" t="s">
        <v>39</v>
      </c>
      <c r="Y228" s="723" t="s">
        <v>40</v>
      </c>
      <c r="Z228" s="723" t="s">
        <v>154</v>
      </c>
      <c r="AA228" s="723" t="s">
        <v>70</v>
      </c>
      <c r="AB228" s="720">
        <v>44837</v>
      </c>
      <c r="AC228" s="718" t="s">
        <v>818</v>
      </c>
      <c r="AD228" s="741" t="s">
        <v>80</v>
      </c>
      <c r="AE228" s="807">
        <v>10000</v>
      </c>
      <c r="AF228">
        <f t="shared" ca="1" si="19"/>
        <v>471</v>
      </c>
    </row>
    <row r="229" spans="1:33" s="906" customFormat="1" ht="37.5">
      <c r="A229" s="1199"/>
      <c r="B229" s="960" t="s">
        <v>56</v>
      </c>
      <c r="C229" s="510" t="s">
        <v>60</v>
      </c>
      <c r="D229" s="611" t="s">
        <v>122</v>
      </c>
      <c r="E229" s="611"/>
      <c r="F229" s="611"/>
      <c r="G229" s="611"/>
      <c r="H229" s="511" t="s">
        <v>308</v>
      </c>
      <c r="I229" s="510" t="s">
        <v>47</v>
      </c>
      <c r="J229" s="1580" t="s">
        <v>819</v>
      </c>
      <c r="K229" s="990"/>
      <c r="L229" s="511">
        <v>12</v>
      </c>
      <c r="M229" s="514">
        <v>44672</v>
      </c>
      <c r="N229" s="514">
        <f>IF(O229="tbc","",(IFERROR(EDATE(O229,-L229),"Invalid procurement method or date entered")))</f>
        <v>44378</v>
      </c>
      <c r="O229" s="534">
        <v>44743</v>
      </c>
      <c r="P229" s="1011">
        <v>3</v>
      </c>
      <c r="Q229" s="684">
        <v>3</v>
      </c>
      <c r="R229" s="1034">
        <v>331727</v>
      </c>
      <c r="S229" s="1044" t="s">
        <v>75</v>
      </c>
      <c r="T229" s="515" t="s">
        <v>62</v>
      </c>
      <c r="U229" s="515" t="s">
        <v>60</v>
      </c>
      <c r="V229" s="515"/>
      <c r="W229" s="394" t="s">
        <v>70</v>
      </c>
      <c r="X229" s="120"/>
      <c r="Y229" s="120"/>
      <c r="Z229" s="120"/>
      <c r="AA229" s="120"/>
      <c r="AB229" s="120"/>
      <c r="AC229" s="120"/>
      <c r="AD229" s="336"/>
      <c r="AE229"/>
      <c r="AF229">
        <f t="shared" ca="1" si="19"/>
        <v>45308</v>
      </c>
      <c r="AG229"/>
    </row>
    <row r="230" spans="1:33" s="906" customFormat="1" ht="39">
      <c r="A230" s="1250">
        <v>44838</v>
      </c>
      <c r="B230" s="737" t="s">
        <v>100</v>
      </c>
      <c r="C230" s="707" t="s">
        <v>45</v>
      </c>
      <c r="D230" s="708" t="s">
        <v>110</v>
      </c>
      <c r="E230" s="708"/>
      <c r="F230" s="708"/>
      <c r="G230" s="708"/>
      <c r="H230" s="710" t="s">
        <v>103</v>
      </c>
      <c r="I230" s="710" t="s">
        <v>47</v>
      </c>
      <c r="J230" s="1608" t="s">
        <v>820</v>
      </c>
      <c r="K230" s="710" t="s">
        <v>821</v>
      </c>
      <c r="L230" s="710">
        <v>12</v>
      </c>
      <c r="M230" s="804">
        <f>IFERROR(EDATE(N230,-3),"Invalid procurement method or date entered")</f>
        <v>44676</v>
      </c>
      <c r="N230" s="805">
        <f>IFERROR(EDATE(O230,-L230),"Invalid procurement method or date entered")</f>
        <v>44767</v>
      </c>
      <c r="O230" s="769">
        <v>45132</v>
      </c>
      <c r="P230" s="750">
        <v>48</v>
      </c>
      <c r="Q230" s="723" t="s">
        <v>258</v>
      </c>
      <c r="R230" s="937">
        <v>390000</v>
      </c>
      <c r="S230" s="708" t="s">
        <v>51</v>
      </c>
      <c r="T230" s="710" t="s">
        <v>45</v>
      </c>
      <c r="U230" s="710" t="s">
        <v>45</v>
      </c>
      <c r="V230" s="710"/>
      <c r="W230" s="710" t="s">
        <v>822</v>
      </c>
      <c r="X230" s="710" t="s">
        <v>413</v>
      </c>
      <c r="Y230" s="710" t="s">
        <v>40</v>
      </c>
      <c r="Z230" s="710" t="s">
        <v>69</v>
      </c>
      <c r="AA230" s="710" t="s">
        <v>70</v>
      </c>
      <c r="AB230" s="769">
        <v>44932</v>
      </c>
      <c r="AC230" s="1914" t="s">
        <v>823</v>
      </c>
      <c r="AD230" s="785"/>
      <c r="AE230" s="744"/>
      <c r="AF230">
        <f t="shared" ca="1" si="19"/>
        <v>376</v>
      </c>
    </row>
    <row r="231" spans="1:33" s="906" customFormat="1" ht="50">
      <c r="A231" s="1199"/>
      <c r="B231" s="960" t="s">
        <v>56</v>
      </c>
      <c r="C231" s="510">
        <v>55752</v>
      </c>
      <c r="D231" s="611" t="s">
        <v>57</v>
      </c>
      <c r="E231" s="611"/>
      <c r="F231" s="611"/>
      <c r="G231" s="611"/>
      <c r="H231" s="511" t="s">
        <v>58</v>
      </c>
      <c r="I231" s="510" t="s">
        <v>47</v>
      </c>
      <c r="J231" s="1580" t="s">
        <v>824</v>
      </c>
      <c r="K231" s="600"/>
      <c r="L231" s="511">
        <v>1</v>
      </c>
      <c r="M231" s="513">
        <v>44679</v>
      </c>
      <c r="N231" s="514" t="s">
        <v>60</v>
      </c>
      <c r="O231" s="534">
        <v>44682</v>
      </c>
      <c r="P231" s="1011" t="s">
        <v>60</v>
      </c>
      <c r="Q231" s="684" t="s">
        <v>60</v>
      </c>
      <c r="R231" s="1034">
        <f>150000+1500000</f>
        <v>1650000</v>
      </c>
      <c r="S231" s="515" t="s">
        <v>84</v>
      </c>
      <c r="T231" s="515" t="s">
        <v>62</v>
      </c>
      <c r="U231" s="520" t="s">
        <v>251</v>
      </c>
      <c r="V231" s="520"/>
      <c r="W231" s="521" t="s">
        <v>70</v>
      </c>
      <c r="X231" s="120"/>
      <c r="Y231" s="120"/>
      <c r="Z231" s="120"/>
      <c r="AA231" s="120"/>
      <c r="AB231" s="186"/>
      <c r="AC231" s="120"/>
      <c r="AD231" s="336"/>
      <c r="AE231" s="120"/>
      <c r="AF231">
        <f t="shared" ca="1" si="19"/>
        <v>45308</v>
      </c>
      <c r="AG231"/>
    </row>
    <row r="232" spans="1:33" s="906" customFormat="1" ht="37.5">
      <c r="A232" s="1199"/>
      <c r="B232" s="960" t="s">
        <v>56</v>
      </c>
      <c r="C232" s="510" t="s">
        <v>60</v>
      </c>
      <c r="D232" s="611" t="s">
        <v>122</v>
      </c>
      <c r="E232" s="611"/>
      <c r="F232" s="611"/>
      <c r="G232" s="611"/>
      <c r="H232" s="511" t="s">
        <v>308</v>
      </c>
      <c r="I232" s="510" t="s">
        <v>47</v>
      </c>
      <c r="J232" s="1580" t="s">
        <v>825</v>
      </c>
      <c r="K232" s="600"/>
      <c r="L232" s="511">
        <v>14</v>
      </c>
      <c r="M232" s="513">
        <v>44679</v>
      </c>
      <c r="N232" s="514">
        <v>44652</v>
      </c>
      <c r="O232" s="534">
        <v>44743</v>
      </c>
      <c r="P232" s="1011" t="s">
        <v>60</v>
      </c>
      <c r="Q232" s="684" t="s">
        <v>60</v>
      </c>
      <c r="R232" s="1034">
        <v>249999</v>
      </c>
      <c r="S232" s="1044" t="s">
        <v>45</v>
      </c>
      <c r="T232" s="515" t="s">
        <v>310</v>
      </c>
      <c r="U232" s="520" t="s">
        <v>115</v>
      </c>
      <c r="V232" s="520"/>
      <c r="W232" s="521" t="s">
        <v>70</v>
      </c>
      <c r="X232" s="120"/>
      <c r="Y232" s="120"/>
      <c r="Z232" s="120"/>
      <c r="AA232" s="120"/>
      <c r="AB232" s="120"/>
      <c r="AC232" s="120"/>
      <c r="AD232" s="336"/>
      <c r="AE232" s="120"/>
      <c r="AF232">
        <f t="shared" ca="1" si="19"/>
        <v>45308</v>
      </c>
      <c r="AG232"/>
    </row>
    <row r="233" spans="1:33" s="906" customFormat="1" ht="37.5">
      <c r="A233" s="1199"/>
      <c r="B233" s="960" t="s">
        <v>56</v>
      </c>
      <c r="C233" s="510" t="s">
        <v>60</v>
      </c>
      <c r="D233" s="611" t="s">
        <v>122</v>
      </c>
      <c r="E233" s="611"/>
      <c r="F233" s="611"/>
      <c r="G233" s="611"/>
      <c r="H233" s="511" t="s">
        <v>308</v>
      </c>
      <c r="I233" s="510" t="s">
        <v>47</v>
      </c>
      <c r="J233" s="1580" t="s">
        <v>826</v>
      </c>
      <c r="K233" s="600"/>
      <c r="L233" s="511">
        <v>14</v>
      </c>
      <c r="M233" s="513">
        <v>44679</v>
      </c>
      <c r="N233" s="514">
        <v>44652</v>
      </c>
      <c r="O233" s="534">
        <v>44743</v>
      </c>
      <c r="P233" s="1011" t="s">
        <v>60</v>
      </c>
      <c r="Q233" s="684" t="s">
        <v>60</v>
      </c>
      <c r="R233" s="1034">
        <v>249999</v>
      </c>
      <c r="S233" s="1044" t="s">
        <v>45</v>
      </c>
      <c r="T233" s="515" t="s">
        <v>310</v>
      </c>
      <c r="U233" s="520" t="s">
        <v>251</v>
      </c>
      <c r="V233" s="520"/>
      <c r="W233" s="521" t="s">
        <v>70</v>
      </c>
      <c r="X233" s="120"/>
      <c r="Y233" s="120"/>
      <c r="Z233" s="120"/>
      <c r="AA233" s="120"/>
      <c r="AB233" s="186"/>
      <c r="AC233" s="120"/>
      <c r="AD233" s="336"/>
      <c r="AE233" s="120"/>
      <c r="AF233">
        <f t="shared" ca="1" si="19"/>
        <v>45308</v>
      </c>
      <c r="AG233"/>
    </row>
    <row r="234" spans="1:33" s="908" customFormat="1" ht="104">
      <c r="A234" s="951"/>
      <c r="B234" s="1659" t="s">
        <v>56</v>
      </c>
      <c r="C234" s="862" t="s">
        <v>60</v>
      </c>
      <c r="D234" s="866" t="s">
        <v>122</v>
      </c>
      <c r="E234" s="866"/>
      <c r="F234" s="866"/>
      <c r="G234" s="866"/>
      <c r="H234" s="864" t="s">
        <v>308</v>
      </c>
      <c r="I234" s="865" t="s">
        <v>47</v>
      </c>
      <c r="J234" s="1619" t="s">
        <v>827</v>
      </c>
      <c r="K234" s="865"/>
      <c r="L234" s="866">
        <v>14</v>
      </c>
      <c r="M234" s="867">
        <v>44679</v>
      </c>
      <c r="N234" s="868">
        <v>44652</v>
      </c>
      <c r="O234" s="869">
        <v>44743</v>
      </c>
      <c r="P234" s="870" t="s">
        <v>60</v>
      </c>
      <c r="Q234" s="871" t="s">
        <v>60</v>
      </c>
      <c r="R234" s="949">
        <v>249999</v>
      </c>
      <c r="S234" s="872" t="s">
        <v>45</v>
      </c>
      <c r="T234" s="872" t="s">
        <v>310</v>
      </c>
      <c r="U234" s="872" t="s">
        <v>60</v>
      </c>
      <c r="V234" s="872"/>
      <c r="W234" s="865" t="s">
        <v>714</v>
      </c>
      <c r="X234" s="866" t="s">
        <v>351</v>
      </c>
      <c r="Y234" s="873" t="s">
        <v>115</v>
      </c>
      <c r="Z234" s="874" t="s">
        <v>154</v>
      </c>
      <c r="AA234" s="875" t="s">
        <v>70</v>
      </c>
      <c r="AB234" s="1171">
        <v>44735</v>
      </c>
      <c r="AC234" s="2141" t="s">
        <v>828</v>
      </c>
      <c r="AD234" s="869"/>
      <c r="AE234" s="869"/>
      <c r="AF234">
        <f t="shared" ca="1" si="19"/>
        <v>573</v>
      </c>
      <c r="AG234" s="906"/>
    </row>
    <row r="235" spans="1:33" s="906" customFormat="1" ht="50">
      <c r="A235" s="1199"/>
      <c r="B235" s="958" t="s">
        <v>56</v>
      </c>
      <c r="C235" s="510" t="s">
        <v>60</v>
      </c>
      <c r="D235" s="511" t="s">
        <v>57</v>
      </c>
      <c r="E235" s="511"/>
      <c r="F235" s="511"/>
      <c r="G235" s="511"/>
      <c r="H235" s="511" t="s">
        <v>58</v>
      </c>
      <c r="I235" s="510" t="s">
        <v>47</v>
      </c>
      <c r="J235" s="1580" t="s">
        <v>829</v>
      </c>
      <c r="K235" s="600"/>
      <c r="L235" s="511">
        <v>1</v>
      </c>
      <c r="M235" s="513">
        <v>44679</v>
      </c>
      <c r="N235" s="514" t="s">
        <v>60</v>
      </c>
      <c r="O235" s="534">
        <v>44770</v>
      </c>
      <c r="P235" s="535" t="s">
        <v>60</v>
      </c>
      <c r="Q235" s="535" t="s">
        <v>60</v>
      </c>
      <c r="R235" s="2065">
        <v>40000</v>
      </c>
      <c r="S235" s="515" t="s">
        <v>176</v>
      </c>
      <c r="T235" s="515" t="s">
        <v>589</v>
      </c>
      <c r="U235" s="520" t="s">
        <v>727</v>
      </c>
      <c r="V235" s="520"/>
      <c r="W235" s="521" t="s">
        <v>70</v>
      </c>
      <c r="X235" s="120"/>
      <c r="Y235" s="120"/>
      <c r="Z235" s="186"/>
      <c r="AA235" s="120"/>
      <c r="AB235" s="336"/>
      <c r="AC235" s="1080"/>
      <c r="AD235"/>
      <c r="AE235"/>
      <c r="AF235">
        <f t="shared" ca="1" si="19"/>
        <v>45308</v>
      </c>
      <c r="AG235"/>
    </row>
    <row r="236" spans="1:33" s="906" customFormat="1" ht="409.5">
      <c r="A236" s="749"/>
      <c r="B236" s="725" t="s">
        <v>56</v>
      </c>
      <c r="C236" s="726" t="s">
        <v>60</v>
      </c>
      <c r="D236" s="727" t="s">
        <v>348</v>
      </c>
      <c r="E236" s="727"/>
      <c r="F236" s="727"/>
      <c r="G236" s="727"/>
      <c r="H236" s="728" t="s">
        <v>58</v>
      </c>
      <c r="I236" s="709" t="s">
        <v>47</v>
      </c>
      <c r="J236" s="1608" t="s">
        <v>830</v>
      </c>
      <c r="K236" s="709"/>
      <c r="L236" s="730">
        <v>3</v>
      </c>
      <c r="M236" s="731">
        <v>44679</v>
      </c>
      <c r="N236" s="712">
        <f>IF(O236="tbc","",(IFERROR(EDATE(O236,-L236),"Invalid procurement method or date entered")))</f>
        <v>44679</v>
      </c>
      <c r="O236" s="711">
        <v>44770</v>
      </c>
      <c r="P236" s="732" t="s">
        <v>60</v>
      </c>
      <c r="Q236" s="733" t="s">
        <v>60</v>
      </c>
      <c r="R236" s="742">
        <v>300000</v>
      </c>
      <c r="S236" s="734" t="s">
        <v>61</v>
      </c>
      <c r="T236" s="711" t="s">
        <v>589</v>
      </c>
      <c r="U236" s="726" t="s">
        <v>60</v>
      </c>
      <c r="V236" s="726"/>
      <c r="W236" s="709" t="s">
        <v>831</v>
      </c>
      <c r="X236" s="730" t="s">
        <v>312</v>
      </c>
      <c r="Y236" s="762" t="s">
        <v>115</v>
      </c>
      <c r="Z236" s="736" t="s">
        <v>154</v>
      </c>
      <c r="AA236" s="752" t="s">
        <v>70</v>
      </c>
      <c r="AB236" s="778">
        <v>44840</v>
      </c>
      <c r="AC236" s="2145" t="s">
        <v>832</v>
      </c>
      <c r="AD236" s="2154"/>
      <c r="AE236" s="829"/>
      <c r="AF236">
        <f t="shared" ca="1" si="19"/>
        <v>468</v>
      </c>
    </row>
    <row r="237" spans="1:33" s="906" customFormat="1" ht="195">
      <c r="A237" s="749"/>
      <c r="B237" s="725" t="s">
        <v>56</v>
      </c>
      <c r="C237" s="726" t="s">
        <v>60</v>
      </c>
      <c r="D237" s="727" t="s">
        <v>348</v>
      </c>
      <c r="E237" s="727"/>
      <c r="F237" s="727"/>
      <c r="G237" s="727"/>
      <c r="H237" s="728" t="s">
        <v>58</v>
      </c>
      <c r="I237" s="729" t="s">
        <v>47</v>
      </c>
      <c r="J237" s="1604" t="s">
        <v>833</v>
      </c>
      <c r="K237" s="729"/>
      <c r="L237" s="730">
        <v>3</v>
      </c>
      <c r="M237" s="731">
        <v>44679</v>
      </c>
      <c r="N237" s="712">
        <f>IF(O237="tbc","",(IFERROR(EDATE(O237,-L237),"Invalid procurement method or date entered")))</f>
        <v>44685</v>
      </c>
      <c r="O237" s="759">
        <v>44777</v>
      </c>
      <c r="P237" s="760">
        <v>1</v>
      </c>
      <c r="Q237" s="761">
        <v>1</v>
      </c>
      <c r="R237" s="742">
        <f>150000+50000+10000</f>
        <v>210000</v>
      </c>
      <c r="S237" s="734" t="s">
        <v>61</v>
      </c>
      <c r="T237" s="711" t="s">
        <v>589</v>
      </c>
      <c r="U237" s="711" t="s">
        <v>60</v>
      </c>
      <c r="V237" s="711"/>
      <c r="W237" s="729" t="s">
        <v>834</v>
      </c>
      <c r="X237" s="730" t="s">
        <v>312</v>
      </c>
      <c r="Y237" s="762" t="s">
        <v>115</v>
      </c>
      <c r="Z237" s="762" t="s">
        <v>154</v>
      </c>
      <c r="AA237" s="695" t="s">
        <v>70</v>
      </c>
      <c r="AB237" s="764">
        <v>44840</v>
      </c>
      <c r="AC237" s="935" t="s">
        <v>835</v>
      </c>
      <c r="AD237" s="923"/>
      <c r="AE237" s="920"/>
      <c r="AF237">
        <f t="shared" ca="1" si="19"/>
        <v>468</v>
      </c>
    </row>
    <row r="238" spans="1:33" s="906" customFormat="1" ht="117">
      <c r="A238" s="951"/>
      <c r="B238" s="861" t="s">
        <v>56</v>
      </c>
      <c r="C238" s="862" t="s">
        <v>60</v>
      </c>
      <c r="D238" s="863" t="s">
        <v>348</v>
      </c>
      <c r="E238" s="863"/>
      <c r="F238" s="863"/>
      <c r="G238" s="863"/>
      <c r="H238" s="864" t="s">
        <v>58</v>
      </c>
      <c r="I238" s="865" t="s">
        <v>47</v>
      </c>
      <c r="J238" s="1619" t="s">
        <v>836</v>
      </c>
      <c r="K238" s="865"/>
      <c r="L238" s="866">
        <v>1</v>
      </c>
      <c r="M238" s="867">
        <v>44679</v>
      </c>
      <c r="N238" s="868" t="s">
        <v>60</v>
      </c>
      <c r="O238" s="869" t="s">
        <v>837</v>
      </c>
      <c r="P238" s="870" t="s">
        <v>60</v>
      </c>
      <c r="Q238" s="871" t="s">
        <v>60</v>
      </c>
      <c r="R238" s="949">
        <f>23*100000</f>
        <v>2300000</v>
      </c>
      <c r="S238" s="953" t="s">
        <v>158</v>
      </c>
      <c r="T238" s="872" t="s">
        <v>589</v>
      </c>
      <c r="U238" s="872" t="s">
        <v>589</v>
      </c>
      <c r="V238" s="872"/>
      <c r="W238" s="865" t="s">
        <v>722</v>
      </c>
      <c r="X238" s="866" t="s">
        <v>351</v>
      </c>
      <c r="Y238" s="873" t="s">
        <v>594</v>
      </c>
      <c r="Z238" s="874" t="s">
        <v>69</v>
      </c>
      <c r="AA238" s="875" t="s">
        <v>70</v>
      </c>
      <c r="AB238" s="952">
        <v>44797</v>
      </c>
      <c r="AC238" s="2143" t="s">
        <v>838</v>
      </c>
      <c r="AD238" s="2156" t="s">
        <v>80</v>
      </c>
      <c r="AE238" s="869"/>
      <c r="AF238">
        <f t="shared" ca="1" si="19"/>
        <v>511</v>
      </c>
    </row>
    <row r="239" spans="1:33" s="906" customFormat="1" ht="182">
      <c r="A239" s="951"/>
      <c r="B239" s="861" t="s">
        <v>56</v>
      </c>
      <c r="C239" s="862" t="s">
        <v>60</v>
      </c>
      <c r="D239" s="863" t="s">
        <v>348</v>
      </c>
      <c r="E239" s="863"/>
      <c r="F239" s="863"/>
      <c r="G239" s="863"/>
      <c r="H239" s="864" t="s">
        <v>58</v>
      </c>
      <c r="I239" s="865" t="s">
        <v>47</v>
      </c>
      <c r="J239" s="1619" t="s">
        <v>839</v>
      </c>
      <c r="K239" s="865"/>
      <c r="L239" s="866">
        <v>3</v>
      </c>
      <c r="M239" s="867">
        <v>44679</v>
      </c>
      <c r="N239" s="868" t="str">
        <f>IF(O239="tbc","",(IFERROR(EDATE(O239,-L239),"Invalid procurement method or date entered")))</f>
        <v/>
      </c>
      <c r="O239" s="869" t="s">
        <v>60</v>
      </c>
      <c r="P239" s="870">
        <v>1</v>
      </c>
      <c r="Q239" s="871">
        <v>1</v>
      </c>
      <c r="R239" s="949">
        <v>770000</v>
      </c>
      <c r="S239" s="953" t="s">
        <v>61</v>
      </c>
      <c r="T239" s="872" t="s">
        <v>71</v>
      </c>
      <c r="U239" s="872" t="s">
        <v>589</v>
      </c>
      <c r="V239" s="872"/>
      <c r="W239" s="865" t="s">
        <v>840</v>
      </c>
      <c r="X239" s="866" t="s">
        <v>351</v>
      </c>
      <c r="Y239" s="873" t="s">
        <v>594</v>
      </c>
      <c r="Z239" s="874" t="s">
        <v>154</v>
      </c>
      <c r="AA239" s="875" t="s">
        <v>70</v>
      </c>
      <c r="AB239" s="952">
        <v>44769</v>
      </c>
      <c r="AC239" s="2135" t="s">
        <v>841</v>
      </c>
      <c r="AD239" s="1659"/>
      <c r="AE239" s="862"/>
      <c r="AF239">
        <f t="shared" ca="1" si="19"/>
        <v>539</v>
      </c>
    </row>
    <row r="240" spans="1:33" s="906" customFormat="1">
      <c r="A240" s="1250">
        <v>44795</v>
      </c>
      <c r="B240" s="782" t="s">
        <v>44</v>
      </c>
      <c r="C240" s="738" t="s">
        <v>45</v>
      </c>
      <c r="D240" s="808" t="s">
        <v>32</v>
      </c>
      <c r="E240" s="808"/>
      <c r="F240" s="808"/>
      <c r="G240" s="808"/>
      <c r="H240" s="710" t="s">
        <v>33</v>
      </c>
      <c r="I240" s="738" t="s">
        <v>47</v>
      </c>
      <c r="J240" s="1608" t="s">
        <v>842</v>
      </c>
      <c r="K240" s="710" t="s">
        <v>843</v>
      </c>
      <c r="L240" s="710">
        <v>3</v>
      </c>
      <c r="M240" s="769">
        <f>IFERROR(EDATE($N240,-3),"Invalid procurement method or date entered")</f>
        <v>44681</v>
      </c>
      <c r="N240" s="769">
        <f>IFERROR(EDATE(O240,-L240),"Invalid procurement method or date entered")</f>
        <v>44773</v>
      </c>
      <c r="O240" s="947">
        <v>44865</v>
      </c>
      <c r="P240" s="738">
        <v>4</v>
      </c>
      <c r="Q240" s="903" t="s">
        <v>844</v>
      </c>
      <c r="R240" s="937">
        <v>44250</v>
      </c>
      <c r="S240" s="710" t="s">
        <v>84</v>
      </c>
      <c r="T240" s="710" t="s">
        <v>38</v>
      </c>
      <c r="U240" s="738" t="s">
        <v>67</v>
      </c>
      <c r="V240" s="738"/>
      <c r="W240" s="738" t="s">
        <v>845</v>
      </c>
      <c r="X240" s="710" t="s">
        <v>254</v>
      </c>
      <c r="Y240" s="710" t="s">
        <v>40</v>
      </c>
      <c r="Z240" s="750" t="s">
        <v>154</v>
      </c>
      <c r="AA240" s="884" t="s">
        <v>38</v>
      </c>
      <c r="AB240" s="1315">
        <v>44890</v>
      </c>
      <c r="AC240" s="811" t="s">
        <v>846</v>
      </c>
      <c r="AD240" s="843" t="s">
        <v>164</v>
      </c>
      <c r="AE240" s="1817"/>
      <c r="AF240">
        <f t="shared" ca="1" si="19"/>
        <v>418</v>
      </c>
    </row>
    <row r="241" spans="1:33" s="906" customFormat="1" ht="52">
      <c r="A241" s="951">
        <v>44693</v>
      </c>
      <c r="B241" s="861" t="s">
        <v>56</v>
      </c>
      <c r="C241" s="862" t="s">
        <v>60</v>
      </c>
      <c r="D241" s="863" t="s">
        <v>847</v>
      </c>
      <c r="E241" s="863"/>
      <c r="F241" s="863"/>
      <c r="G241" s="863"/>
      <c r="H241" s="864" t="s">
        <v>58</v>
      </c>
      <c r="I241" s="865" t="s">
        <v>47</v>
      </c>
      <c r="J241" s="1619" t="s">
        <v>848</v>
      </c>
      <c r="K241" s="865"/>
      <c r="L241" s="866">
        <v>1</v>
      </c>
      <c r="M241" s="867">
        <v>44682</v>
      </c>
      <c r="N241" s="868" t="s">
        <v>60</v>
      </c>
      <c r="O241" s="869">
        <v>44732</v>
      </c>
      <c r="P241" s="870">
        <v>1</v>
      </c>
      <c r="Q241" s="871">
        <v>1</v>
      </c>
      <c r="R241" s="949">
        <v>25000</v>
      </c>
      <c r="S241" s="953" t="s">
        <v>176</v>
      </c>
      <c r="T241" s="872" t="s">
        <v>589</v>
      </c>
      <c r="U241" s="872" t="s">
        <v>60</v>
      </c>
      <c r="V241" s="872"/>
      <c r="W241" s="865" t="s">
        <v>750</v>
      </c>
      <c r="X241" s="873" t="s">
        <v>351</v>
      </c>
      <c r="Y241" s="873" t="s">
        <v>594</v>
      </c>
      <c r="Z241" s="874" t="s">
        <v>154</v>
      </c>
      <c r="AA241" s="875" t="s">
        <v>70</v>
      </c>
      <c r="AB241" s="952">
        <v>44841</v>
      </c>
      <c r="AC241" s="2143" t="s">
        <v>849</v>
      </c>
      <c r="AD241" s="2156"/>
      <c r="AE241" s="1924"/>
      <c r="AF241">
        <f t="shared" ca="1" si="19"/>
        <v>467</v>
      </c>
    </row>
    <row r="242" spans="1:33" s="906" customFormat="1" ht="39">
      <c r="A242" s="749" t="s">
        <v>71</v>
      </c>
      <c r="B242" s="737" t="s">
        <v>44</v>
      </c>
      <c r="C242" s="738" t="s">
        <v>45</v>
      </c>
      <c r="D242" s="739" t="s">
        <v>709</v>
      </c>
      <c r="E242" s="739"/>
      <c r="F242" s="739"/>
      <c r="G242" s="739"/>
      <c r="H242" s="709" t="s">
        <v>46</v>
      </c>
      <c r="I242" s="709" t="s">
        <v>47</v>
      </c>
      <c r="J242" s="1608" t="s">
        <v>850</v>
      </c>
      <c r="K242" s="709" t="s">
        <v>851</v>
      </c>
      <c r="L242" s="710">
        <v>10</v>
      </c>
      <c r="M242" s="711">
        <v>44682</v>
      </c>
      <c r="N242" s="711">
        <f>IFERROR(EDATE(O242,-L242),"Invalid procurement method or date entered")</f>
        <v>44440</v>
      </c>
      <c r="O242" s="770">
        <v>44743</v>
      </c>
      <c r="P242" s="740">
        <v>12</v>
      </c>
      <c r="Q242" s="766" t="s">
        <v>50</v>
      </c>
      <c r="R242" s="742">
        <v>29700</v>
      </c>
      <c r="S242" s="710" t="s">
        <v>75</v>
      </c>
      <c r="T242" s="836" t="s">
        <v>38</v>
      </c>
      <c r="U242" s="856" t="s">
        <v>67</v>
      </c>
      <c r="V242" s="856"/>
      <c r="W242" s="709" t="s">
        <v>852</v>
      </c>
      <c r="X242" s="808" t="s">
        <v>54</v>
      </c>
      <c r="Y242" s="710" t="s">
        <v>40</v>
      </c>
      <c r="Z242" s="710" t="s">
        <v>154</v>
      </c>
      <c r="AA242" s="710" t="s">
        <v>38</v>
      </c>
      <c r="AB242" s="745">
        <v>44785</v>
      </c>
      <c r="AC242" s="918" t="s">
        <v>853</v>
      </c>
      <c r="AD242" s="708" t="s">
        <v>46</v>
      </c>
      <c r="AE242" s="809">
        <v>29700</v>
      </c>
      <c r="AF242">
        <f t="shared" ca="1" si="19"/>
        <v>523</v>
      </c>
    </row>
    <row r="243" spans="1:33" s="906" customFormat="1" ht="65">
      <c r="A243" s="749"/>
      <c r="B243" s="725" t="s">
        <v>56</v>
      </c>
      <c r="C243" s="726" t="s">
        <v>60</v>
      </c>
      <c r="D243" s="730" t="s">
        <v>847</v>
      </c>
      <c r="E243" s="730"/>
      <c r="F243" s="730"/>
      <c r="G243" s="730"/>
      <c r="H243" s="728" t="s">
        <v>58</v>
      </c>
      <c r="I243" s="729" t="s">
        <v>47</v>
      </c>
      <c r="J243" s="1604" t="s">
        <v>854</v>
      </c>
      <c r="K243" s="729"/>
      <c r="L243" s="730">
        <v>1</v>
      </c>
      <c r="M243" s="731">
        <v>44682</v>
      </c>
      <c r="N243" s="712">
        <v>44682</v>
      </c>
      <c r="O243" s="759">
        <v>44774</v>
      </c>
      <c r="P243" s="760" t="s">
        <v>60</v>
      </c>
      <c r="Q243" s="761" t="s">
        <v>60</v>
      </c>
      <c r="R243" s="742">
        <v>60000</v>
      </c>
      <c r="S243" s="734" t="s">
        <v>182</v>
      </c>
      <c r="T243" s="711" t="s">
        <v>589</v>
      </c>
      <c r="U243" s="711" t="s">
        <v>589</v>
      </c>
      <c r="V243" s="711"/>
      <c r="W243" s="729" t="s">
        <v>855</v>
      </c>
      <c r="X243" s="730" t="s">
        <v>206</v>
      </c>
      <c r="Y243" s="900" t="s">
        <v>40</v>
      </c>
      <c r="Z243" s="736" t="s">
        <v>154</v>
      </c>
      <c r="AA243" s="695" t="s">
        <v>70</v>
      </c>
      <c r="AB243" s="778">
        <v>44817</v>
      </c>
      <c r="AC243" s="934" t="s">
        <v>856</v>
      </c>
      <c r="AD243" s="925"/>
      <c r="AE243" s="759"/>
      <c r="AF243">
        <f t="shared" ca="1" si="19"/>
        <v>491</v>
      </c>
    </row>
    <row r="244" spans="1:33" s="906" customFormat="1" ht="65">
      <c r="A244" s="749"/>
      <c r="B244" s="725" t="s">
        <v>56</v>
      </c>
      <c r="C244" s="726" t="s">
        <v>60</v>
      </c>
      <c r="D244" s="727" t="s">
        <v>847</v>
      </c>
      <c r="E244" s="727"/>
      <c r="F244" s="727"/>
      <c r="G244" s="727"/>
      <c r="H244" s="728" t="s">
        <v>58</v>
      </c>
      <c r="I244" s="729" t="s">
        <v>47</v>
      </c>
      <c r="J244" s="1604" t="s">
        <v>854</v>
      </c>
      <c r="K244" s="729"/>
      <c r="L244" s="730">
        <v>1</v>
      </c>
      <c r="M244" s="731">
        <v>44682</v>
      </c>
      <c r="N244" s="712">
        <v>44682</v>
      </c>
      <c r="O244" s="759">
        <v>44774</v>
      </c>
      <c r="P244" s="760" t="s">
        <v>60</v>
      </c>
      <c r="Q244" s="761" t="s">
        <v>60</v>
      </c>
      <c r="R244" s="742">
        <v>60000</v>
      </c>
      <c r="S244" s="711" t="s">
        <v>182</v>
      </c>
      <c r="T244" s="711" t="s">
        <v>589</v>
      </c>
      <c r="U244" s="711" t="s">
        <v>589</v>
      </c>
      <c r="V244" s="711"/>
      <c r="W244" s="729" t="s">
        <v>855</v>
      </c>
      <c r="X244" s="730" t="s">
        <v>206</v>
      </c>
      <c r="Y244" s="900" t="s">
        <v>40</v>
      </c>
      <c r="Z244" s="736" t="s">
        <v>154</v>
      </c>
      <c r="AA244" s="752" t="s">
        <v>70</v>
      </c>
      <c r="AB244" s="778">
        <v>44817</v>
      </c>
      <c r="AC244" s="934" t="s">
        <v>856</v>
      </c>
      <c r="AD244" s="925"/>
      <c r="AE244" s="759"/>
      <c r="AF244">
        <f t="shared" ca="1" si="19"/>
        <v>491</v>
      </c>
    </row>
    <row r="245" spans="1:33" s="906" customFormat="1" ht="29">
      <c r="A245" s="1199"/>
      <c r="B245" s="2783" t="s">
        <v>44</v>
      </c>
      <c r="C245" s="4" t="s">
        <v>45</v>
      </c>
      <c r="D245" s="31" t="s">
        <v>32</v>
      </c>
      <c r="E245" s="31"/>
      <c r="F245" s="31"/>
      <c r="G245" s="31"/>
      <c r="H245" s="71" t="s">
        <v>506</v>
      </c>
      <c r="I245" s="5" t="s">
        <v>34</v>
      </c>
      <c r="J245" s="353" t="s">
        <v>857</v>
      </c>
      <c r="K245" s="353"/>
      <c r="L245" s="5">
        <v>3</v>
      </c>
      <c r="M245" s="199">
        <f t="shared" ref="M245:M250" si="20">IFERROR(EDATE($N245,-3),"Invalid procurement method or date entered")</f>
        <v>44682</v>
      </c>
      <c r="N245" s="199">
        <f t="shared" ref="N245:N251" si="21">IFERROR(EDATE(O245,-L245),"Invalid procurement method or date entered")</f>
        <v>44774</v>
      </c>
      <c r="O245" s="65">
        <v>44866</v>
      </c>
      <c r="P245" s="2786">
        <v>30</v>
      </c>
      <c r="Q245" s="2787" t="s">
        <v>858</v>
      </c>
      <c r="R245" s="2788">
        <v>84000</v>
      </c>
      <c r="S245" s="2074" t="s">
        <v>130</v>
      </c>
      <c r="T245" s="2081" t="s">
        <v>62</v>
      </c>
      <c r="U245" s="323" t="s">
        <v>45</v>
      </c>
      <c r="V245" s="323"/>
      <c r="W245" s="71" t="s">
        <v>617</v>
      </c>
      <c r="X245" s="5" t="s">
        <v>39</v>
      </c>
      <c r="Y245" s="5" t="s">
        <v>40</v>
      </c>
      <c r="Z245" s="5" t="s">
        <v>154</v>
      </c>
      <c r="AA245" s="26" t="s">
        <v>38</v>
      </c>
      <c r="AB245" s="199">
        <v>44750</v>
      </c>
      <c r="AC245" s="64" t="s">
        <v>859</v>
      </c>
      <c r="AD245" s="1931" t="s">
        <v>860</v>
      </c>
      <c r="AE245" s="40"/>
      <c r="AF245">
        <f t="shared" ca="1" si="19"/>
        <v>558</v>
      </c>
      <c r="AG245"/>
    </row>
    <row r="246" spans="1:33" s="906" customFormat="1" ht="37">
      <c r="A246" s="749" t="s">
        <v>71</v>
      </c>
      <c r="B246" s="737" t="s">
        <v>44</v>
      </c>
      <c r="C246" s="738" t="s">
        <v>861</v>
      </c>
      <c r="D246" s="739" t="s">
        <v>32</v>
      </c>
      <c r="E246" s="739"/>
      <c r="F246" s="739"/>
      <c r="G246" s="739"/>
      <c r="H246" s="709" t="s">
        <v>862</v>
      </c>
      <c r="I246" s="709" t="s">
        <v>34</v>
      </c>
      <c r="J246" s="1602" t="s">
        <v>863</v>
      </c>
      <c r="K246" s="811" t="s">
        <v>864</v>
      </c>
      <c r="L246" s="710">
        <v>8</v>
      </c>
      <c r="M246" s="711">
        <f t="shared" si="20"/>
        <v>44682</v>
      </c>
      <c r="N246" s="711">
        <f t="shared" si="21"/>
        <v>44774</v>
      </c>
      <c r="O246" s="711">
        <v>45017</v>
      </c>
      <c r="P246" s="750">
        <v>36</v>
      </c>
      <c r="Q246" s="723" t="s">
        <v>865</v>
      </c>
      <c r="R246" s="742">
        <v>60000</v>
      </c>
      <c r="S246" s="723" t="s">
        <v>130</v>
      </c>
      <c r="T246" s="2083" t="s">
        <v>70</v>
      </c>
      <c r="U246" s="837" t="s">
        <v>45</v>
      </c>
      <c r="V246" s="837"/>
      <c r="W246" s="709" t="s">
        <v>866</v>
      </c>
      <c r="X246" s="710" t="s">
        <v>39</v>
      </c>
      <c r="Y246" s="710" t="s">
        <v>40</v>
      </c>
      <c r="Z246" s="710" t="s">
        <v>69</v>
      </c>
      <c r="AA246" s="710" t="s">
        <v>70</v>
      </c>
      <c r="AB246" s="745" t="s">
        <v>302</v>
      </c>
      <c r="AC246" s="811" t="s">
        <v>867</v>
      </c>
      <c r="AD246" s="785" t="s">
        <v>506</v>
      </c>
      <c r="AE246" s="883" t="s">
        <v>45</v>
      </c>
      <c r="AF246" t="str">
        <f t="shared" ca="1" si="19"/>
        <v>N/A</v>
      </c>
      <c r="AG246"/>
    </row>
    <row r="247" spans="1:33" s="906" customFormat="1" ht="37">
      <c r="A247" s="749">
        <v>44791</v>
      </c>
      <c r="B247" s="737" t="s">
        <v>44</v>
      </c>
      <c r="C247" s="738" t="s">
        <v>868</v>
      </c>
      <c r="D247" s="739" t="s">
        <v>32</v>
      </c>
      <c r="E247" s="739"/>
      <c r="F247" s="739"/>
      <c r="G247" s="739"/>
      <c r="H247" s="709" t="s">
        <v>862</v>
      </c>
      <c r="I247" s="709" t="s">
        <v>34</v>
      </c>
      <c r="J247" s="1602" t="s">
        <v>869</v>
      </c>
      <c r="K247" s="811" t="s">
        <v>870</v>
      </c>
      <c r="L247" s="710">
        <v>8</v>
      </c>
      <c r="M247" s="711">
        <f t="shared" si="20"/>
        <v>44682</v>
      </c>
      <c r="N247" s="711">
        <f t="shared" si="21"/>
        <v>44774</v>
      </c>
      <c r="O247" s="711">
        <v>45017</v>
      </c>
      <c r="P247" s="750">
        <v>36</v>
      </c>
      <c r="Q247" s="723" t="s">
        <v>865</v>
      </c>
      <c r="R247" s="742">
        <v>15000</v>
      </c>
      <c r="S247" s="698" t="s">
        <v>130</v>
      </c>
      <c r="T247" s="860" t="s">
        <v>70</v>
      </c>
      <c r="U247" s="837" t="s">
        <v>38</v>
      </c>
      <c r="V247" s="837"/>
      <c r="W247" s="709" t="s">
        <v>866</v>
      </c>
      <c r="X247" s="710" t="s">
        <v>39</v>
      </c>
      <c r="Y247" s="710" t="s">
        <v>40</v>
      </c>
      <c r="Z247" s="710" t="s">
        <v>69</v>
      </c>
      <c r="AA247" s="710" t="s">
        <v>70</v>
      </c>
      <c r="AB247" s="745" t="s">
        <v>302</v>
      </c>
      <c r="AC247" s="709" t="s">
        <v>871</v>
      </c>
      <c r="AD247" s="785"/>
      <c r="AE247" s="772"/>
      <c r="AF247" t="str">
        <f t="shared" ca="1" si="19"/>
        <v>N/A</v>
      </c>
      <c r="AG247"/>
    </row>
    <row r="248" spans="1:33" s="906" customFormat="1" ht="26">
      <c r="A248" s="749">
        <v>44789</v>
      </c>
      <c r="B248" s="737" t="s">
        <v>44</v>
      </c>
      <c r="C248" s="738" t="s">
        <v>868</v>
      </c>
      <c r="D248" s="739" t="s">
        <v>32</v>
      </c>
      <c r="E248" s="739"/>
      <c r="F248" s="739"/>
      <c r="G248" s="739"/>
      <c r="H248" s="709" t="s">
        <v>862</v>
      </c>
      <c r="I248" s="709" t="s">
        <v>34</v>
      </c>
      <c r="J248" s="1602" t="s">
        <v>872</v>
      </c>
      <c r="K248" s="811" t="s">
        <v>873</v>
      </c>
      <c r="L248" s="710">
        <v>8</v>
      </c>
      <c r="M248" s="711">
        <f t="shared" si="20"/>
        <v>44682</v>
      </c>
      <c r="N248" s="711">
        <f t="shared" si="21"/>
        <v>44774</v>
      </c>
      <c r="O248" s="711">
        <v>45017</v>
      </c>
      <c r="P248" s="750">
        <v>36</v>
      </c>
      <c r="Q248" s="723" t="s">
        <v>865</v>
      </c>
      <c r="R248" s="742">
        <v>35000</v>
      </c>
      <c r="S248" s="708" t="s">
        <v>130</v>
      </c>
      <c r="T248" s="860" t="s">
        <v>70</v>
      </c>
      <c r="U248" s="837" t="s">
        <v>45</v>
      </c>
      <c r="V248" s="837"/>
      <c r="W248" s="709" t="s">
        <v>866</v>
      </c>
      <c r="X248" s="710" t="s">
        <v>39</v>
      </c>
      <c r="Y248" s="710" t="s">
        <v>40</v>
      </c>
      <c r="Z248" s="710" t="s">
        <v>69</v>
      </c>
      <c r="AA248" s="710" t="s">
        <v>70</v>
      </c>
      <c r="AB248" s="745" t="s">
        <v>302</v>
      </c>
      <c r="AC248" s="709" t="s">
        <v>874</v>
      </c>
      <c r="AD248" s="785"/>
      <c r="AE248" s="772"/>
      <c r="AF248" t="str">
        <f t="shared" ca="1" si="19"/>
        <v>N/A</v>
      </c>
      <c r="AG248"/>
    </row>
    <row r="249" spans="1:33" s="906" customFormat="1" ht="39">
      <c r="A249" s="1235" t="s">
        <v>71</v>
      </c>
      <c r="B249" s="737" t="s">
        <v>44</v>
      </c>
      <c r="C249" s="746" t="s">
        <v>875</v>
      </c>
      <c r="D249" s="879" t="s">
        <v>32</v>
      </c>
      <c r="E249" s="879"/>
      <c r="F249" s="879"/>
      <c r="G249" s="879"/>
      <c r="H249" s="880" t="s">
        <v>33</v>
      </c>
      <c r="I249" s="880" t="s">
        <v>34</v>
      </c>
      <c r="J249" s="1620" t="s">
        <v>876</v>
      </c>
      <c r="K249" s="880" t="s">
        <v>877</v>
      </c>
      <c r="L249" s="710">
        <v>8</v>
      </c>
      <c r="M249" s="769">
        <f t="shared" si="20"/>
        <v>44682</v>
      </c>
      <c r="N249" s="769">
        <f t="shared" si="21"/>
        <v>44774</v>
      </c>
      <c r="O249" s="1238">
        <v>45017</v>
      </c>
      <c r="P249" s="1157">
        <v>36</v>
      </c>
      <c r="Q249" s="881" t="s">
        <v>816</v>
      </c>
      <c r="R249" s="742">
        <v>180000</v>
      </c>
      <c r="S249" s="1274" t="s">
        <v>130</v>
      </c>
      <c r="T249" s="836" t="s">
        <v>62</v>
      </c>
      <c r="U249" s="837" t="s">
        <v>45</v>
      </c>
      <c r="V249" s="837"/>
      <c r="W249" s="1861" t="s">
        <v>878</v>
      </c>
      <c r="X249" s="710" t="s">
        <v>283</v>
      </c>
      <c r="Y249" s="767" t="s">
        <v>40</v>
      </c>
      <c r="Z249" s="710" t="s">
        <v>154</v>
      </c>
      <c r="AA249" s="746" t="s">
        <v>38</v>
      </c>
      <c r="AB249" s="720">
        <v>44839</v>
      </c>
      <c r="AC249" s="880" t="s">
        <v>879</v>
      </c>
      <c r="AD249" s="708" t="s">
        <v>96</v>
      </c>
      <c r="AE249" s="783">
        <v>60000</v>
      </c>
      <c r="AF249">
        <f t="shared" ca="1" si="19"/>
        <v>469</v>
      </c>
    </row>
    <row r="250" spans="1:33" s="906" customFormat="1" ht="61">
      <c r="A250" s="1235" t="s">
        <v>71</v>
      </c>
      <c r="B250" s="737" t="s">
        <v>44</v>
      </c>
      <c r="C250" s="738" t="s">
        <v>880</v>
      </c>
      <c r="D250" s="708" t="s">
        <v>57</v>
      </c>
      <c r="E250" s="708"/>
      <c r="F250" s="708"/>
      <c r="G250" s="708"/>
      <c r="H250" s="709" t="s">
        <v>363</v>
      </c>
      <c r="I250" s="765" t="s">
        <v>34</v>
      </c>
      <c r="J250" s="1608" t="s">
        <v>881</v>
      </c>
      <c r="K250" s="811" t="s">
        <v>882</v>
      </c>
      <c r="L250" s="710">
        <v>8</v>
      </c>
      <c r="M250" s="769">
        <f t="shared" si="20"/>
        <v>44682</v>
      </c>
      <c r="N250" s="769">
        <f t="shared" si="21"/>
        <v>44774</v>
      </c>
      <c r="O250" s="947">
        <v>45017</v>
      </c>
      <c r="P250" s="740">
        <v>48</v>
      </c>
      <c r="Q250" s="942" t="s">
        <v>187</v>
      </c>
      <c r="R250" s="742">
        <v>100000</v>
      </c>
      <c r="S250" s="708" t="s">
        <v>130</v>
      </c>
      <c r="T250" s="836" t="s">
        <v>62</v>
      </c>
      <c r="U250" s="837" t="s">
        <v>45</v>
      </c>
      <c r="V250" s="837"/>
      <c r="W250" s="765" t="s">
        <v>883</v>
      </c>
      <c r="X250" s="1869" t="s">
        <v>39</v>
      </c>
      <c r="Y250" s="710" t="s">
        <v>40</v>
      </c>
      <c r="Z250" s="710" t="s">
        <v>154</v>
      </c>
      <c r="AA250" s="710" t="s">
        <v>70</v>
      </c>
      <c r="AB250" s="720">
        <v>44837</v>
      </c>
      <c r="AC250" s="1911" t="s">
        <v>884</v>
      </c>
      <c r="AD250" s="785" t="s">
        <v>369</v>
      </c>
      <c r="AE250" s="783"/>
      <c r="AF250">
        <f t="shared" ca="1" si="19"/>
        <v>471</v>
      </c>
    </row>
    <row r="251" spans="1:33" s="906" customFormat="1" ht="39">
      <c r="A251" s="749" t="s">
        <v>71</v>
      </c>
      <c r="B251" s="737" t="s">
        <v>44</v>
      </c>
      <c r="C251" s="738"/>
      <c r="D251" s="708" t="s">
        <v>32</v>
      </c>
      <c r="E251" s="708"/>
      <c r="F251" s="708"/>
      <c r="G251" s="708"/>
      <c r="H251" s="709" t="s">
        <v>506</v>
      </c>
      <c r="I251" s="709" t="s">
        <v>47</v>
      </c>
      <c r="J251" s="1602" t="s">
        <v>885</v>
      </c>
      <c r="K251" s="709" t="s">
        <v>886</v>
      </c>
      <c r="L251" s="710"/>
      <c r="M251" s="711">
        <v>44684</v>
      </c>
      <c r="N251" s="711">
        <f t="shared" si="21"/>
        <v>44753</v>
      </c>
      <c r="O251" s="770">
        <v>44753</v>
      </c>
      <c r="P251" s="721">
        <v>48</v>
      </c>
      <c r="Q251" s="773" t="s">
        <v>82</v>
      </c>
      <c r="R251" s="742">
        <v>130000</v>
      </c>
      <c r="S251" s="708" t="s">
        <v>75</v>
      </c>
      <c r="T251" s="744" t="s">
        <v>887</v>
      </c>
      <c r="U251" s="770" t="s">
        <v>67</v>
      </c>
      <c r="V251" s="770"/>
      <c r="W251" s="765" t="s">
        <v>888</v>
      </c>
      <c r="X251" s="710" t="s">
        <v>168</v>
      </c>
      <c r="Y251" s="710" t="s">
        <v>40</v>
      </c>
      <c r="Z251" s="710"/>
      <c r="AA251" s="710"/>
      <c r="AB251" s="745">
        <v>44798</v>
      </c>
      <c r="AC251" s="709" t="s">
        <v>889</v>
      </c>
      <c r="AD251" s="708" t="s">
        <v>506</v>
      </c>
      <c r="AE251" s="809"/>
      <c r="AF251">
        <f t="shared" ca="1" si="19"/>
        <v>510</v>
      </c>
      <c r="AG251"/>
    </row>
    <row r="252" spans="1:33" s="906" customFormat="1" ht="143">
      <c r="A252" s="749" t="s">
        <v>71</v>
      </c>
      <c r="B252" s="737" t="s">
        <v>44</v>
      </c>
      <c r="C252" s="738" t="s">
        <v>45</v>
      </c>
      <c r="D252" s="739" t="s">
        <v>32</v>
      </c>
      <c r="E252" s="739"/>
      <c r="F252" s="739"/>
      <c r="G252" s="739"/>
      <c r="H252" s="709" t="s">
        <v>890</v>
      </c>
      <c r="I252" s="709" t="s">
        <v>47</v>
      </c>
      <c r="J252" s="1615" t="s">
        <v>891</v>
      </c>
      <c r="K252" s="780" t="s">
        <v>892</v>
      </c>
      <c r="L252" s="710" t="e">
        <f>IF(OR(S252=#REF!,S252=#REF!,S252=#REF!,S252=#REF!,S252=#REF!,S252=#REF!,S252=#REF!,S252=#REF!),12,IF(OR(S252=#REF!,S252=#REF!,S252=#REF!,S252=#REF!,S252=#REF!,S252=#REF!,S252=#REF!),3,IF(S252=#REF!,1,IF(S252=#REF!,18,IF(OR(S252=#REF!,S252=#REF!,S252=#REF!,S252=#REF!,S252=#REF!),14,"Invalid proposed procurement method")))))</f>
        <v>#REF!</v>
      </c>
      <c r="M252" s="711">
        <v>44684</v>
      </c>
      <c r="N252" s="711">
        <v>44713</v>
      </c>
      <c r="O252" s="770" t="s">
        <v>45</v>
      </c>
      <c r="P252" s="740"/>
      <c r="Q252" s="741"/>
      <c r="R252" s="742">
        <v>100000</v>
      </c>
      <c r="S252" s="708" t="s">
        <v>45</v>
      </c>
      <c r="T252" s="836" t="s">
        <v>45</v>
      </c>
      <c r="U252" s="837" t="s">
        <v>45</v>
      </c>
      <c r="V252" s="837"/>
      <c r="W252" s="765" t="s">
        <v>893</v>
      </c>
      <c r="X252" s="808" t="s">
        <v>168</v>
      </c>
      <c r="Y252" s="710" t="s">
        <v>40</v>
      </c>
      <c r="Z252" s="710"/>
      <c r="AA252" s="710"/>
      <c r="AB252" s="745" t="s">
        <v>302</v>
      </c>
      <c r="AC252" s="918" t="s">
        <v>894</v>
      </c>
      <c r="AD252" s="708"/>
      <c r="AE252" s="772"/>
      <c r="AF252" t="str">
        <f t="shared" ca="1" si="19"/>
        <v>N/A</v>
      </c>
    </row>
    <row r="253" spans="1:33" s="906" customFormat="1" ht="143">
      <c r="A253" s="749"/>
      <c r="B253" s="725" t="s">
        <v>56</v>
      </c>
      <c r="C253" s="726" t="s">
        <v>60</v>
      </c>
      <c r="D253" s="727" t="s">
        <v>57</v>
      </c>
      <c r="E253" s="727"/>
      <c r="F253" s="727"/>
      <c r="G253" s="727"/>
      <c r="H253" s="728" t="s">
        <v>58</v>
      </c>
      <c r="I253" s="729" t="s">
        <v>47</v>
      </c>
      <c r="J253" s="1604" t="s">
        <v>895</v>
      </c>
      <c r="K253" s="729"/>
      <c r="L253" s="730">
        <v>3</v>
      </c>
      <c r="M253" s="731">
        <v>44686</v>
      </c>
      <c r="N253" s="712">
        <f>IF(O253="tbc","",(IFERROR(EDATE(O253,-L253),"Invalid procurement method or date entered")))</f>
        <v>44685</v>
      </c>
      <c r="O253" s="759">
        <v>44777</v>
      </c>
      <c r="P253" s="760">
        <v>1</v>
      </c>
      <c r="Q253" s="761">
        <v>1</v>
      </c>
      <c r="R253" s="742">
        <v>90000</v>
      </c>
      <c r="S253" s="734" t="s">
        <v>61</v>
      </c>
      <c r="T253" s="711" t="s">
        <v>62</v>
      </c>
      <c r="U253" s="711" t="s">
        <v>60</v>
      </c>
      <c r="V253" s="711"/>
      <c r="W253" s="729" t="s">
        <v>855</v>
      </c>
      <c r="X253" s="730" t="s">
        <v>206</v>
      </c>
      <c r="Y253" s="900" t="s">
        <v>40</v>
      </c>
      <c r="Z253" s="762" t="s">
        <v>154</v>
      </c>
      <c r="AA253" s="695" t="s">
        <v>70</v>
      </c>
      <c r="AB253" s="778">
        <v>44817</v>
      </c>
      <c r="AC253" s="935" t="s">
        <v>896</v>
      </c>
      <c r="AD253" s="890"/>
      <c r="AE253" s="726"/>
      <c r="AF253">
        <f t="shared" ca="1" si="19"/>
        <v>491</v>
      </c>
    </row>
    <row r="254" spans="1:33" s="906" customFormat="1" ht="143">
      <c r="A254" s="749"/>
      <c r="B254" s="725" t="s">
        <v>56</v>
      </c>
      <c r="C254" s="726" t="s">
        <v>60</v>
      </c>
      <c r="D254" s="727" t="s">
        <v>57</v>
      </c>
      <c r="E254" s="727"/>
      <c r="F254" s="727"/>
      <c r="G254" s="727"/>
      <c r="H254" s="728" t="s">
        <v>58</v>
      </c>
      <c r="I254" s="729" t="s">
        <v>47</v>
      </c>
      <c r="J254" s="1604" t="s">
        <v>897</v>
      </c>
      <c r="K254" s="729"/>
      <c r="L254" s="730">
        <v>3</v>
      </c>
      <c r="M254" s="731">
        <v>44686</v>
      </c>
      <c r="N254" s="712">
        <f>IF(O254="tbc","",(IFERROR(EDATE(O254,-L254),"Invalid procurement method or date entered")))</f>
        <v>44699</v>
      </c>
      <c r="O254" s="759">
        <v>44791</v>
      </c>
      <c r="P254" s="760">
        <v>1</v>
      </c>
      <c r="Q254" s="761">
        <v>1</v>
      </c>
      <c r="R254" s="742">
        <v>120000</v>
      </c>
      <c r="S254" s="734" t="s">
        <v>61</v>
      </c>
      <c r="T254" s="757" t="s">
        <v>62</v>
      </c>
      <c r="U254" s="711" t="s">
        <v>60</v>
      </c>
      <c r="V254" s="711"/>
      <c r="W254" s="729" t="s">
        <v>855</v>
      </c>
      <c r="X254" s="730" t="s">
        <v>206</v>
      </c>
      <c r="Y254" s="762" t="s">
        <v>115</v>
      </c>
      <c r="Z254" s="762" t="s">
        <v>154</v>
      </c>
      <c r="AA254" s="695" t="s">
        <v>70</v>
      </c>
      <c r="AB254" s="778">
        <v>44817</v>
      </c>
      <c r="AC254" s="935" t="s">
        <v>898</v>
      </c>
      <c r="AD254" s="890"/>
      <c r="AE254" s="726"/>
      <c r="AF254">
        <f t="shared" ca="1" si="19"/>
        <v>491</v>
      </c>
    </row>
    <row r="255" spans="1:33" s="906" customFormat="1" ht="87.5">
      <c r="A255" s="1199"/>
      <c r="B255" s="960" t="s">
        <v>56</v>
      </c>
      <c r="C255" s="510" t="s">
        <v>60</v>
      </c>
      <c r="D255" s="611" t="s">
        <v>348</v>
      </c>
      <c r="E255" s="611"/>
      <c r="F255" s="611"/>
      <c r="G255" s="611"/>
      <c r="H255" s="511" t="s">
        <v>58</v>
      </c>
      <c r="I255" s="519" t="s">
        <v>47</v>
      </c>
      <c r="J255" s="1578" t="s">
        <v>899</v>
      </c>
      <c r="K255" s="990"/>
      <c r="L255" s="511">
        <v>3</v>
      </c>
      <c r="M255" s="513">
        <v>44687</v>
      </c>
      <c r="N255" s="514">
        <f>IF(O255="tbc","",(IFERROR(EDATE(O255,-L255),"Invalid procurement method or date entered")))</f>
        <v>44682</v>
      </c>
      <c r="O255" s="515">
        <v>44774</v>
      </c>
      <c r="P255" s="1009" t="s">
        <v>60</v>
      </c>
      <c r="Q255" s="1012" t="s">
        <v>60</v>
      </c>
      <c r="R255" s="1034">
        <f>22500+92650+79400.76+61290.57+21024.7+63823.34+84866.71</f>
        <v>425556.08</v>
      </c>
      <c r="S255" s="1044" t="s">
        <v>61</v>
      </c>
      <c r="T255" s="1055" t="s">
        <v>589</v>
      </c>
      <c r="U255" s="520" t="s">
        <v>115</v>
      </c>
      <c r="V255" s="520"/>
      <c r="W255" s="521" t="s">
        <v>70</v>
      </c>
      <c r="X255" s="120"/>
      <c r="Y255" s="120"/>
      <c r="Z255" s="120"/>
      <c r="AA255" s="120"/>
      <c r="AB255" s="120"/>
      <c r="AC255" s="120"/>
      <c r="AD255" s="336"/>
      <c r="AE255" s="120"/>
      <c r="AF255">
        <f t="shared" ca="1" si="19"/>
        <v>45308</v>
      </c>
      <c r="AG255"/>
    </row>
    <row r="256" spans="1:33" s="906" customFormat="1" ht="52">
      <c r="A256" s="749"/>
      <c r="B256" s="725" t="s">
        <v>56</v>
      </c>
      <c r="C256" s="726" t="s">
        <v>60</v>
      </c>
      <c r="D256" s="730" t="s">
        <v>847</v>
      </c>
      <c r="E256" s="730"/>
      <c r="F256" s="730"/>
      <c r="G256" s="730"/>
      <c r="H256" s="728" t="s">
        <v>58</v>
      </c>
      <c r="I256" s="729" t="s">
        <v>47</v>
      </c>
      <c r="J256" s="1604" t="s">
        <v>900</v>
      </c>
      <c r="K256" s="729"/>
      <c r="L256" s="730">
        <v>1</v>
      </c>
      <c r="M256" s="731">
        <v>44690</v>
      </c>
      <c r="N256" s="712" t="s">
        <v>60</v>
      </c>
      <c r="O256" s="759">
        <v>44782</v>
      </c>
      <c r="P256" s="1156">
        <v>2</v>
      </c>
      <c r="Q256" s="761">
        <v>2</v>
      </c>
      <c r="R256" s="742">
        <v>300000</v>
      </c>
      <c r="S256" s="711" t="s">
        <v>182</v>
      </c>
      <c r="T256" s="701" t="s">
        <v>589</v>
      </c>
      <c r="U256" s="711" t="s">
        <v>589</v>
      </c>
      <c r="V256" s="711"/>
      <c r="W256" s="729" t="s">
        <v>901</v>
      </c>
      <c r="X256" s="730" t="s">
        <v>206</v>
      </c>
      <c r="Y256" s="900" t="s">
        <v>40</v>
      </c>
      <c r="Z256" s="736" t="s">
        <v>154</v>
      </c>
      <c r="AA256" s="695" t="s">
        <v>70</v>
      </c>
      <c r="AB256" s="778">
        <v>44817</v>
      </c>
      <c r="AC256" s="934" t="s">
        <v>902</v>
      </c>
      <c r="AD256" s="925"/>
      <c r="AE256" s="759"/>
      <c r="AF256">
        <f t="shared" ca="1" si="19"/>
        <v>491</v>
      </c>
    </row>
    <row r="257" spans="1:33" s="906" customFormat="1" ht="104">
      <c r="A257" s="749"/>
      <c r="B257" s="725" t="s">
        <v>56</v>
      </c>
      <c r="C257" s="726" t="s">
        <v>60</v>
      </c>
      <c r="D257" s="727" t="s">
        <v>348</v>
      </c>
      <c r="E257" s="727"/>
      <c r="F257" s="727"/>
      <c r="G257" s="727"/>
      <c r="H257" s="728" t="s">
        <v>58</v>
      </c>
      <c r="I257" s="729" t="s">
        <v>47</v>
      </c>
      <c r="J257" s="1604" t="s">
        <v>903</v>
      </c>
      <c r="K257" s="729"/>
      <c r="L257" s="730">
        <v>3</v>
      </c>
      <c r="M257" s="731">
        <v>44692</v>
      </c>
      <c r="N257" s="712">
        <f>IF(O257="tbc","",(IFERROR(EDATE(O257,-L257),"Invalid procurement method or date entered")))</f>
        <v>44684</v>
      </c>
      <c r="O257" s="759">
        <v>44776</v>
      </c>
      <c r="P257" s="760">
        <v>1</v>
      </c>
      <c r="Q257" s="761">
        <v>1</v>
      </c>
      <c r="R257" s="742">
        <f>200000+176000</f>
        <v>376000</v>
      </c>
      <c r="S257" s="711" t="s">
        <v>61</v>
      </c>
      <c r="T257" s="711" t="s">
        <v>589</v>
      </c>
      <c r="U257" s="711" t="s">
        <v>589</v>
      </c>
      <c r="V257" s="711"/>
      <c r="W257" s="729" t="s">
        <v>668</v>
      </c>
      <c r="X257" s="730" t="s">
        <v>312</v>
      </c>
      <c r="Y257" s="762" t="s">
        <v>594</v>
      </c>
      <c r="Z257" s="736" t="s">
        <v>69</v>
      </c>
      <c r="AA257" s="695" t="s">
        <v>70</v>
      </c>
      <c r="AB257" s="764">
        <v>44840</v>
      </c>
      <c r="AC257" s="935" t="s">
        <v>904</v>
      </c>
      <c r="AD257" s="923"/>
      <c r="AE257" s="920"/>
      <c r="AF257">
        <f t="shared" ca="1" si="19"/>
        <v>468</v>
      </c>
    </row>
    <row r="258" spans="1:33" s="906" customFormat="1" ht="117">
      <c r="A258" s="749"/>
      <c r="B258" s="725" t="s">
        <v>56</v>
      </c>
      <c r="C258" s="726" t="s">
        <v>60</v>
      </c>
      <c r="D258" s="727" t="s">
        <v>348</v>
      </c>
      <c r="E258" s="727"/>
      <c r="F258" s="727"/>
      <c r="G258" s="727"/>
      <c r="H258" s="728" t="s">
        <v>58</v>
      </c>
      <c r="I258" s="729" t="s">
        <v>47</v>
      </c>
      <c r="J258" s="1604" t="s">
        <v>905</v>
      </c>
      <c r="K258" s="729"/>
      <c r="L258" s="730">
        <v>3</v>
      </c>
      <c r="M258" s="731">
        <v>44692</v>
      </c>
      <c r="N258" s="712">
        <f>IF(O258="tbc","",(IFERROR(EDATE(O258,-L258),"Invalid procurement method or date entered")))</f>
        <v>44684</v>
      </c>
      <c r="O258" s="759">
        <v>44776</v>
      </c>
      <c r="P258" s="760">
        <v>1</v>
      </c>
      <c r="Q258" s="761">
        <v>1</v>
      </c>
      <c r="R258" s="742">
        <f>67881+120739+94000+151548+57090+25798+58026+44695</f>
        <v>619777</v>
      </c>
      <c r="S258" s="711" t="s">
        <v>61</v>
      </c>
      <c r="T258" s="711" t="s">
        <v>589</v>
      </c>
      <c r="U258" s="711" t="s">
        <v>589</v>
      </c>
      <c r="V258" s="711"/>
      <c r="W258" s="729" t="s">
        <v>350</v>
      </c>
      <c r="X258" s="730" t="s">
        <v>312</v>
      </c>
      <c r="Y258" s="762" t="s">
        <v>594</v>
      </c>
      <c r="Z258" s="736" t="s">
        <v>69</v>
      </c>
      <c r="AA258" s="695" t="s">
        <v>70</v>
      </c>
      <c r="AB258" s="764">
        <v>44840</v>
      </c>
      <c r="AC258" s="935" t="s">
        <v>906</v>
      </c>
      <c r="AD258" s="923"/>
      <c r="AE258" s="920"/>
      <c r="AF258">
        <f t="shared" ref="AF258:AF321" ca="1" si="22">IFERROR(TODAY()-AB258,"N/A")</f>
        <v>468</v>
      </c>
      <c r="AG258" s="950"/>
    </row>
    <row r="259" spans="1:33" s="906" customFormat="1" ht="117">
      <c r="A259" s="749"/>
      <c r="B259" s="725" t="s">
        <v>56</v>
      </c>
      <c r="C259" s="726" t="s">
        <v>60</v>
      </c>
      <c r="D259" s="727" t="s">
        <v>348</v>
      </c>
      <c r="E259" s="727"/>
      <c r="F259" s="727"/>
      <c r="G259" s="727"/>
      <c r="H259" s="728" t="s">
        <v>58</v>
      </c>
      <c r="I259" s="729" t="s">
        <v>47</v>
      </c>
      <c r="J259" s="1604" t="s">
        <v>903</v>
      </c>
      <c r="K259" s="729"/>
      <c r="L259" s="730">
        <v>3</v>
      </c>
      <c r="M259" s="731">
        <v>44692</v>
      </c>
      <c r="N259" s="712">
        <f>IF(O259="tbc","",(IFERROR(EDATE(O259,-L259),"Invalid procurement method or date entered")))</f>
        <v>44684</v>
      </c>
      <c r="O259" s="759">
        <v>44776</v>
      </c>
      <c r="P259" s="760">
        <v>1</v>
      </c>
      <c r="Q259" s="761">
        <v>1</v>
      </c>
      <c r="R259" s="937">
        <f>200000+176000</f>
        <v>376000</v>
      </c>
      <c r="S259" s="734" t="s">
        <v>61</v>
      </c>
      <c r="T259" s="711" t="s">
        <v>589</v>
      </c>
      <c r="U259" s="711" t="s">
        <v>589</v>
      </c>
      <c r="V259" s="711"/>
      <c r="W259" s="729" t="s">
        <v>668</v>
      </c>
      <c r="X259" s="730" t="s">
        <v>312</v>
      </c>
      <c r="Y259" s="762" t="s">
        <v>594</v>
      </c>
      <c r="Z259" s="762" t="s">
        <v>69</v>
      </c>
      <c r="AA259" s="695" t="s">
        <v>70</v>
      </c>
      <c r="AB259" s="1163">
        <v>44854</v>
      </c>
      <c r="AC259" s="935" t="s">
        <v>907</v>
      </c>
      <c r="AD259" s="923"/>
      <c r="AE259" s="920"/>
      <c r="AF259">
        <f t="shared" ca="1" si="22"/>
        <v>454</v>
      </c>
    </row>
    <row r="260" spans="1:33" s="906" customFormat="1" ht="52">
      <c r="A260" s="749"/>
      <c r="B260" s="725" t="s">
        <v>56</v>
      </c>
      <c r="C260" s="726" t="s">
        <v>60</v>
      </c>
      <c r="D260" s="727" t="s">
        <v>847</v>
      </c>
      <c r="E260" s="727"/>
      <c r="F260" s="727"/>
      <c r="G260" s="727"/>
      <c r="H260" s="728" t="s">
        <v>58</v>
      </c>
      <c r="I260" s="729" t="s">
        <v>47</v>
      </c>
      <c r="J260" s="1604" t="s">
        <v>908</v>
      </c>
      <c r="K260" s="729"/>
      <c r="L260" s="730">
        <v>1</v>
      </c>
      <c r="M260" s="731">
        <v>44696</v>
      </c>
      <c r="N260" s="712" t="s">
        <v>60</v>
      </c>
      <c r="O260" s="759" t="s">
        <v>60</v>
      </c>
      <c r="P260" s="760" t="s">
        <v>60</v>
      </c>
      <c r="Q260" s="761" t="s">
        <v>60</v>
      </c>
      <c r="R260" s="742">
        <v>120000</v>
      </c>
      <c r="S260" s="734" t="s">
        <v>182</v>
      </c>
      <c r="T260" s="711" t="s">
        <v>589</v>
      </c>
      <c r="U260" s="711" t="s">
        <v>589</v>
      </c>
      <c r="V260" s="711"/>
      <c r="W260" s="729" t="s">
        <v>855</v>
      </c>
      <c r="X260" s="730" t="s">
        <v>206</v>
      </c>
      <c r="Y260" s="900" t="s">
        <v>40</v>
      </c>
      <c r="Z260" s="736" t="s">
        <v>154</v>
      </c>
      <c r="AA260" s="695" t="s">
        <v>70</v>
      </c>
      <c r="AB260" s="778">
        <v>44817</v>
      </c>
      <c r="AC260" s="934" t="s">
        <v>909</v>
      </c>
      <c r="AD260" s="925"/>
      <c r="AE260" s="759"/>
      <c r="AF260">
        <f t="shared" ca="1" si="22"/>
        <v>491</v>
      </c>
    </row>
    <row r="261" spans="1:33" s="906" customFormat="1" ht="50">
      <c r="A261" s="1199"/>
      <c r="B261" s="960" t="s">
        <v>56</v>
      </c>
      <c r="C261" s="510" t="s">
        <v>60</v>
      </c>
      <c r="D261" s="611" t="s">
        <v>57</v>
      </c>
      <c r="E261" s="611"/>
      <c r="F261" s="611"/>
      <c r="G261" s="611"/>
      <c r="H261" s="511" t="s">
        <v>58</v>
      </c>
      <c r="I261" s="679" t="s">
        <v>47</v>
      </c>
      <c r="J261" s="1580" t="s">
        <v>910</v>
      </c>
      <c r="K261" s="990"/>
      <c r="L261" s="511">
        <v>12</v>
      </c>
      <c r="M261" s="513">
        <v>44707</v>
      </c>
      <c r="N261" s="514">
        <f>IF(O261="tbc","",(IFERROR(EDATE(O261,-L261),"Invalid procurement method or date entered")))</f>
        <v>44418</v>
      </c>
      <c r="O261" s="534">
        <v>44783</v>
      </c>
      <c r="P261" s="1011" t="s">
        <v>60</v>
      </c>
      <c r="Q261" s="684" t="s">
        <v>60</v>
      </c>
      <c r="R261" s="1034">
        <v>30000</v>
      </c>
      <c r="S261" s="1044" t="s">
        <v>75</v>
      </c>
      <c r="T261" s="515" t="s">
        <v>62</v>
      </c>
      <c r="U261" s="520" t="s">
        <v>727</v>
      </c>
      <c r="V261" s="520"/>
      <c r="W261" s="521" t="s">
        <v>70</v>
      </c>
      <c r="X261" s="120"/>
      <c r="Y261" s="120"/>
      <c r="Z261" s="120"/>
      <c r="AA261" s="120"/>
      <c r="AB261" s="120"/>
      <c r="AC261" s="120"/>
      <c r="AD261" s="336"/>
      <c r="AE261" s="120"/>
      <c r="AF261">
        <f t="shared" ca="1" si="22"/>
        <v>45308</v>
      </c>
      <c r="AG261"/>
    </row>
    <row r="262" spans="1:33" s="906" customFormat="1" ht="87.5">
      <c r="A262" s="1199"/>
      <c r="B262" s="960" t="s">
        <v>56</v>
      </c>
      <c r="C262" s="510" t="s">
        <v>60</v>
      </c>
      <c r="D262" s="526" t="s">
        <v>348</v>
      </c>
      <c r="E262" s="526"/>
      <c r="F262" s="526"/>
      <c r="G262" s="526"/>
      <c r="H262" s="526" t="s">
        <v>58</v>
      </c>
      <c r="I262" s="524" t="s">
        <v>47</v>
      </c>
      <c r="J262" s="1708" t="s">
        <v>911</v>
      </c>
      <c r="K262" s="1993"/>
      <c r="L262" s="511">
        <v>3</v>
      </c>
      <c r="M262" s="513">
        <v>44707</v>
      </c>
      <c r="N262" s="514">
        <f>IF(O262="tbc","",(IFERROR(EDATE(O262,-L262),"Invalid procurement method or date entered")))</f>
        <v>44713</v>
      </c>
      <c r="O262" s="518">
        <v>44805</v>
      </c>
      <c r="P262" s="1019" t="s">
        <v>60</v>
      </c>
      <c r="Q262" s="1012" t="s">
        <v>60</v>
      </c>
      <c r="R262" s="1034">
        <f>48048.63+656682+26000+70000+45000+70000</f>
        <v>915730.63</v>
      </c>
      <c r="S262" s="1729" t="s">
        <v>61</v>
      </c>
      <c r="T262" s="518" t="s">
        <v>589</v>
      </c>
      <c r="U262" s="691" t="s">
        <v>115</v>
      </c>
      <c r="V262" s="691"/>
      <c r="W262" s="692" t="s">
        <v>70</v>
      </c>
      <c r="X262" s="1078"/>
      <c r="Y262" s="120"/>
      <c r="Z262" s="120"/>
      <c r="AA262" s="120"/>
      <c r="AB262" s="120"/>
      <c r="AC262" s="1078"/>
      <c r="AD262" s="336"/>
      <c r="AE262" s="1078"/>
      <c r="AF262">
        <f t="shared" ca="1" si="22"/>
        <v>45308</v>
      </c>
      <c r="AG262"/>
    </row>
    <row r="263" spans="1:33" s="906" customFormat="1" ht="52">
      <c r="A263" s="749">
        <v>44699</v>
      </c>
      <c r="B263" s="725" t="s">
        <v>56</v>
      </c>
      <c r="C263" s="726" t="s">
        <v>60</v>
      </c>
      <c r="D263" s="727" t="s">
        <v>847</v>
      </c>
      <c r="E263" s="727"/>
      <c r="F263" s="727"/>
      <c r="G263" s="727"/>
      <c r="H263" s="728" t="s">
        <v>58</v>
      </c>
      <c r="I263" s="729" t="s">
        <v>47</v>
      </c>
      <c r="J263" s="1604" t="s">
        <v>912</v>
      </c>
      <c r="K263" s="729"/>
      <c r="L263" s="730">
        <v>1</v>
      </c>
      <c r="M263" s="731">
        <v>44713</v>
      </c>
      <c r="N263" s="712" t="s">
        <v>60</v>
      </c>
      <c r="O263" s="2163">
        <v>44805</v>
      </c>
      <c r="P263" s="760">
        <v>1</v>
      </c>
      <c r="Q263" s="761">
        <v>1</v>
      </c>
      <c r="R263" s="742">
        <v>25000</v>
      </c>
      <c r="S263" s="734" t="s">
        <v>176</v>
      </c>
      <c r="T263" s="711" t="s">
        <v>589</v>
      </c>
      <c r="U263" s="711" t="s">
        <v>60</v>
      </c>
      <c r="V263" s="711"/>
      <c r="W263" s="729" t="s">
        <v>740</v>
      </c>
      <c r="X263" s="762" t="s">
        <v>351</v>
      </c>
      <c r="Y263" s="762" t="s">
        <v>594</v>
      </c>
      <c r="Z263" s="736" t="s">
        <v>154</v>
      </c>
      <c r="AA263" s="695" t="s">
        <v>70</v>
      </c>
      <c r="AB263" s="764">
        <v>44754</v>
      </c>
      <c r="AC263" s="934" t="s">
        <v>913</v>
      </c>
      <c r="AD263" s="925"/>
      <c r="AE263" s="759"/>
      <c r="AF263">
        <f t="shared" ca="1" si="22"/>
        <v>554</v>
      </c>
    </row>
    <row r="264" spans="1:33" s="906" customFormat="1" ht="117">
      <c r="A264" s="695" t="s">
        <v>71</v>
      </c>
      <c r="B264" s="706" t="s">
        <v>100</v>
      </c>
      <c r="C264" s="707" t="s">
        <v>45</v>
      </c>
      <c r="D264" s="708" t="s">
        <v>122</v>
      </c>
      <c r="E264" s="708"/>
      <c r="F264" s="708"/>
      <c r="G264" s="708"/>
      <c r="H264" s="710" t="s">
        <v>103</v>
      </c>
      <c r="I264" s="710" t="s">
        <v>47</v>
      </c>
      <c r="J264" s="1608" t="s">
        <v>914</v>
      </c>
      <c r="K264" s="710"/>
      <c r="L264" s="710">
        <v>12</v>
      </c>
      <c r="M264" s="711">
        <f>IFERROR(EDATE(N264,-3),"Invalid procurement method or date entered")</f>
        <v>44713</v>
      </c>
      <c r="N264" s="712">
        <f>IFERROR(EDATE(O264,-L264),"Invalid procurement method or date entered")</f>
        <v>44805</v>
      </c>
      <c r="O264" s="713">
        <v>45170</v>
      </c>
      <c r="P264" s="714">
        <v>60</v>
      </c>
      <c r="Q264" s="715">
        <v>60</v>
      </c>
      <c r="R264" s="742">
        <v>450000</v>
      </c>
      <c r="S264" s="758" t="s">
        <v>176</v>
      </c>
      <c r="T264" s="710" t="s">
        <v>70</v>
      </c>
      <c r="U264" s="710" t="s">
        <v>45</v>
      </c>
      <c r="V264" s="710"/>
      <c r="W264" s="710" t="s">
        <v>915</v>
      </c>
      <c r="X264" s="710" t="s">
        <v>413</v>
      </c>
      <c r="Y264" s="710" t="s">
        <v>40</v>
      </c>
      <c r="Z264" s="710" t="s">
        <v>69</v>
      </c>
      <c r="AA264" s="754" t="s">
        <v>70</v>
      </c>
      <c r="AB264" s="1338">
        <v>44855</v>
      </c>
      <c r="AC264" s="1301" t="s">
        <v>916</v>
      </c>
      <c r="AD264" s="723"/>
      <c r="AE264" s="723"/>
      <c r="AF264">
        <f t="shared" ca="1" si="22"/>
        <v>453</v>
      </c>
    </row>
    <row r="265" spans="1:33" s="906" customFormat="1" ht="117">
      <c r="A265" s="749"/>
      <c r="B265" s="725" t="s">
        <v>56</v>
      </c>
      <c r="C265" s="726" t="s">
        <v>60</v>
      </c>
      <c r="D265" s="727" t="s">
        <v>847</v>
      </c>
      <c r="E265" s="727"/>
      <c r="F265" s="727"/>
      <c r="G265" s="727"/>
      <c r="H265" s="728" t="s">
        <v>58</v>
      </c>
      <c r="I265" s="729" t="s">
        <v>47</v>
      </c>
      <c r="J265" s="1604" t="s">
        <v>917</v>
      </c>
      <c r="K265" s="729"/>
      <c r="L265" s="730">
        <v>1</v>
      </c>
      <c r="M265" s="731">
        <v>44713</v>
      </c>
      <c r="N265" s="712" t="s">
        <v>60</v>
      </c>
      <c r="O265" s="759" t="s">
        <v>918</v>
      </c>
      <c r="P265" s="1156">
        <v>12</v>
      </c>
      <c r="Q265" s="761">
        <v>12</v>
      </c>
      <c r="R265" s="742">
        <f>20000000+5000000+7100000+20000000+20000000</f>
        <v>72100000</v>
      </c>
      <c r="S265" s="711" t="s">
        <v>45</v>
      </c>
      <c r="T265" s="711" t="s">
        <v>70</v>
      </c>
      <c r="U265" s="711" t="s">
        <v>589</v>
      </c>
      <c r="V265" s="711"/>
      <c r="W265" s="729" t="s">
        <v>919</v>
      </c>
      <c r="X265" s="762" t="s">
        <v>920</v>
      </c>
      <c r="Y265" s="762" t="s">
        <v>594</v>
      </c>
      <c r="Z265" s="736" t="s">
        <v>69</v>
      </c>
      <c r="AA265" s="695" t="s">
        <v>70</v>
      </c>
      <c r="AB265" s="878">
        <v>44845</v>
      </c>
      <c r="AC265" s="934" t="s">
        <v>921</v>
      </c>
      <c r="AD265" s="2158"/>
      <c r="AE265" s="2161"/>
      <c r="AF265">
        <f t="shared" ca="1" si="22"/>
        <v>463</v>
      </c>
    </row>
    <row r="266" spans="1:33" s="906" customFormat="1" ht="143">
      <c r="A266" s="749"/>
      <c r="B266" s="725" t="s">
        <v>56</v>
      </c>
      <c r="C266" s="726" t="s">
        <v>60</v>
      </c>
      <c r="D266" s="727" t="s">
        <v>847</v>
      </c>
      <c r="E266" s="727"/>
      <c r="F266" s="727"/>
      <c r="G266" s="727"/>
      <c r="H266" s="728" t="s">
        <v>58</v>
      </c>
      <c r="I266" s="729" t="s">
        <v>47</v>
      </c>
      <c r="J266" s="1604" t="s">
        <v>922</v>
      </c>
      <c r="K266" s="729"/>
      <c r="L266" s="730">
        <v>1</v>
      </c>
      <c r="M266" s="731">
        <v>44713</v>
      </c>
      <c r="N266" s="712" t="s">
        <v>60</v>
      </c>
      <c r="O266" s="1155" t="s">
        <v>60</v>
      </c>
      <c r="P266" s="1156" t="s">
        <v>60</v>
      </c>
      <c r="Q266" s="761" t="s">
        <v>60</v>
      </c>
      <c r="R266" s="742">
        <v>88127</v>
      </c>
      <c r="S266" s="734" t="s">
        <v>182</v>
      </c>
      <c r="T266" s="711" t="s">
        <v>589</v>
      </c>
      <c r="U266" s="711" t="s">
        <v>589</v>
      </c>
      <c r="V266" s="711"/>
      <c r="W266" s="729" t="s">
        <v>668</v>
      </c>
      <c r="X266" s="730" t="s">
        <v>206</v>
      </c>
      <c r="Y266" s="900" t="s">
        <v>40</v>
      </c>
      <c r="Z266" s="736"/>
      <c r="AA266" s="695" t="s">
        <v>70</v>
      </c>
      <c r="AB266" s="778">
        <v>44817</v>
      </c>
      <c r="AC266" s="941" t="s">
        <v>923</v>
      </c>
      <c r="AD266" s="925"/>
      <c r="AE266" s="759"/>
      <c r="AF266">
        <f t="shared" ca="1" si="22"/>
        <v>491</v>
      </c>
    </row>
    <row r="267" spans="1:33" s="906" customFormat="1" ht="156">
      <c r="A267" s="749"/>
      <c r="B267" s="725" t="s">
        <v>56</v>
      </c>
      <c r="C267" s="726" t="s">
        <v>60</v>
      </c>
      <c r="D267" s="727" t="s">
        <v>847</v>
      </c>
      <c r="E267" s="727"/>
      <c r="F267" s="727"/>
      <c r="G267" s="727"/>
      <c r="H267" s="730" t="s">
        <v>58</v>
      </c>
      <c r="I267" s="726" t="s">
        <v>47</v>
      </c>
      <c r="J267" s="1604" t="s">
        <v>924</v>
      </c>
      <c r="K267" s="726"/>
      <c r="L267" s="730">
        <v>1</v>
      </c>
      <c r="M267" s="731">
        <v>44713</v>
      </c>
      <c r="N267" s="712" t="s">
        <v>60</v>
      </c>
      <c r="O267" s="759" t="s">
        <v>60</v>
      </c>
      <c r="P267" s="2036" t="s">
        <v>60</v>
      </c>
      <c r="Q267" s="761" t="s">
        <v>60</v>
      </c>
      <c r="R267" s="742" t="s">
        <v>60</v>
      </c>
      <c r="S267" s="734" t="s">
        <v>182</v>
      </c>
      <c r="T267" s="711" t="s">
        <v>589</v>
      </c>
      <c r="U267" s="711" t="s">
        <v>589</v>
      </c>
      <c r="V267" s="757"/>
      <c r="W267" s="802" t="s">
        <v>668</v>
      </c>
      <c r="X267" s="2110" t="s">
        <v>206</v>
      </c>
      <c r="Y267" s="900" t="s">
        <v>40</v>
      </c>
      <c r="Z267" s="762"/>
      <c r="AA267" s="752" t="s">
        <v>70</v>
      </c>
      <c r="AB267" s="749">
        <v>44942</v>
      </c>
      <c r="AC267" s="941" t="s">
        <v>925</v>
      </c>
      <c r="AD267" s="2158"/>
      <c r="AE267" s="2161"/>
      <c r="AF267">
        <f t="shared" ca="1" si="22"/>
        <v>366</v>
      </c>
    </row>
    <row r="268" spans="1:33" s="1217" customFormat="1" ht="169">
      <c r="A268" s="951"/>
      <c r="B268" s="861" t="s">
        <v>56</v>
      </c>
      <c r="C268" s="862" t="s">
        <v>60</v>
      </c>
      <c r="D268" s="863" t="s">
        <v>348</v>
      </c>
      <c r="E268" s="863"/>
      <c r="F268" s="863"/>
      <c r="G268" s="863"/>
      <c r="H268" s="864" t="s">
        <v>58</v>
      </c>
      <c r="I268" s="865" t="s">
        <v>47</v>
      </c>
      <c r="J268" s="1619" t="s">
        <v>926</v>
      </c>
      <c r="K268" s="865"/>
      <c r="L268" s="866">
        <v>3</v>
      </c>
      <c r="M268" s="867">
        <v>44714</v>
      </c>
      <c r="N268" s="868">
        <f>IF(O268="tbc","",(IFERROR(EDATE(O268,-L268),"Invalid procurement method or date entered")))</f>
        <v>44717</v>
      </c>
      <c r="O268" s="869">
        <v>44809</v>
      </c>
      <c r="P268" s="870">
        <v>1</v>
      </c>
      <c r="Q268" s="871">
        <v>1</v>
      </c>
      <c r="R268" s="949">
        <f>89080+61300+43895+26000+39097.23+18746.7+14593.6+78954+33795.03+16674.42+29549.03</f>
        <v>451685.00999999989</v>
      </c>
      <c r="S268" s="872" t="s">
        <v>61</v>
      </c>
      <c r="T268" s="872" t="s">
        <v>71</v>
      </c>
      <c r="U268" s="872" t="s">
        <v>589</v>
      </c>
      <c r="V268" s="872"/>
      <c r="W268" s="865" t="s">
        <v>927</v>
      </c>
      <c r="X268" s="866" t="s">
        <v>351</v>
      </c>
      <c r="Y268" s="873" t="s">
        <v>594</v>
      </c>
      <c r="Z268" s="874" t="s">
        <v>69</v>
      </c>
      <c r="AA268" s="875" t="s">
        <v>70</v>
      </c>
      <c r="AB268" s="952">
        <v>44841</v>
      </c>
      <c r="AC268" s="2135" t="s">
        <v>928</v>
      </c>
      <c r="AD268" s="1659"/>
      <c r="AE268" s="862"/>
      <c r="AF268">
        <f t="shared" ca="1" si="22"/>
        <v>467</v>
      </c>
      <c r="AG268" s="906"/>
    </row>
    <row r="269" spans="1:33" s="906" customFormat="1" ht="150">
      <c r="A269" s="1199"/>
      <c r="B269" s="960" t="s">
        <v>56</v>
      </c>
      <c r="C269" s="510" t="s">
        <v>60</v>
      </c>
      <c r="D269" s="611" t="s">
        <v>57</v>
      </c>
      <c r="E269" s="611"/>
      <c r="F269" s="611"/>
      <c r="G269" s="611"/>
      <c r="H269" s="511" t="s">
        <v>58</v>
      </c>
      <c r="I269" s="519" t="s">
        <v>47</v>
      </c>
      <c r="J269" s="1578" t="s">
        <v>929</v>
      </c>
      <c r="K269" s="990"/>
      <c r="L269" s="511">
        <v>3</v>
      </c>
      <c r="M269" s="514">
        <v>44715</v>
      </c>
      <c r="N269" s="514">
        <f>IF(O269="tbc","",(IFERROR(EDATE(O269,-L269),"Invalid procurement method or date entered")))</f>
        <v>44713</v>
      </c>
      <c r="O269" s="515">
        <v>44805</v>
      </c>
      <c r="P269" s="1009" t="s">
        <v>60</v>
      </c>
      <c r="Q269" s="1012" t="s">
        <v>60</v>
      </c>
      <c r="R269" s="1034">
        <f>71240+21842+20077+68000+43895.01+39097.23+18746.7+14593.6+78954+33795.03+16674.42+29549.03</f>
        <v>456464.0199999999</v>
      </c>
      <c r="S269" s="1044" t="s">
        <v>61</v>
      </c>
      <c r="T269" s="515" t="s">
        <v>62</v>
      </c>
      <c r="U269" s="510" t="s">
        <v>60</v>
      </c>
      <c r="V269" s="510"/>
      <c r="W269" s="394" t="s">
        <v>70</v>
      </c>
      <c r="X269" s="120"/>
      <c r="Y269" s="120"/>
      <c r="Z269" s="120"/>
      <c r="AA269" s="120"/>
      <c r="AB269" s="120"/>
      <c r="AC269" s="120"/>
      <c r="AD269" s="336"/>
      <c r="AE269" s="120"/>
      <c r="AF269">
        <f t="shared" ca="1" si="22"/>
        <v>45308</v>
      </c>
      <c r="AG269"/>
    </row>
    <row r="270" spans="1:33" s="1217" customFormat="1" ht="39">
      <c r="A270" s="749"/>
      <c r="B270" s="725" t="s">
        <v>56</v>
      </c>
      <c r="C270" s="726" t="s">
        <v>60</v>
      </c>
      <c r="D270" s="727" t="s">
        <v>348</v>
      </c>
      <c r="E270" s="727"/>
      <c r="F270" s="727"/>
      <c r="G270" s="727"/>
      <c r="H270" s="730" t="s">
        <v>308</v>
      </c>
      <c r="I270" s="726" t="s">
        <v>34</v>
      </c>
      <c r="J270" s="1604" t="s">
        <v>811</v>
      </c>
      <c r="K270" s="726"/>
      <c r="L270" s="730">
        <v>12</v>
      </c>
      <c r="M270" s="731">
        <v>44715</v>
      </c>
      <c r="N270" s="712">
        <f>IF(O270="tbc","",(IFERROR(EDATE(O270,-L270),"Invalid procurement method or date entered")))</f>
        <v>44713</v>
      </c>
      <c r="O270" s="759">
        <v>45078</v>
      </c>
      <c r="P270" s="760">
        <v>12</v>
      </c>
      <c r="Q270" s="761">
        <v>12</v>
      </c>
      <c r="R270" s="742">
        <v>400000</v>
      </c>
      <c r="S270" s="734" t="s">
        <v>130</v>
      </c>
      <c r="T270" s="711" t="s">
        <v>589</v>
      </c>
      <c r="U270" s="711" t="s">
        <v>589</v>
      </c>
      <c r="V270" s="711"/>
      <c r="W270" s="730" t="s">
        <v>722</v>
      </c>
      <c r="X270" s="730" t="s">
        <v>561</v>
      </c>
      <c r="Y270" s="812" t="s">
        <v>115</v>
      </c>
      <c r="Z270" s="1308" t="s">
        <v>69</v>
      </c>
      <c r="AA270" s="695" t="s">
        <v>70</v>
      </c>
      <c r="AB270" s="1335">
        <v>44886</v>
      </c>
      <c r="AC270" s="935" t="s">
        <v>930</v>
      </c>
      <c r="AD270" s="923"/>
      <c r="AE270" s="920"/>
      <c r="AF270">
        <f t="shared" ca="1" si="22"/>
        <v>422</v>
      </c>
      <c r="AG270" s="906"/>
    </row>
    <row r="271" spans="1:33" s="1217" customFormat="1" ht="312">
      <c r="A271" s="749"/>
      <c r="B271" s="725" t="s">
        <v>56</v>
      </c>
      <c r="C271" s="730" t="s">
        <v>60</v>
      </c>
      <c r="D271" s="727" t="s">
        <v>57</v>
      </c>
      <c r="E271" s="727"/>
      <c r="F271" s="727"/>
      <c r="G271" s="727"/>
      <c r="H271" s="728" t="s">
        <v>58</v>
      </c>
      <c r="I271" s="709" t="s">
        <v>47</v>
      </c>
      <c r="J271" s="1608" t="s">
        <v>931</v>
      </c>
      <c r="K271" s="709"/>
      <c r="L271" s="730">
        <v>2</v>
      </c>
      <c r="M271" s="731">
        <v>44718</v>
      </c>
      <c r="N271" s="712">
        <f>IF(O271="tbc","",(IFERROR(EDATE(O271,-L271),"Invalid procurement method or date entered")))</f>
        <v>44743</v>
      </c>
      <c r="O271" s="711">
        <v>44805</v>
      </c>
      <c r="P271" s="732">
        <v>2</v>
      </c>
      <c r="Q271" s="2045">
        <v>2</v>
      </c>
      <c r="R271" s="937">
        <v>25000</v>
      </c>
      <c r="S271" s="757" t="s">
        <v>61</v>
      </c>
      <c r="T271" s="757" t="s">
        <v>62</v>
      </c>
      <c r="U271" s="810" t="s">
        <v>60</v>
      </c>
      <c r="V271" s="810"/>
      <c r="W271" s="729" t="s">
        <v>740</v>
      </c>
      <c r="X271" s="810" t="s">
        <v>312</v>
      </c>
      <c r="Y271" s="795" t="s">
        <v>40</v>
      </c>
      <c r="Z271" s="1510" t="s">
        <v>154</v>
      </c>
      <c r="AA271" s="752" t="s">
        <v>70</v>
      </c>
      <c r="AB271" s="1163">
        <v>44854</v>
      </c>
      <c r="AC271" s="1294" t="s">
        <v>932</v>
      </c>
      <c r="AD271" s="2154"/>
      <c r="AE271" s="829"/>
      <c r="AF271">
        <f t="shared" ca="1" si="22"/>
        <v>454</v>
      </c>
      <c r="AG271" s="950"/>
    </row>
    <row r="272" spans="1:33" s="906" customFormat="1" ht="37.5">
      <c r="A272" s="1199"/>
      <c r="B272" s="960" t="s">
        <v>56</v>
      </c>
      <c r="C272" s="510" t="s">
        <v>60</v>
      </c>
      <c r="D272" s="611" t="s">
        <v>57</v>
      </c>
      <c r="E272" s="611"/>
      <c r="F272" s="611"/>
      <c r="G272" s="611"/>
      <c r="H272" s="511" t="s">
        <v>308</v>
      </c>
      <c r="I272" s="510" t="s">
        <v>47</v>
      </c>
      <c r="J272" s="1580" t="s">
        <v>933</v>
      </c>
      <c r="K272" s="600"/>
      <c r="L272" s="511">
        <v>3</v>
      </c>
      <c r="M272" s="513">
        <v>44719</v>
      </c>
      <c r="N272" s="514" t="s">
        <v>60</v>
      </c>
      <c r="O272" s="534" t="s">
        <v>60</v>
      </c>
      <c r="P272" s="1781" t="s">
        <v>60</v>
      </c>
      <c r="Q272" s="2164" t="s">
        <v>60</v>
      </c>
      <c r="R272" s="1034">
        <v>40000</v>
      </c>
      <c r="S272" s="1044" t="s">
        <v>176</v>
      </c>
      <c r="T272" s="515" t="s">
        <v>589</v>
      </c>
      <c r="U272" s="520" t="s">
        <v>251</v>
      </c>
      <c r="V272" s="520"/>
      <c r="W272" s="521" t="s">
        <v>70</v>
      </c>
      <c r="X272" s="1083"/>
      <c r="Y272" s="1078"/>
      <c r="Z272" s="120"/>
      <c r="AA272" s="186"/>
      <c r="AB272" s="120"/>
      <c r="AC272" s="120"/>
      <c r="AD272" s="336"/>
      <c r="AE272" s="120"/>
      <c r="AF272">
        <f t="shared" ca="1" si="22"/>
        <v>45308</v>
      </c>
    </row>
    <row r="273" spans="1:33" s="906" customFormat="1" ht="65">
      <c r="A273" s="695" t="s">
        <v>71</v>
      </c>
      <c r="B273" s="737" t="s">
        <v>44</v>
      </c>
      <c r="C273" s="738" t="s">
        <v>45</v>
      </c>
      <c r="D273" s="708" t="s">
        <v>32</v>
      </c>
      <c r="E273" s="708"/>
      <c r="F273" s="708"/>
      <c r="G273" s="708"/>
      <c r="H273" s="709" t="s">
        <v>386</v>
      </c>
      <c r="I273" s="709" t="s">
        <v>34</v>
      </c>
      <c r="J273" s="1608" t="s">
        <v>934</v>
      </c>
      <c r="K273" s="811" t="s">
        <v>935</v>
      </c>
      <c r="L273" s="710" t="e">
        <f>IF(OR(S273=#REF!,S273=#REF!,S273=#REF!,S273=#REF!,S273=#REF!,S273=#REF!,S273=#REF!,S273=#REF!),12,IF(OR(S273=#REF!,S273=#REF!,S273=#REF!,S273=#REF!,S273=#REF!,S273=#REF!,S273=#REF!),3,IF(S273=#REF!,1,IF(S273=#REF!,18,IF(OR(S273=#REF!,S273=#REF!,S273=#REF!,S273=#REF!,S273=#REF!),14,"Invalid proposed procurement method")))))</f>
        <v>#REF!</v>
      </c>
      <c r="M273" s="711">
        <v>44726</v>
      </c>
      <c r="N273" s="711" t="str">
        <f>IFERROR(EDATE(O273,-L273),"Invalid procurement method or date entered")</f>
        <v>Invalid procurement method or date entered</v>
      </c>
      <c r="O273" s="2165">
        <v>44801</v>
      </c>
      <c r="P273" s="2166">
        <v>120</v>
      </c>
      <c r="Q273" s="2167" t="s">
        <v>936</v>
      </c>
      <c r="R273" s="742">
        <v>144000</v>
      </c>
      <c r="S273" s="710" t="s">
        <v>130</v>
      </c>
      <c r="T273" s="710" t="s">
        <v>62</v>
      </c>
      <c r="U273" s="738" t="s">
        <v>70</v>
      </c>
      <c r="V273" s="738"/>
      <c r="W273" s="709" t="s">
        <v>937</v>
      </c>
      <c r="X273" s="915" t="s">
        <v>39</v>
      </c>
      <c r="Y273" s="710" t="s">
        <v>40</v>
      </c>
      <c r="Z273" s="710" t="s">
        <v>69</v>
      </c>
      <c r="AA273" s="710" t="s">
        <v>70</v>
      </c>
      <c r="AB273" s="745">
        <v>44816</v>
      </c>
      <c r="AC273" s="709" t="s">
        <v>938</v>
      </c>
      <c r="AD273" s="785" t="s">
        <v>73</v>
      </c>
      <c r="AE273" s="744">
        <v>12000</v>
      </c>
      <c r="AF273">
        <f t="shared" ca="1" si="22"/>
        <v>492</v>
      </c>
    </row>
    <row r="274" spans="1:33" s="906" customFormat="1" ht="117">
      <c r="A274" s="2168">
        <v>44728</v>
      </c>
      <c r="B274" s="2169" t="s">
        <v>56</v>
      </c>
      <c r="C274" s="2170" t="s">
        <v>60</v>
      </c>
      <c r="D274" s="2171" t="s">
        <v>348</v>
      </c>
      <c r="E274" s="2171"/>
      <c r="F274" s="2171"/>
      <c r="G274" s="2171"/>
      <c r="H274" s="2172" t="s">
        <v>58</v>
      </c>
      <c r="I274" s="2170" t="s">
        <v>47</v>
      </c>
      <c r="J274" s="1621" t="s">
        <v>939</v>
      </c>
      <c r="K274" s="2170"/>
      <c r="L274" s="2172">
        <v>3</v>
      </c>
      <c r="M274" s="2173">
        <v>44728</v>
      </c>
      <c r="N274" s="2174">
        <f>IF(O274="tbc","",(IFERROR(EDATE(O274,-L274),"Invalid procurement method or date entered")))</f>
        <v>44667</v>
      </c>
      <c r="O274" s="2175">
        <v>44758</v>
      </c>
      <c r="P274" s="2176">
        <v>1</v>
      </c>
      <c r="Q274" s="2177">
        <v>1</v>
      </c>
      <c r="R274" s="2178">
        <v>36000</v>
      </c>
      <c r="S274" s="2179" t="s">
        <v>84</v>
      </c>
      <c r="T274" s="2179" t="s">
        <v>71</v>
      </c>
      <c r="U274" s="2179" t="s">
        <v>589</v>
      </c>
      <c r="V274" s="2179"/>
      <c r="W274" s="2170" t="s">
        <v>940</v>
      </c>
      <c r="X274" s="2172" t="s">
        <v>351</v>
      </c>
      <c r="Y274" s="2265" t="s">
        <v>594</v>
      </c>
      <c r="Z274" s="2180" t="s">
        <v>69</v>
      </c>
      <c r="AA274" s="876" t="s">
        <v>70</v>
      </c>
      <c r="AB274" s="2181">
        <v>44903</v>
      </c>
      <c r="AC274" s="2182" t="s">
        <v>941</v>
      </c>
      <c r="AD274" s="2183"/>
      <c r="AE274" s="2170"/>
      <c r="AF274">
        <f t="shared" ca="1" si="22"/>
        <v>405</v>
      </c>
    </row>
    <row r="275" spans="1:33" s="906" customFormat="1" ht="78">
      <c r="A275" s="749">
        <v>44726</v>
      </c>
      <c r="B275" s="725" t="s">
        <v>56</v>
      </c>
      <c r="C275" s="726" t="s">
        <v>60</v>
      </c>
      <c r="D275" s="727" t="s">
        <v>348</v>
      </c>
      <c r="E275" s="727"/>
      <c r="F275" s="727"/>
      <c r="G275" s="727"/>
      <c r="H275" s="728" t="s">
        <v>58</v>
      </c>
      <c r="I275" s="729" t="s">
        <v>47</v>
      </c>
      <c r="J275" s="1604" t="s">
        <v>942</v>
      </c>
      <c r="K275" s="729"/>
      <c r="L275" s="730">
        <v>3</v>
      </c>
      <c r="M275" s="731">
        <v>44728</v>
      </c>
      <c r="N275" s="712">
        <f>IF(O275="tbc","",(IFERROR(EDATE(O275,-L275),"Invalid procurement method or date entered")))</f>
        <v>44728</v>
      </c>
      <c r="O275" s="759">
        <v>44820</v>
      </c>
      <c r="P275" s="760">
        <v>1</v>
      </c>
      <c r="Q275" s="761">
        <v>1</v>
      </c>
      <c r="R275" s="742">
        <f>84000+15000+21000+21000</f>
        <v>141000</v>
      </c>
      <c r="S275" s="711" t="s">
        <v>61</v>
      </c>
      <c r="T275" s="711" t="s">
        <v>71</v>
      </c>
      <c r="U275" s="711" t="s">
        <v>589</v>
      </c>
      <c r="V275" s="711"/>
      <c r="W275" s="729" t="s">
        <v>943</v>
      </c>
      <c r="X275" s="810" t="s">
        <v>351</v>
      </c>
      <c r="Y275" s="795" t="s">
        <v>40</v>
      </c>
      <c r="Z275" s="2264" t="s">
        <v>154</v>
      </c>
      <c r="AA275" s="695" t="s">
        <v>70</v>
      </c>
      <c r="AB275" s="764">
        <v>44797</v>
      </c>
      <c r="AC275" s="935" t="s">
        <v>944</v>
      </c>
      <c r="AD275" s="890"/>
      <c r="AE275" s="726"/>
      <c r="AF275">
        <f t="shared" ca="1" si="22"/>
        <v>511</v>
      </c>
    </row>
    <row r="276" spans="1:33" s="906" customFormat="1" ht="37">
      <c r="A276" s="695" t="s">
        <v>71</v>
      </c>
      <c r="B276" s="737" t="s">
        <v>44</v>
      </c>
      <c r="C276" s="738"/>
      <c r="D276" s="708" t="s">
        <v>57</v>
      </c>
      <c r="E276" s="708"/>
      <c r="F276" s="708"/>
      <c r="G276" s="708"/>
      <c r="H276" s="709" t="s">
        <v>46</v>
      </c>
      <c r="I276" s="709" t="s">
        <v>270</v>
      </c>
      <c r="J276" s="1608" t="s">
        <v>945</v>
      </c>
      <c r="K276" s="811" t="s">
        <v>946</v>
      </c>
      <c r="L276" s="710">
        <v>6</v>
      </c>
      <c r="M276" s="711">
        <v>44732</v>
      </c>
      <c r="N276" s="711" t="s">
        <v>67</v>
      </c>
      <c r="O276" s="770" t="s">
        <v>67</v>
      </c>
      <c r="P276" s="740" t="s">
        <v>67</v>
      </c>
      <c r="Q276" s="719" t="s">
        <v>67</v>
      </c>
      <c r="R276" s="742">
        <v>213000</v>
      </c>
      <c r="S276" s="708" t="s">
        <v>270</v>
      </c>
      <c r="T276" s="744" t="s">
        <v>67</v>
      </c>
      <c r="U276" s="770" t="s">
        <v>67</v>
      </c>
      <c r="V276" s="770"/>
      <c r="W276" s="709" t="s">
        <v>947</v>
      </c>
      <c r="X276" s="710" t="s">
        <v>283</v>
      </c>
      <c r="Y276" s="700" t="s">
        <v>40</v>
      </c>
      <c r="Z276" s="710" t="s">
        <v>69</v>
      </c>
      <c r="AA276" s="710" t="s">
        <v>70</v>
      </c>
      <c r="AB276" s="745">
        <v>44818</v>
      </c>
      <c r="AC276" s="709" t="s">
        <v>948</v>
      </c>
      <c r="AD276" s="708"/>
      <c r="AE276" s="744"/>
      <c r="AF276">
        <f t="shared" ca="1" si="22"/>
        <v>490</v>
      </c>
    </row>
    <row r="277" spans="1:33" s="906" customFormat="1" ht="52">
      <c r="A277" s="749">
        <v>44728</v>
      </c>
      <c r="B277" s="725" t="s">
        <v>56</v>
      </c>
      <c r="C277" s="726" t="s">
        <v>60</v>
      </c>
      <c r="D277" s="727" t="s">
        <v>348</v>
      </c>
      <c r="E277" s="727"/>
      <c r="F277" s="727"/>
      <c r="G277" s="727"/>
      <c r="H277" s="728" t="s">
        <v>58</v>
      </c>
      <c r="I277" s="729" t="s">
        <v>47</v>
      </c>
      <c r="J277" s="1604" t="s">
        <v>949</v>
      </c>
      <c r="K277" s="729"/>
      <c r="L277" s="730">
        <v>3</v>
      </c>
      <c r="M277" s="731">
        <v>44735</v>
      </c>
      <c r="N277" s="712" t="s">
        <v>60</v>
      </c>
      <c r="O277" s="759">
        <v>44823</v>
      </c>
      <c r="P277" s="760">
        <v>1</v>
      </c>
      <c r="Q277" s="761">
        <v>1</v>
      </c>
      <c r="R277" s="742">
        <v>280000</v>
      </c>
      <c r="S277" s="734" t="s">
        <v>61</v>
      </c>
      <c r="T277" s="757" t="s">
        <v>71</v>
      </c>
      <c r="U277" s="1168" t="s">
        <v>589</v>
      </c>
      <c r="V277" s="1168"/>
      <c r="W277" s="851" t="s">
        <v>943</v>
      </c>
      <c r="X277" s="703" t="s">
        <v>351</v>
      </c>
      <c r="Y277" s="2111" t="s">
        <v>594</v>
      </c>
      <c r="Z277" s="2114" t="s">
        <v>69</v>
      </c>
      <c r="AA277" s="782" t="s">
        <v>70</v>
      </c>
      <c r="AB277" s="764">
        <v>44754</v>
      </c>
      <c r="AC277" s="935" t="s">
        <v>950</v>
      </c>
      <c r="AD277" s="890"/>
      <c r="AE277" s="726"/>
      <c r="AF277">
        <f t="shared" ca="1" si="22"/>
        <v>554</v>
      </c>
    </row>
    <row r="278" spans="1:33" s="906" customFormat="1" ht="182">
      <c r="A278" s="749">
        <v>44757</v>
      </c>
      <c r="B278" s="737" t="s">
        <v>44</v>
      </c>
      <c r="C278" s="746"/>
      <c r="D278" s="708" t="s">
        <v>709</v>
      </c>
      <c r="E278" s="727"/>
      <c r="F278" s="708" t="s">
        <v>361</v>
      </c>
      <c r="G278" s="708" t="s">
        <v>362</v>
      </c>
      <c r="H278" s="710" t="s">
        <v>65</v>
      </c>
      <c r="I278" s="695" t="s">
        <v>731</v>
      </c>
      <c r="J278" s="2184" t="s">
        <v>951</v>
      </c>
      <c r="K278" s="1347" t="s">
        <v>952</v>
      </c>
      <c r="L278" s="710"/>
      <c r="M278" s="769">
        <v>44743</v>
      </c>
      <c r="N278" s="769">
        <v>44755</v>
      </c>
      <c r="O278" s="1235">
        <v>44769</v>
      </c>
      <c r="P278" s="750">
        <v>2</v>
      </c>
      <c r="Q278" s="751" t="s">
        <v>953</v>
      </c>
      <c r="R278" s="742">
        <v>20100</v>
      </c>
      <c r="S278" s="710" t="s">
        <v>84</v>
      </c>
      <c r="T278" s="731" t="s">
        <v>38</v>
      </c>
      <c r="U278" s="731" t="s">
        <v>67</v>
      </c>
      <c r="V278" s="731"/>
      <c r="W278" s="695" t="s">
        <v>379</v>
      </c>
      <c r="X278" s="710" t="s">
        <v>77</v>
      </c>
      <c r="Y278" s="710" t="s">
        <v>40</v>
      </c>
      <c r="Z278" s="710"/>
      <c r="AA278" s="695" t="s">
        <v>38</v>
      </c>
      <c r="AB278" s="2185">
        <v>44965</v>
      </c>
      <c r="AC278" s="1425" t="s">
        <v>954</v>
      </c>
      <c r="AD278" s="723" t="s">
        <v>46</v>
      </c>
      <c r="AE278" s="1297">
        <v>40000</v>
      </c>
      <c r="AF278">
        <f t="shared" ca="1" si="22"/>
        <v>343</v>
      </c>
    </row>
    <row r="279" spans="1:33" s="906" customFormat="1" ht="91">
      <c r="A279" s="749">
        <v>44705</v>
      </c>
      <c r="B279" s="725" t="s">
        <v>56</v>
      </c>
      <c r="C279" s="726" t="s">
        <v>60</v>
      </c>
      <c r="D279" s="727" t="s">
        <v>348</v>
      </c>
      <c r="E279" s="727"/>
      <c r="F279" s="727"/>
      <c r="G279" s="727"/>
      <c r="H279" s="728" t="s">
        <v>308</v>
      </c>
      <c r="I279" s="729" t="s">
        <v>47</v>
      </c>
      <c r="J279" s="1604" t="s">
        <v>955</v>
      </c>
      <c r="K279" s="729"/>
      <c r="L279" s="730">
        <v>3</v>
      </c>
      <c r="M279" s="731">
        <v>44743</v>
      </c>
      <c r="N279" s="712" t="s">
        <v>60</v>
      </c>
      <c r="O279" s="759">
        <v>44823</v>
      </c>
      <c r="P279" s="760">
        <v>2</v>
      </c>
      <c r="Q279" s="761">
        <v>2</v>
      </c>
      <c r="R279" s="742">
        <v>150000</v>
      </c>
      <c r="S279" s="734" t="s">
        <v>182</v>
      </c>
      <c r="T279" s="711" t="s">
        <v>589</v>
      </c>
      <c r="U279" s="711" t="s">
        <v>60</v>
      </c>
      <c r="V279" s="711"/>
      <c r="W279" s="729" t="s">
        <v>956</v>
      </c>
      <c r="X279" s="730" t="s">
        <v>351</v>
      </c>
      <c r="Y279" s="762" t="s">
        <v>115</v>
      </c>
      <c r="Z279" s="736"/>
      <c r="AA279" s="695" t="s">
        <v>70</v>
      </c>
      <c r="AB279" s="2186">
        <v>44770</v>
      </c>
      <c r="AC279" s="1290" t="s">
        <v>957</v>
      </c>
      <c r="AD279" s="1273"/>
      <c r="AE279" s="1273"/>
      <c r="AF279">
        <f t="shared" ca="1" si="22"/>
        <v>538</v>
      </c>
    </row>
    <row r="280" spans="1:33" s="906" customFormat="1" ht="39">
      <c r="A280" s="749">
        <v>44799</v>
      </c>
      <c r="B280" s="725" t="s">
        <v>56</v>
      </c>
      <c r="C280" s="726" t="s">
        <v>67</v>
      </c>
      <c r="D280" s="727" t="s">
        <v>32</v>
      </c>
      <c r="E280" s="727"/>
      <c r="F280" s="727"/>
      <c r="G280" s="727"/>
      <c r="H280" s="730" t="s">
        <v>308</v>
      </c>
      <c r="I280" s="710" t="s">
        <v>958</v>
      </c>
      <c r="J280" s="1608" t="s">
        <v>959</v>
      </c>
      <c r="K280" s="710" t="s">
        <v>960</v>
      </c>
      <c r="L280" s="730">
        <v>1</v>
      </c>
      <c r="M280" s="731">
        <v>44743</v>
      </c>
      <c r="N280" s="712">
        <f>IF(O280="tbc","",(IFERROR(EDATE(O280,-L280),"Invalid procurement method or date entered")))</f>
        <v>44792</v>
      </c>
      <c r="O280" s="711">
        <v>44823</v>
      </c>
      <c r="P280" s="732" t="s">
        <v>67</v>
      </c>
      <c r="Q280" s="733" t="s">
        <v>67</v>
      </c>
      <c r="R280" s="937">
        <v>1000000</v>
      </c>
      <c r="S280" s="799" t="s">
        <v>270</v>
      </c>
      <c r="T280" s="711" t="s">
        <v>38</v>
      </c>
      <c r="U280" s="711" t="s">
        <v>67</v>
      </c>
      <c r="V280" s="711"/>
      <c r="W280" s="710" t="s">
        <v>961</v>
      </c>
      <c r="X280" s="730" t="s">
        <v>561</v>
      </c>
      <c r="Y280" s="762" t="s">
        <v>40</v>
      </c>
      <c r="Z280" s="762" t="s">
        <v>69</v>
      </c>
      <c r="AA280" s="695" t="s">
        <v>38</v>
      </c>
      <c r="AB280" s="1340">
        <v>44939</v>
      </c>
      <c r="AC280" s="1293" t="s">
        <v>962</v>
      </c>
      <c r="AD280" s="1286"/>
      <c r="AE280" s="1286"/>
      <c r="AF280">
        <f t="shared" ca="1" si="22"/>
        <v>369</v>
      </c>
    </row>
    <row r="281" spans="1:33" s="906" customFormat="1" ht="39">
      <c r="A281" s="749">
        <v>44799</v>
      </c>
      <c r="B281" s="725" t="s">
        <v>56</v>
      </c>
      <c r="C281" s="726" t="s">
        <v>67</v>
      </c>
      <c r="D281" s="727" t="s">
        <v>32</v>
      </c>
      <c r="E281" s="727"/>
      <c r="F281" s="727"/>
      <c r="G281" s="727"/>
      <c r="H281" s="730" t="s">
        <v>308</v>
      </c>
      <c r="I281" s="710" t="s">
        <v>268</v>
      </c>
      <c r="J281" s="1608" t="s">
        <v>963</v>
      </c>
      <c r="K281" s="710" t="s">
        <v>964</v>
      </c>
      <c r="L281" s="730">
        <v>1</v>
      </c>
      <c r="M281" s="731">
        <v>44743</v>
      </c>
      <c r="N281" s="712">
        <f>IF(O281="tbc","",(IFERROR(EDATE(O281,-L281),"Invalid procurement method or date entered")))</f>
        <v>44792</v>
      </c>
      <c r="O281" s="711">
        <v>44823</v>
      </c>
      <c r="P281" s="732" t="s">
        <v>67</v>
      </c>
      <c r="Q281" s="733" t="s">
        <v>67</v>
      </c>
      <c r="R281" s="937">
        <v>1000000</v>
      </c>
      <c r="S281" s="858" t="s">
        <v>270</v>
      </c>
      <c r="T281" s="711" t="s">
        <v>38</v>
      </c>
      <c r="U281" s="711" t="s">
        <v>67</v>
      </c>
      <c r="V281" s="711"/>
      <c r="W281" s="710" t="s">
        <v>961</v>
      </c>
      <c r="X281" s="730" t="s">
        <v>561</v>
      </c>
      <c r="Y281" s="762" t="s">
        <v>40</v>
      </c>
      <c r="Z281" s="762" t="s">
        <v>69</v>
      </c>
      <c r="AA281" s="695" t="s">
        <v>38</v>
      </c>
      <c r="AB281" s="1340">
        <v>44939</v>
      </c>
      <c r="AC281" s="1293" t="s">
        <v>965</v>
      </c>
      <c r="AD281" s="1286"/>
      <c r="AE281" s="1286"/>
      <c r="AF281">
        <f t="shared" ca="1" si="22"/>
        <v>369</v>
      </c>
    </row>
    <row r="282" spans="1:33" s="906" customFormat="1" ht="26">
      <c r="A282" s="1235" t="s">
        <v>71</v>
      </c>
      <c r="B282" s="737" t="s">
        <v>44</v>
      </c>
      <c r="C282" s="738" t="s">
        <v>45</v>
      </c>
      <c r="D282" s="739" t="s">
        <v>32</v>
      </c>
      <c r="E282" s="739"/>
      <c r="F282" s="739"/>
      <c r="G282" s="739"/>
      <c r="H282" s="808" t="s">
        <v>33</v>
      </c>
      <c r="I282" s="843" t="s">
        <v>34</v>
      </c>
      <c r="J282" s="1608" t="s">
        <v>966</v>
      </c>
      <c r="K282" s="710" t="s">
        <v>967</v>
      </c>
      <c r="L282" s="710">
        <v>1</v>
      </c>
      <c r="M282" s="769">
        <f>IFERROR(EDATE($N282,-3),"Invalid procurement method or date entered")</f>
        <v>44743</v>
      </c>
      <c r="N282" s="769">
        <f>IFERROR(EDATE(O282,-L282),"Invalid procurement method or date entered")</f>
        <v>44835</v>
      </c>
      <c r="O282" s="1237">
        <v>44866</v>
      </c>
      <c r="P282" s="830">
        <v>24</v>
      </c>
      <c r="Q282" s="719" t="s">
        <v>968</v>
      </c>
      <c r="R282" s="937">
        <v>64000</v>
      </c>
      <c r="S282" s="708" t="s">
        <v>130</v>
      </c>
      <c r="T282" s="767" t="s">
        <v>38</v>
      </c>
      <c r="U282" s="738" t="s">
        <v>67</v>
      </c>
      <c r="V282" s="738"/>
      <c r="W282" s="710" t="s">
        <v>969</v>
      </c>
      <c r="X282" s="710" t="s">
        <v>283</v>
      </c>
      <c r="Y282" s="710" t="s">
        <v>40</v>
      </c>
      <c r="Z282" s="710"/>
      <c r="AA282" s="808" t="s">
        <v>38</v>
      </c>
      <c r="AB282" s="769">
        <v>44860</v>
      </c>
      <c r="AC282" s="1292" t="s">
        <v>970</v>
      </c>
      <c r="AD282" s="723" t="s">
        <v>145</v>
      </c>
      <c r="AE282" s="850"/>
      <c r="AF282">
        <f t="shared" ca="1" si="22"/>
        <v>448</v>
      </c>
    </row>
    <row r="283" spans="1:33" s="906" customFormat="1" ht="208">
      <c r="A283" s="749">
        <v>44757</v>
      </c>
      <c r="B283" s="737" t="s">
        <v>44</v>
      </c>
      <c r="C283" s="746"/>
      <c r="D283" s="708" t="s">
        <v>32</v>
      </c>
      <c r="E283" s="727"/>
      <c r="F283" s="739" t="s">
        <v>361</v>
      </c>
      <c r="G283" s="739" t="s">
        <v>362</v>
      </c>
      <c r="H283" s="710" t="s">
        <v>65</v>
      </c>
      <c r="I283" s="695" t="s">
        <v>731</v>
      </c>
      <c r="J283" s="1626" t="s">
        <v>971</v>
      </c>
      <c r="K283" s="1347" t="s">
        <v>952</v>
      </c>
      <c r="L283" s="710">
        <v>1</v>
      </c>
      <c r="M283" s="769">
        <v>44743</v>
      </c>
      <c r="N283" s="769">
        <f>IFERROR(EDATE(O283,-L283),"Invalid procurement method or date entered")</f>
        <v>44866</v>
      </c>
      <c r="O283" s="1235">
        <v>44896</v>
      </c>
      <c r="P283" s="750">
        <v>5</v>
      </c>
      <c r="Q283" s="751" t="s">
        <v>972</v>
      </c>
      <c r="R283" s="742">
        <v>50000</v>
      </c>
      <c r="S283" s="708" t="s">
        <v>84</v>
      </c>
      <c r="T283" s="731" t="s">
        <v>38</v>
      </c>
      <c r="U283" s="731" t="s">
        <v>67</v>
      </c>
      <c r="V283" s="731"/>
      <c r="W283" s="695" t="s">
        <v>379</v>
      </c>
      <c r="X283" s="710" t="s">
        <v>77</v>
      </c>
      <c r="Y283" s="710" t="s">
        <v>40</v>
      </c>
      <c r="Z283" s="710"/>
      <c r="AA283" s="695" t="s">
        <v>38</v>
      </c>
      <c r="AB283" s="1339">
        <v>44965</v>
      </c>
      <c r="AC283" s="1425" t="s">
        <v>973</v>
      </c>
      <c r="AD283" s="723" t="s">
        <v>46</v>
      </c>
      <c r="AE283" s="1297">
        <v>50000</v>
      </c>
      <c r="AF283">
        <f t="shared" ca="1" si="22"/>
        <v>343</v>
      </c>
    </row>
    <row r="284" spans="1:33" s="950" customFormat="1" ht="39">
      <c r="A284" s="749" t="s">
        <v>71</v>
      </c>
      <c r="B284" s="737" t="s">
        <v>44</v>
      </c>
      <c r="C284" s="738" t="s">
        <v>974</v>
      </c>
      <c r="D284" s="708" t="s">
        <v>32</v>
      </c>
      <c r="E284" s="708"/>
      <c r="F284" s="708"/>
      <c r="G284" s="708"/>
      <c r="H284" s="756" t="s">
        <v>506</v>
      </c>
      <c r="I284" s="709" t="s">
        <v>34</v>
      </c>
      <c r="J284" s="1602" t="s">
        <v>975</v>
      </c>
      <c r="K284" s="709" t="s">
        <v>976</v>
      </c>
      <c r="L284" s="710">
        <v>6</v>
      </c>
      <c r="M284" s="711">
        <f>IFERROR(EDATE($N284,-3),"Invalid procurement method or date entered")</f>
        <v>44743</v>
      </c>
      <c r="N284" s="711">
        <f>IFERROR(EDATE(O284,-L284),"Invalid procurement method or date entered")</f>
        <v>44835</v>
      </c>
      <c r="O284" s="770">
        <v>45017</v>
      </c>
      <c r="P284" s="740">
        <v>48</v>
      </c>
      <c r="Q284" s="766" t="s">
        <v>626</v>
      </c>
      <c r="R284" s="742">
        <v>156000</v>
      </c>
      <c r="S284" s="708" t="s">
        <v>130</v>
      </c>
      <c r="T284" s="710" t="s">
        <v>38</v>
      </c>
      <c r="U284" s="738" t="s">
        <v>67</v>
      </c>
      <c r="V284" s="738"/>
      <c r="W284" s="709" t="s">
        <v>977</v>
      </c>
      <c r="X284" s="710" t="s">
        <v>39</v>
      </c>
      <c r="Y284" s="710" t="s">
        <v>40</v>
      </c>
      <c r="Z284" s="710" t="s">
        <v>87</v>
      </c>
      <c r="AA284" s="710" t="s">
        <v>38</v>
      </c>
      <c r="AB284" s="857">
        <v>44796</v>
      </c>
      <c r="AC284" s="717" t="s">
        <v>978</v>
      </c>
      <c r="AD284" s="723" t="s">
        <v>979</v>
      </c>
      <c r="AE284" s="807" t="s">
        <v>45</v>
      </c>
      <c r="AF284">
        <f t="shared" ca="1" si="22"/>
        <v>512</v>
      </c>
      <c r="AG284"/>
    </row>
    <row r="285" spans="1:33" s="906" customFormat="1" ht="39">
      <c r="A285" s="749" t="s">
        <v>71</v>
      </c>
      <c r="B285" s="737" t="s">
        <v>44</v>
      </c>
      <c r="C285" s="738" t="s">
        <v>980</v>
      </c>
      <c r="D285" s="739" t="s">
        <v>32</v>
      </c>
      <c r="E285" s="727"/>
      <c r="F285" s="739" t="s">
        <v>122</v>
      </c>
      <c r="G285" s="739" t="s">
        <v>569</v>
      </c>
      <c r="H285" s="710" t="s">
        <v>33</v>
      </c>
      <c r="I285" s="710" t="s">
        <v>34</v>
      </c>
      <c r="J285" s="1602" t="s">
        <v>319</v>
      </c>
      <c r="K285" s="710" t="s">
        <v>981</v>
      </c>
      <c r="L285" s="710">
        <v>10</v>
      </c>
      <c r="M285" s="769">
        <f>IFERROR(EDATE($N285,-3),"Invalid procurement method or date entered")</f>
        <v>44743</v>
      </c>
      <c r="N285" s="769">
        <f>IFERROR(EDATE(O285,-L285),"Invalid procurement method or date entered")</f>
        <v>44835</v>
      </c>
      <c r="O285" s="769">
        <v>45139</v>
      </c>
      <c r="P285" s="750">
        <v>48</v>
      </c>
      <c r="Q285" s="723" t="s">
        <v>982</v>
      </c>
      <c r="R285" s="742">
        <v>34622</v>
      </c>
      <c r="S285" s="708" t="s">
        <v>130</v>
      </c>
      <c r="T285" s="808" t="s">
        <v>38</v>
      </c>
      <c r="U285" s="838" t="s">
        <v>67</v>
      </c>
      <c r="V285" s="838"/>
      <c r="W285" s="1060" t="s">
        <v>983</v>
      </c>
      <c r="X285" s="1060" t="s">
        <v>283</v>
      </c>
      <c r="Y285" s="1060" t="s">
        <v>40</v>
      </c>
      <c r="Z285" s="1060" t="s">
        <v>154</v>
      </c>
      <c r="AA285" s="1060" t="s">
        <v>70</v>
      </c>
      <c r="AB285" s="769">
        <v>44967</v>
      </c>
      <c r="AC285" s="1365" t="s">
        <v>984</v>
      </c>
      <c r="AD285" s="723" t="s">
        <v>220</v>
      </c>
      <c r="AE285" s="793"/>
      <c r="AF285">
        <f t="shared" ca="1" si="22"/>
        <v>341</v>
      </c>
    </row>
    <row r="286" spans="1:33" s="906" customFormat="1" ht="130">
      <c r="A286" s="749"/>
      <c r="B286" s="725" t="s">
        <v>56</v>
      </c>
      <c r="C286" s="726" t="s">
        <v>60</v>
      </c>
      <c r="D286" s="727" t="s">
        <v>57</v>
      </c>
      <c r="E286" s="727"/>
      <c r="F286" s="727"/>
      <c r="G286" s="727"/>
      <c r="H286" s="728" t="s">
        <v>58</v>
      </c>
      <c r="I286" s="729" t="s">
        <v>47</v>
      </c>
      <c r="J286" s="1604" t="s">
        <v>985</v>
      </c>
      <c r="K286" s="729"/>
      <c r="L286" s="730">
        <v>3</v>
      </c>
      <c r="M286" s="731">
        <v>44746</v>
      </c>
      <c r="N286" s="712">
        <f>IF(O286="tbc","",(IFERROR(EDATE(O286,-L286),"Invalid procurement method or date entered")))</f>
        <v>44655</v>
      </c>
      <c r="O286" s="759">
        <v>44746</v>
      </c>
      <c r="P286" s="760">
        <v>1</v>
      </c>
      <c r="Q286" s="761">
        <v>1</v>
      </c>
      <c r="R286" s="742">
        <v>30000</v>
      </c>
      <c r="S286" s="711" t="s">
        <v>61</v>
      </c>
      <c r="T286" s="711" t="s">
        <v>62</v>
      </c>
      <c r="U286" s="711" t="s">
        <v>60</v>
      </c>
      <c r="V286" s="711"/>
      <c r="W286" s="729" t="s">
        <v>986</v>
      </c>
      <c r="X286" s="730" t="s">
        <v>312</v>
      </c>
      <c r="Y286" s="825" t="s">
        <v>115</v>
      </c>
      <c r="Z286" s="825" t="s">
        <v>154</v>
      </c>
      <c r="AA286" s="695" t="s">
        <v>70</v>
      </c>
      <c r="AB286" s="764">
        <v>44840</v>
      </c>
      <c r="AC286" s="1278" t="s">
        <v>987</v>
      </c>
      <c r="AD286" s="924"/>
      <c r="AE286" s="924"/>
      <c r="AF286">
        <f t="shared" ca="1" si="22"/>
        <v>468</v>
      </c>
    </row>
    <row r="287" spans="1:33" s="906" customFormat="1" ht="312">
      <c r="A287" s="749"/>
      <c r="B287" s="725" t="s">
        <v>56</v>
      </c>
      <c r="C287" s="726" t="s">
        <v>60</v>
      </c>
      <c r="D287" s="854" t="s">
        <v>57</v>
      </c>
      <c r="E287" s="854"/>
      <c r="F287" s="854"/>
      <c r="G287" s="854"/>
      <c r="H287" s="854" t="s">
        <v>58</v>
      </c>
      <c r="I287" s="1318" t="s">
        <v>47</v>
      </c>
      <c r="J287" s="1988" t="s">
        <v>988</v>
      </c>
      <c r="K287" s="1318"/>
      <c r="L287" s="730">
        <v>1</v>
      </c>
      <c r="M287" s="731">
        <v>44747</v>
      </c>
      <c r="N287" s="712">
        <f>IF(O287="tbc","",(IFERROR(EDATE(O287,-L287),"Invalid procurement method or date entered")))</f>
        <v>44835</v>
      </c>
      <c r="O287" s="1155">
        <v>44866</v>
      </c>
      <c r="P287" s="1156" t="s">
        <v>60</v>
      </c>
      <c r="Q287" s="761" t="s">
        <v>60</v>
      </c>
      <c r="R287" s="742">
        <v>60000</v>
      </c>
      <c r="S287" s="734" t="s">
        <v>176</v>
      </c>
      <c r="T287" s="701" t="s">
        <v>62</v>
      </c>
      <c r="U287" s="701" t="s">
        <v>60</v>
      </c>
      <c r="V287" s="701"/>
      <c r="W287" s="1318" t="s">
        <v>740</v>
      </c>
      <c r="X287" s="854" t="s">
        <v>351</v>
      </c>
      <c r="Y287" s="762" t="s">
        <v>115</v>
      </c>
      <c r="Z287" s="762" t="s">
        <v>154</v>
      </c>
      <c r="AA287" s="695" t="s">
        <v>70</v>
      </c>
      <c r="AB287" s="1340">
        <v>44942</v>
      </c>
      <c r="AC287" s="1278" t="s">
        <v>989</v>
      </c>
      <c r="AD287" s="924"/>
      <c r="AE287" s="924"/>
      <c r="AF287">
        <f t="shared" ca="1" si="22"/>
        <v>366</v>
      </c>
    </row>
    <row r="288" spans="1:33" s="906" customFormat="1" ht="286">
      <c r="A288" s="749"/>
      <c r="B288" s="725" t="s">
        <v>56</v>
      </c>
      <c r="C288" s="726" t="s">
        <v>60</v>
      </c>
      <c r="D288" s="727" t="s">
        <v>57</v>
      </c>
      <c r="E288" s="727"/>
      <c r="F288" s="727"/>
      <c r="G288" s="727"/>
      <c r="H288" s="728" t="s">
        <v>58</v>
      </c>
      <c r="I288" s="729" t="s">
        <v>47</v>
      </c>
      <c r="J288" s="1604" t="s">
        <v>990</v>
      </c>
      <c r="K288" s="729"/>
      <c r="L288" s="730">
        <v>3</v>
      </c>
      <c r="M288" s="731">
        <v>44750</v>
      </c>
      <c r="N288" s="712" t="s">
        <v>991</v>
      </c>
      <c r="O288" s="759" t="s">
        <v>991</v>
      </c>
      <c r="P288" s="760">
        <v>2</v>
      </c>
      <c r="Q288" s="761">
        <v>2</v>
      </c>
      <c r="R288" s="742">
        <v>99624</v>
      </c>
      <c r="S288" s="734" t="s">
        <v>61</v>
      </c>
      <c r="T288" s="711" t="s">
        <v>62</v>
      </c>
      <c r="U288" s="711" t="s">
        <v>60</v>
      </c>
      <c r="V288" s="711"/>
      <c r="W288" s="729" t="s">
        <v>750</v>
      </c>
      <c r="X288" s="730" t="s">
        <v>312</v>
      </c>
      <c r="Y288" s="762" t="s">
        <v>115</v>
      </c>
      <c r="Z288" s="736" t="s">
        <v>154</v>
      </c>
      <c r="AA288" s="695" t="s">
        <v>70</v>
      </c>
      <c r="AB288" s="833">
        <v>44840</v>
      </c>
      <c r="AC288" s="1278" t="s">
        <v>992</v>
      </c>
      <c r="AD288" s="924"/>
      <c r="AE288" s="924"/>
      <c r="AF288">
        <f t="shared" ca="1" si="22"/>
        <v>468</v>
      </c>
    </row>
    <row r="289" spans="1:33" s="906" customFormat="1" ht="39">
      <c r="A289" s="749"/>
      <c r="B289" s="737" t="s">
        <v>44</v>
      </c>
      <c r="C289" s="738" t="s">
        <v>45</v>
      </c>
      <c r="D289" s="739" t="s">
        <v>32</v>
      </c>
      <c r="E289" s="739"/>
      <c r="F289" s="739"/>
      <c r="G289" s="739"/>
      <c r="H289" s="709" t="s">
        <v>33</v>
      </c>
      <c r="I289" s="709" t="s">
        <v>270</v>
      </c>
      <c r="J289" s="1608" t="s">
        <v>159</v>
      </c>
      <c r="K289" s="709"/>
      <c r="L289" s="710" t="e">
        <f>IF(OR(S289=#REF!,S289=#REF!,S289=#REF!,S289=#REF!,S289=#REF!,S289=#REF!,S289=#REF!,S289=#REF!),12,IF(OR(S289=#REF!,S289=#REF!,S289=#REF!,S289=#REF!,S289=#REF!,S289=#REF!,S289=#REF!),3,IF(S289=#REF!,1,IF(S289=#REF!,18,IF(OR(S289=#REF!,S289=#REF!,S289=#REF!,S289=#REF!,S289=#REF!),14,"Invalid proposed procurement method")))))</f>
        <v>#REF!</v>
      </c>
      <c r="M289" s="711">
        <v>44755</v>
      </c>
      <c r="N289" s="711">
        <v>44755</v>
      </c>
      <c r="O289" s="770">
        <v>45139</v>
      </c>
      <c r="P289" s="740"/>
      <c r="Q289" s="719" t="s">
        <v>993</v>
      </c>
      <c r="R289" s="937">
        <v>167500</v>
      </c>
      <c r="S289" s="708" t="s">
        <v>270</v>
      </c>
      <c r="T289" s="744" t="s">
        <v>38</v>
      </c>
      <c r="U289" s="738" t="s">
        <v>71</v>
      </c>
      <c r="V289" s="738"/>
      <c r="W289" s="765" t="s">
        <v>392</v>
      </c>
      <c r="X289" s="710" t="s">
        <v>39</v>
      </c>
      <c r="Y289" s="710" t="s">
        <v>40</v>
      </c>
      <c r="Z289" s="710" t="s">
        <v>154</v>
      </c>
      <c r="AA289" s="710" t="s">
        <v>70</v>
      </c>
      <c r="AB289" s="745">
        <v>44777</v>
      </c>
      <c r="AC289" s="717" t="s">
        <v>994</v>
      </c>
      <c r="AD289" s="723" t="s">
        <v>164</v>
      </c>
      <c r="AE289" s="1255"/>
      <c r="AF289">
        <f t="shared" ca="1" si="22"/>
        <v>531</v>
      </c>
      <c r="AG289"/>
    </row>
    <row r="290" spans="1:33" s="906" customFormat="1" ht="26">
      <c r="A290" s="749"/>
      <c r="B290" s="737" t="s">
        <v>44</v>
      </c>
      <c r="C290" s="710"/>
      <c r="D290" s="739" t="s">
        <v>32</v>
      </c>
      <c r="E290" s="739"/>
      <c r="F290" s="739"/>
      <c r="G290" s="739"/>
      <c r="H290" s="709" t="s">
        <v>33</v>
      </c>
      <c r="I290" s="709" t="s">
        <v>270</v>
      </c>
      <c r="J290" s="1608" t="s">
        <v>995</v>
      </c>
      <c r="K290" s="709" t="s">
        <v>996</v>
      </c>
      <c r="L290" s="710"/>
      <c r="M290" s="711">
        <v>44757</v>
      </c>
      <c r="N290" s="711"/>
      <c r="O290" s="834" t="s">
        <v>45</v>
      </c>
      <c r="P290" s="740"/>
      <c r="Q290" s="1436"/>
      <c r="R290" s="742" t="s">
        <v>45</v>
      </c>
      <c r="S290" s="1436" t="s">
        <v>270</v>
      </c>
      <c r="T290" s="2078" t="s">
        <v>45</v>
      </c>
      <c r="U290" s="1482"/>
      <c r="V290" s="1482"/>
      <c r="W290" s="709" t="s">
        <v>997</v>
      </c>
      <c r="X290" s="710" t="s">
        <v>283</v>
      </c>
      <c r="Y290" s="710" t="s">
        <v>40</v>
      </c>
      <c r="Z290" s="710" t="s">
        <v>87</v>
      </c>
      <c r="AA290" s="710" t="s">
        <v>38</v>
      </c>
      <c r="AB290" s="745">
        <v>44798</v>
      </c>
      <c r="AC290" s="717" t="s">
        <v>998</v>
      </c>
      <c r="AD290" s="741"/>
      <c r="AE290" s="793"/>
      <c r="AF290">
        <f t="shared" ca="1" si="22"/>
        <v>510</v>
      </c>
    </row>
    <row r="291" spans="1:33" s="906" customFormat="1" ht="65">
      <c r="A291" s="1235"/>
      <c r="B291" s="737" t="s">
        <v>44</v>
      </c>
      <c r="C291" s="746" t="s">
        <v>45</v>
      </c>
      <c r="D291" s="739" t="s">
        <v>110</v>
      </c>
      <c r="E291" s="739"/>
      <c r="F291" s="739"/>
      <c r="G291" s="739"/>
      <c r="H291" s="709" t="s">
        <v>33</v>
      </c>
      <c r="I291" s="709" t="s">
        <v>34</v>
      </c>
      <c r="J291" s="1608" t="s">
        <v>999</v>
      </c>
      <c r="K291" s="709" t="s">
        <v>1000</v>
      </c>
      <c r="L291" s="710">
        <v>6</v>
      </c>
      <c r="M291" s="769">
        <f>IFERROR(EDATE($N291,-3),"Invalid procurement method or date entered")</f>
        <v>44758</v>
      </c>
      <c r="N291" s="769">
        <f>IFERROR(EDATE(O291,-L291),"Invalid procurement method or date entered")</f>
        <v>44850</v>
      </c>
      <c r="O291" s="769">
        <v>45032</v>
      </c>
      <c r="P291" s="740">
        <v>36</v>
      </c>
      <c r="Q291" s="914">
        <v>36</v>
      </c>
      <c r="R291" s="742">
        <v>52380</v>
      </c>
      <c r="S291" s="1312" t="s">
        <v>130</v>
      </c>
      <c r="T291" s="1368" t="s">
        <v>38</v>
      </c>
      <c r="U291" s="2090" t="s">
        <v>67</v>
      </c>
      <c r="V291" s="2090"/>
      <c r="W291" s="709" t="s">
        <v>1001</v>
      </c>
      <c r="X291" s="710" t="s">
        <v>283</v>
      </c>
      <c r="Y291" s="710" t="s">
        <v>40</v>
      </c>
      <c r="Z291" s="710" t="s">
        <v>154</v>
      </c>
      <c r="AA291" s="710" t="s">
        <v>38</v>
      </c>
      <c r="AB291" s="720">
        <v>44838</v>
      </c>
      <c r="AC291" s="1275" t="s">
        <v>1002</v>
      </c>
      <c r="AD291" s="723" t="s">
        <v>96</v>
      </c>
      <c r="AE291" s="1303"/>
      <c r="AF291">
        <f t="shared" ca="1" si="22"/>
        <v>470</v>
      </c>
    </row>
    <row r="292" spans="1:33" s="906" customFormat="1" ht="182">
      <c r="A292" s="749"/>
      <c r="B292" s="725" t="s">
        <v>56</v>
      </c>
      <c r="C292" s="1165" t="s">
        <v>60</v>
      </c>
      <c r="D292" s="794" t="s">
        <v>57</v>
      </c>
      <c r="E292" s="794"/>
      <c r="F292" s="794"/>
      <c r="G292" s="794"/>
      <c r="H292" s="1409" t="s">
        <v>58</v>
      </c>
      <c r="I292" s="851" t="s">
        <v>47</v>
      </c>
      <c r="J292" s="1977" t="s">
        <v>1003</v>
      </c>
      <c r="K292" s="955"/>
      <c r="L292" s="730">
        <v>3</v>
      </c>
      <c r="M292" s="2012">
        <v>44759</v>
      </c>
      <c r="N292" s="712">
        <f>IF(O292="tbc","",(IFERROR(EDATE(O292,-L292),"Invalid procurement method or date entered")))</f>
        <v>44759</v>
      </c>
      <c r="O292" s="1501">
        <v>44851</v>
      </c>
      <c r="P292" s="2031">
        <v>1</v>
      </c>
      <c r="Q292" s="761">
        <v>1</v>
      </c>
      <c r="R292" s="937">
        <v>75000</v>
      </c>
      <c r="S292" s="792" t="s">
        <v>61</v>
      </c>
      <c r="T292" s="792" t="s">
        <v>62</v>
      </c>
      <c r="U292" s="792" t="s">
        <v>60</v>
      </c>
      <c r="V292" s="792"/>
      <c r="W292" s="851" t="s">
        <v>901</v>
      </c>
      <c r="X292" s="730" t="s">
        <v>312</v>
      </c>
      <c r="Y292" s="1511" t="s">
        <v>115</v>
      </c>
      <c r="Z292" s="1511" t="s">
        <v>154</v>
      </c>
      <c r="AA292" s="719" t="s">
        <v>70</v>
      </c>
      <c r="AB292" s="1163">
        <v>44854</v>
      </c>
      <c r="AC292" s="1278" t="s">
        <v>1004</v>
      </c>
      <c r="AD292" s="924"/>
      <c r="AE292" s="924"/>
      <c r="AF292">
        <f t="shared" ca="1" si="22"/>
        <v>454</v>
      </c>
      <c r="AG292" s="950"/>
    </row>
    <row r="293" spans="1:33" s="906" customFormat="1" ht="58">
      <c r="A293" s="2777"/>
      <c r="B293" s="2783" t="s">
        <v>44</v>
      </c>
      <c r="C293" s="4" t="s">
        <v>45</v>
      </c>
      <c r="D293" s="32" t="s">
        <v>32</v>
      </c>
      <c r="E293" s="32"/>
      <c r="F293" s="32"/>
      <c r="G293" s="32"/>
      <c r="H293" s="5" t="s">
        <v>33</v>
      </c>
      <c r="I293" s="5" t="s">
        <v>47</v>
      </c>
      <c r="J293" s="16" t="s">
        <v>1005</v>
      </c>
      <c r="K293" s="8"/>
      <c r="L293" s="5" t="e">
        <f>IF(OR(S293=#REF!,S293=#REF!,S293=#REF!,S293=#REF!,S293=#REF!,S293=#REF!,S293=#REF!,S293=#REF!),12,IF(OR(S293=#REF!,S293=#REF!,S293=#REF!,S293=#REF!,S293=#REF!,S293=#REF!,S293=#REF!),3,IF(S293=#REF!,1,IF(S293=#REF!,18,IF(OR(S293=#REF!,S293=#REF!,S293=#REF!,S293=#REF!,S293=#REF!),14,"Invalid proposed procurement method")))))</f>
        <v>#REF!</v>
      </c>
      <c r="M293" s="199" t="str">
        <f>IFERROR(EDATE($N293,-3),"Invalid procurement method or date entered")</f>
        <v>Invalid procurement method or date entered</v>
      </c>
      <c r="N293" s="199" t="str">
        <f>IFERROR(EDATE(O293,-L293),"Invalid procurement method or date entered")</f>
        <v>Invalid procurement method or date entered</v>
      </c>
      <c r="O293" s="205">
        <v>44894</v>
      </c>
      <c r="P293" s="1691">
        <v>12</v>
      </c>
      <c r="Q293" s="293" t="s">
        <v>50</v>
      </c>
      <c r="R293" s="209">
        <v>15480</v>
      </c>
      <c r="S293" s="2069" t="s">
        <v>37</v>
      </c>
      <c r="T293" s="2789" t="s">
        <v>38</v>
      </c>
      <c r="U293" s="202" t="s">
        <v>67</v>
      </c>
      <c r="V293" s="202"/>
      <c r="W293" s="58" t="s">
        <v>440</v>
      </c>
      <c r="X293" s="1689" t="s">
        <v>254</v>
      </c>
      <c r="Y293" s="58" t="s">
        <v>40</v>
      </c>
      <c r="Z293" s="58" t="s">
        <v>87</v>
      </c>
      <c r="AA293" s="58" t="s">
        <v>70</v>
      </c>
      <c r="AB293" s="205" t="s">
        <v>88</v>
      </c>
      <c r="AC293" s="348" t="s">
        <v>225</v>
      </c>
      <c r="AD293" s="283" t="s">
        <v>806</v>
      </c>
      <c r="AE293" s="311"/>
      <c r="AF293" t="str">
        <f t="shared" ca="1" si="22"/>
        <v>N/A</v>
      </c>
      <c r="AG293"/>
    </row>
    <row r="294" spans="1:33" s="906" customFormat="1" ht="52">
      <c r="A294" s="749">
        <v>44771</v>
      </c>
      <c r="B294" s="725" t="s">
        <v>56</v>
      </c>
      <c r="C294" s="726" t="s">
        <v>60</v>
      </c>
      <c r="D294" s="727" t="s">
        <v>348</v>
      </c>
      <c r="E294" s="727"/>
      <c r="F294" s="727"/>
      <c r="G294" s="727"/>
      <c r="H294" s="728" t="s">
        <v>58</v>
      </c>
      <c r="I294" s="729" t="s">
        <v>47</v>
      </c>
      <c r="J294" s="1604" t="s">
        <v>1006</v>
      </c>
      <c r="K294" s="729"/>
      <c r="L294" s="730">
        <v>3</v>
      </c>
      <c r="M294" s="731">
        <v>44774</v>
      </c>
      <c r="N294" s="712" t="s">
        <v>60</v>
      </c>
      <c r="O294" s="1155">
        <v>44866</v>
      </c>
      <c r="P294" s="1156">
        <v>1</v>
      </c>
      <c r="Q294" s="761">
        <v>1</v>
      </c>
      <c r="R294" s="742">
        <v>35000</v>
      </c>
      <c r="S294" s="734" t="s">
        <v>182</v>
      </c>
      <c r="T294" s="711" t="s">
        <v>589</v>
      </c>
      <c r="U294" s="711" t="s">
        <v>589</v>
      </c>
      <c r="V294" s="711"/>
      <c r="W294" s="729" t="s">
        <v>855</v>
      </c>
      <c r="X294" s="730" t="s">
        <v>351</v>
      </c>
      <c r="Y294" s="762" t="s">
        <v>594</v>
      </c>
      <c r="Z294" s="736"/>
      <c r="AA294" s="695" t="s">
        <v>70</v>
      </c>
      <c r="AB294" s="764">
        <v>44841</v>
      </c>
      <c r="AC294" s="1278" t="s">
        <v>1007</v>
      </c>
      <c r="AD294" s="1165" t="s">
        <v>80</v>
      </c>
      <c r="AE294" s="1165"/>
      <c r="AF294">
        <f t="shared" ca="1" si="22"/>
        <v>467</v>
      </c>
    </row>
    <row r="295" spans="1:33" s="906" customFormat="1" ht="26">
      <c r="A295" s="1235">
        <v>44770</v>
      </c>
      <c r="B295" s="737" t="s">
        <v>44</v>
      </c>
      <c r="C295" s="738">
        <v>37487</v>
      </c>
      <c r="D295" s="739" t="s">
        <v>709</v>
      </c>
      <c r="E295" s="739"/>
      <c r="F295" s="739"/>
      <c r="G295" s="739"/>
      <c r="H295" s="710" t="s">
        <v>33</v>
      </c>
      <c r="I295" s="710" t="s">
        <v>47</v>
      </c>
      <c r="J295" s="1609" t="s">
        <v>1008</v>
      </c>
      <c r="K295" s="1253" t="s">
        <v>548</v>
      </c>
      <c r="L295" s="710">
        <v>6</v>
      </c>
      <c r="M295" s="769">
        <v>44774</v>
      </c>
      <c r="N295" s="769">
        <f>IFERROR(EDATE(O295,-L295),"Invalid procurement method or date entered")</f>
        <v>44682</v>
      </c>
      <c r="O295" s="1240">
        <v>44866</v>
      </c>
      <c r="P295" s="845">
        <v>41</v>
      </c>
      <c r="Q295" s="741" t="s">
        <v>1009</v>
      </c>
      <c r="R295" s="742">
        <v>225000</v>
      </c>
      <c r="S295" s="708" t="s">
        <v>84</v>
      </c>
      <c r="T295" s="710" t="s">
        <v>62</v>
      </c>
      <c r="U295" s="738" t="s">
        <v>71</v>
      </c>
      <c r="V295" s="738"/>
      <c r="W295" s="738" t="s">
        <v>1010</v>
      </c>
      <c r="X295" s="808" t="s">
        <v>94</v>
      </c>
      <c r="Y295" s="710" t="s">
        <v>40</v>
      </c>
      <c r="Z295" s="710"/>
      <c r="AA295" s="710" t="s">
        <v>38</v>
      </c>
      <c r="AB295" s="769">
        <v>44868</v>
      </c>
      <c r="AC295" s="1275" t="s">
        <v>1011</v>
      </c>
      <c r="AD295" s="723" t="s">
        <v>96</v>
      </c>
      <c r="AE295" s="850"/>
      <c r="AF295">
        <f t="shared" ca="1" si="22"/>
        <v>440</v>
      </c>
    </row>
    <row r="296" spans="1:33" s="906" customFormat="1" ht="52">
      <c r="A296" s="749">
        <v>44777</v>
      </c>
      <c r="B296" s="725" t="s">
        <v>56</v>
      </c>
      <c r="C296" s="726" t="s">
        <v>60</v>
      </c>
      <c r="D296" s="727" t="s">
        <v>57</v>
      </c>
      <c r="E296" s="727"/>
      <c r="F296" s="727"/>
      <c r="G296" s="727"/>
      <c r="H296" s="728" t="s">
        <v>58</v>
      </c>
      <c r="I296" s="709" t="s">
        <v>47</v>
      </c>
      <c r="J296" s="1604" t="s">
        <v>1012</v>
      </c>
      <c r="K296" s="729"/>
      <c r="L296" s="730">
        <v>1</v>
      </c>
      <c r="M296" s="731">
        <v>44774</v>
      </c>
      <c r="N296" s="712" t="s">
        <v>60</v>
      </c>
      <c r="O296" s="1155" t="s">
        <v>837</v>
      </c>
      <c r="P296" s="1156">
        <v>1</v>
      </c>
      <c r="Q296" s="761">
        <v>1</v>
      </c>
      <c r="R296" s="742">
        <f>49799+88818+138617</f>
        <v>277234</v>
      </c>
      <c r="S296" s="734" t="s">
        <v>84</v>
      </c>
      <c r="T296" s="711" t="s">
        <v>310</v>
      </c>
      <c r="U296" s="711" t="s">
        <v>60</v>
      </c>
      <c r="V296" s="711"/>
      <c r="W296" s="728" t="s">
        <v>93</v>
      </c>
      <c r="X296" s="730" t="s">
        <v>1013</v>
      </c>
      <c r="Y296" s="762" t="s">
        <v>115</v>
      </c>
      <c r="Z296" s="763"/>
      <c r="AA296" s="695"/>
      <c r="AB296" s="753">
        <v>44805</v>
      </c>
      <c r="AC296" s="1908" t="s">
        <v>1014</v>
      </c>
      <c r="AD296" s="924"/>
      <c r="AE296" s="924"/>
      <c r="AF296">
        <f t="shared" ca="1" si="22"/>
        <v>503</v>
      </c>
    </row>
    <row r="297" spans="1:33" s="906" customFormat="1" ht="52">
      <c r="A297" s="1235" t="s">
        <v>71</v>
      </c>
      <c r="B297" s="737" t="s">
        <v>44</v>
      </c>
      <c r="C297" s="738" t="s">
        <v>71</v>
      </c>
      <c r="D297" s="739" t="s">
        <v>32</v>
      </c>
      <c r="E297" s="739"/>
      <c r="F297" s="739"/>
      <c r="G297" s="739"/>
      <c r="H297" s="710" t="s">
        <v>33</v>
      </c>
      <c r="I297" s="710" t="s">
        <v>47</v>
      </c>
      <c r="J297" s="1608" t="s">
        <v>1015</v>
      </c>
      <c r="K297" s="710" t="s">
        <v>1016</v>
      </c>
      <c r="L297" s="710" t="e">
        <f>IF(OR(S297=#REF!,S297=#REF!,S297=#REF!,S297=#REF!,S297=#REF!,S297=#REF!,S297=#REF!,S297=#REF!),12,IF(OR(S297=#REF!,S297=#REF!,S297=#REF!,S297=#REF!,S297=#REF!,S297=#REF!,S297=#REF!),3,IF(S297=#REF!,1,IF(S297=#REF!,18,IF(OR(S297=#REF!,S297=#REF!,S297=#REF!,S297=#REF!,S297=#REF!),14,"Invalid proposed procurement method")))))</f>
        <v>#REF!</v>
      </c>
      <c r="M297" s="769" t="str">
        <f>IFERROR(EDATE($N297,-3),"Invalid procurement method or date entered")</f>
        <v>Invalid procurement method or date entered</v>
      </c>
      <c r="N297" s="769" t="str">
        <f>IFERROR(EDATE(O297,-L297),"Invalid procurement method or date entered")</f>
        <v>Invalid procurement method or date entered</v>
      </c>
      <c r="O297" s="1240">
        <v>44919</v>
      </c>
      <c r="P297" s="845">
        <v>12</v>
      </c>
      <c r="Q297" s="741">
        <v>12</v>
      </c>
      <c r="R297" s="742">
        <v>18375</v>
      </c>
      <c r="S297" s="708" t="s">
        <v>37</v>
      </c>
      <c r="T297" s="731" t="s">
        <v>71</v>
      </c>
      <c r="U297" s="731" t="s">
        <v>67</v>
      </c>
      <c r="V297" s="731"/>
      <c r="W297" s="738" t="s">
        <v>479</v>
      </c>
      <c r="X297" s="710" t="s">
        <v>94</v>
      </c>
      <c r="Y297" s="710" t="s">
        <v>40</v>
      </c>
      <c r="Z297" s="710" t="s">
        <v>69</v>
      </c>
      <c r="AA297" s="710" t="s">
        <v>70</v>
      </c>
      <c r="AB297" s="769">
        <v>44890</v>
      </c>
      <c r="AC297" s="717" t="s">
        <v>1017</v>
      </c>
      <c r="AD297" s="723" t="s">
        <v>385</v>
      </c>
      <c r="AE297" s="850">
        <v>3895.24</v>
      </c>
      <c r="AF297">
        <f t="shared" ca="1" si="22"/>
        <v>418</v>
      </c>
    </row>
    <row r="298" spans="1:33" s="906" customFormat="1" ht="26">
      <c r="A298" s="1235"/>
      <c r="B298" s="737" t="s">
        <v>44</v>
      </c>
      <c r="C298" s="738" t="s">
        <v>45</v>
      </c>
      <c r="D298" s="739" t="s">
        <v>32</v>
      </c>
      <c r="E298" s="739"/>
      <c r="F298" s="739"/>
      <c r="G298" s="739"/>
      <c r="H298" s="710" t="s">
        <v>33</v>
      </c>
      <c r="I298" s="710" t="s">
        <v>47</v>
      </c>
      <c r="J298" s="1608" t="s">
        <v>1018</v>
      </c>
      <c r="K298" s="710"/>
      <c r="L298" s="710">
        <v>1</v>
      </c>
      <c r="M298" s="769">
        <f>IFERROR(EDATE($N298,-3),"Invalid procurement method or date entered")</f>
        <v>44803</v>
      </c>
      <c r="N298" s="769">
        <f>IFERROR(EDATE(O298,-L298),"Invalid procurement method or date entered")</f>
        <v>44895</v>
      </c>
      <c r="O298" s="947">
        <v>44926</v>
      </c>
      <c r="P298" s="740">
        <v>12</v>
      </c>
      <c r="Q298" s="766" t="s">
        <v>50</v>
      </c>
      <c r="R298" s="937">
        <v>12400</v>
      </c>
      <c r="S298" s="710" t="s">
        <v>37</v>
      </c>
      <c r="T298" s="808" t="s">
        <v>38</v>
      </c>
      <c r="U298" s="838" t="s">
        <v>67</v>
      </c>
      <c r="V298" s="838"/>
      <c r="W298" s="710" t="s">
        <v>383</v>
      </c>
      <c r="X298" s="730" t="s">
        <v>94</v>
      </c>
      <c r="Y298" s="710" t="s">
        <v>40</v>
      </c>
      <c r="Z298" s="710" t="s">
        <v>154</v>
      </c>
      <c r="AA298" s="710" t="s">
        <v>70</v>
      </c>
      <c r="AB298" s="1251">
        <v>44903</v>
      </c>
      <c r="AC298" s="1291" t="s">
        <v>1019</v>
      </c>
      <c r="AD298" s="723" t="s">
        <v>385</v>
      </c>
      <c r="AE298" s="1255">
        <v>12400</v>
      </c>
      <c r="AF298">
        <f t="shared" ca="1" si="22"/>
        <v>405</v>
      </c>
    </row>
    <row r="299" spans="1:33" s="1" customFormat="1" ht="208">
      <c r="A299" s="749"/>
      <c r="B299" s="1165" t="s">
        <v>56</v>
      </c>
      <c r="C299" s="726" t="s">
        <v>60</v>
      </c>
      <c r="D299" s="727" t="s">
        <v>57</v>
      </c>
      <c r="E299" s="727"/>
      <c r="F299" s="727"/>
      <c r="G299" s="727"/>
      <c r="H299" s="730" t="s">
        <v>58</v>
      </c>
      <c r="I299" s="726" t="s">
        <v>47</v>
      </c>
      <c r="J299" s="1604" t="s">
        <v>1020</v>
      </c>
      <c r="K299" s="726"/>
      <c r="L299" s="730">
        <v>3</v>
      </c>
      <c r="M299" s="731">
        <v>44805</v>
      </c>
      <c r="N299" s="712" t="s">
        <v>60</v>
      </c>
      <c r="O299" s="759">
        <v>44875</v>
      </c>
      <c r="P299" s="891">
        <v>1</v>
      </c>
      <c r="Q299" s="891">
        <v>1</v>
      </c>
      <c r="R299" s="1030">
        <v>100000</v>
      </c>
      <c r="S299" s="711" t="s">
        <v>61</v>
      </c>
      <c r="T299" s="711" t="s">
        <v>62</v>
      </c>
      <c r="U299" s="711" t="s">
        <v>60</v>
      </c>
      <c r="V299" s="711"/>
      <c r="W299" s="726" t="s">
        <v>1021</v>
      </c>
      <c r="X299" s="730" t="s">
        <v>312</v>
      </c>
      <c r="Y299" s="2112" t="s">
        <v>115</v>
      </c>
      <c r="Z299" s="1170" t="s">
        <v>154</v>
      </c>
      <c r="AA299" s="782" t="s">
        <v>70</v>
      </c>
      <c r="AB299" s="1342">
        <v>44931</v>
      </c>
      <c r="AC299" s="1278" t="s">
        <v>1022</v>
      </c>
      <c r="AD299" s="924"/>
      <c r="AE299" s="924"/>
      <c r="AF299">
        <f t="shared" ca="1" si="22"/>
        <v>377</v>
      </c>
      <c r="AG299" s="908"/>
    </row>
    <row r="300" spans="1:33" s="906" customFormat="1" ht="130">
      <c r="A300" s="749">
        <v>44799</v>
      </c>
      <c r="B300" s="725" t="s">
        <v>56</v>
      </c>
      <c r="C300" s="726" t="s">
        <v>60</v>
      </c>
      <c r="D300" s="727" t="s">
        <v>847</v>
      </c>
      <c r="E300" s="727"/>
      <c r="F300" s="727"/>
      <c r="G300" s="727"/>
      <c r="H300" s="730" t="s">
        <v>58</v>
      </c>
      <c r="I300" s="726" t="s">
        <v>47</v>
      </c>
      <c r="J300" s="1604" t="s">
        <v>1023</v>
      </c>
      <c r="K300" s="726"/>
      <c r="L300" s="730">
        <v>3</v>
      </c>
      <c r="M300" s="731">
        <v>44805</v>
      </c>
      <c r="N300" s="712" t="s">
        <v>60</v>
      </c>
      <c r="O300" s="759">
        <v>44896</v>
      </c>
      <c r="P300" s="760">
        <v>4</v>
      </c>
      <c r="Q300" s="761">
        <v>4</v>
      </c>
      <c r="R300" s="742">
        <v>40000</v>
      </c>
      <c r="S300" s="734" t="s">
        <v>176</v>
      </c>
      <c r="T300" s="757" t="s">
        <v>589</v>
      </c>
      <c r="U300" s="1168" t="s">
        <v>589</v>
      </c>
      <c r="V300" s="1168"/>
      <c r="W300" s="1165" t="s">
        <v>986</v>
      </c>
      <c r="X300" s="703" t="s">
        <v>312</v>
      </c>
      <c r="Y300" s="2111" t="s">
        <v>594</v>
      </c>
      <c r="Z300" s="795"/>
      <c r="AA300" s="782" t="s">
        <v>70</v>
      </c>
      <c r="AB300" s="1336">
        <v>44903</v>
      </c>
      <c r="AC300" s="1278" t="s">
        <v>1024</v>
      </c>
      <c r="AD300" s="1165"/>
      <c r="AE300" s="1165"/>
      <c r="AF300">
        <f t="shared" ca="1" si="22"/>
        <v>405</v>
      </c>
    </row>
    <row r="301" spans="1:33" s="906" customFormat="1" ht="52">
      <c r="A301" s="749"/>
      <c r="B301" s="814" t="s">
        <v>56</v>
      </c>
      <c r="C301" s="815" t="s">
        <v>60</v>
      </c>
      <c r="D301" s="816" t="s">
        <v>1025</v>
      </c>
      <c r="E301" s="816"/>
      <c r="F301" s="816"/>
      <c r="G301" s="816"/>
      <c r="H301" s="819" t="s">
        <v>58</v>
      </c>
      <c r="I301" s="815" t="s">
        <v>47</v>
      </c>
      <c r="J301" s="1622" t="s">
        <v>1026</v>
      </c>
      <c r="K301" s="815"/>
      <c r="L301" s="819">
        <v>3</v>
      </c>
      <c r="M301" s="820">
        <v>44805</v>
      </c>
      <c r="N301" s="821">
        <f>IF(O301="tbc","",(IFERROR(EDATE(O301,-L301),"Invalid procurement method or date entered")))</f>
        <v>44805</v>
      </c>
      <c r="O301" s="822">
        <v>44896</v>
      </c>
      <c r="P301" s="823">
        <v>1</v>
      </c>
      <c r="Q301" s="827">
        <v>1</v>
      </c>
      <c r="R301" s="742">
        <v>2000000</v>
      </c>
      <c r="S301" s="828" t="s">
        <v>176</v>
      </c>
      <c r="T301" s="2084" t="s">
        <v>310</v>
      </c>
      <c r="U301" s="2093" t="s">
        <v>60</v>
      </c>
      <c r="V301" s="2093"/>
      <c r="W301" s="1696" t="s">
        <v>940</v>
      </c>
      <c r="X301" s="1366" t="s">
        <v>60</v>
      </c>
      <c r="Y301" s="2113" t="s">
        <v>115</v>
      </c>
      <c r="Z301" s="1511" t="s">
        <v>69</v>
      </c>
      <c r="AA301" s="782" t="s">
        <v>38</v>
      </c>
      <c r="AB301" s="1341">
        <v>44690</v>
      </c>
      <c r="AC301" s="1300" t="s">
        <v>1027</v>
      </c>
      <c r="AD301" s="924"/>
      <c r="AE301" s="924"/>
      <c r="AF301">
        <f t="shared" ca="1" si="22"/>
        <v>618</v>
      </c>
      <c r="AG301" s="908"/>
    </row>
    <row r="302" spans="1:33" s="906" customFormat="1" ht="37.5">
      <c r="A302" s="1199"/>
      <c r="B302" s="960" t="s">
        <v>56</v>
      </c>
      <c r="C302" s="510" t="s">
        <v>60</v>
      </c>
      <c r="D302" s="611" t="s">
        <v>122</v>
      </c>
      <c r="E302" s="611"/>
      <c r="F302" s="611"/>
      <c r="G302" s="611"/>
      <c r="H302" s="511" t="s">
        <v>308</v>
      </c>
      <c r="I302" s="510" t="s">
        <v>47</v>
      </c>
      <c r="J302" s="1611" t="s">
        <v>1028</v>
      </c>
      <c r="K302" s="600"/>
      <c r="L302" s="511">
        <v>12</v>
      </c>
      <c r="M302" s="513">
        <v>44805</v>
      </c>
      <c r="N302" s="514">
        <f>IF(O302="tbc","",(IFERROR(EDATE(O302,-L302),"Invalid procurement method or date entered")))</f>
        <v>44743</v>
      </c>
      <c r="O302" s="534">
        <v>45108</v>
      </c>
      <c r="P302" s="1011" t="s">
        <v>60</v>
      </c>
      <c r="Q302" s="684" t="s">
        <v>60</v>
      </c>
      <c r="R302" s="1034">
        <v>1500000</v>
      </c>
      <c r="S302" s="1044" t="s">
        <v>75</v>
      </c>
      <c r="T302" s="515" t="s">
        <v>310</v>
      </c>
      <c r="U302" s="520" t="s">
        <v>115</v>
      </c>
      <c r="V302" s="546"/>
      <c r="W302" s="241" t="s">
        <v>70</v>
      </c>
      <c r="X302" s="330"/>
      <c r="Y302" s="2151"/>
      <c r="Z302" s="120"/>
      <c r="AA302" s="120"/>
      <c r="AB302" s="120"/>
      <c r="AC302" s="186"/>
      <c r="AD302" s="330"/>
      <c r="AE302" s="330"/>
      <c r="AF302">
        <f t="shared" ca="1" si="22"/>
        <v>45308</v>
      </c>
      <c r="AG302"/>
    </row>
    <row r="303" spans="1:33" s="906" customFormat="1">
      <c r="A303" s="1250">
        <v>44816</v>
      </c>
      <c r="B303" s="737" t="s">
        <v>44</v>
      </c>
      <c r="C303" s="738" t="s">
        <v>45</v>
      </c>
      <c r="D303" s="739" t="s">
        <v>32</v>
      </c>
      <c r="E303" s="739"/>
      <c r="F303" s="739"/>
      <c r="G303" s="739"/>
      <c r="H303" s="709" t="s">
        <v>33</v>
      </c>
      <c r="I303" s="709" t="s">
        <v>47</v>
      </c>
      <c r="J303" s="1608" t="s">
        <v>1029</v>
      </c>
      <c r="K303" s="709" t="s">
        <v>1030</v>
      </c>
      <c r="L303" s="710">
        <v>1</v>
      </c>
      <c r="M303" s="947">
        <v>44814</v>
      </c>
      <c r="N303" s="947">
        <v>44814</v>
      </c>
      <c r="O303" s="947">
        <v>44838</v>
      </c>
      <c r="P303" s="750">
        <v>12</v>
      </c>
      <c r="Q303" s="723">
        <v>12</v>
      </c>
      <c r="R303" s="937">
        <v>97010.7</v>
      </c>
      <c r="S303" s="1324" t="s">
        <v>51</v>
      </c>
      <c r="T303" s="711" t="s">
        <v>71</v>
      </c>
      <c r="U303" s="711" t="s">
        <v>589</v>
      </c>
      <c r="V303" s="757"/>
      <c r="W303" s="717" t="s">
        <v>172</v>
      </c>
      <c r="X303" s="1348" t="s">
        <v>54</v>
      </c>
      <c r="Y303" s="795" t="s">
        <v>40</v>
      </c>
      <c r="Z303" s="708"/>
      <c r="AA303" s="710" t="s">
        <v>38</v>
      </c>
      <c r="AB303" s="720">
        <v>44816</v>
      </c>
      <c r="AC303" s="717" t="s">
        <v>1031</v>
      </c>
      <c r="AD303" s="723" t="s">
        <v>806</v>
      </c>
      <c r="AE303" s="793">
        <v>97010.7</v>
      </c>
      <c r="AF303">
        <f t="shared" ca="1" si="22"/>
        <v>492</v>
      </c>
    </row>
    <row r="304" spans="1:33" s="906" customFormat="1" ht="78">
      <c r="A304" s="1235">
        <v>44819</v>
      </c>
      <c r="B304" s="737" t="s">
        <v>44</v>
      </c>
      <c r="C304" s="738">
        <v>59243</v>
      </c>
      <c r="D304" s="739" t="s">
        <v>32</v>
      </c>
      <c r="E304" s="739"/>
      <c r="F304" s="739"/>
      <c r="G304" s="739"/>
      <c r="H304" s="709" t="s">
        <v>46</v>
      </c>
      <c r="I304" s="709" t="s">
        <v>47</v>
      </c>
      <c r="J304" s="1602" t="s">
        <v>1032</v>
      </c>
      <c r="K304" s="709" t="s">
        <v>67</v>
      </c>
      <c r="L304" s="710">
        <v>1</v>
      </c>
      <c r="M304" s="769">
        <v>44818</v>
      </c>
      <c r="N304" s="769">
        <v>44818</v>
      </c>
      <c r="O304" s="769">
        <v>44830</v>
      </c>
      <c r="P304" s="740">
        <v>6</v>
      </c>
      <c r="Q304" s="741">
        <v>6</v>
      </c>
      <c r="R304" s="742">
        <v>55000</v>
      </c>
      <c r="S304" s="708" t="s">
        <v>84</v>
      </c>
      <c r="T304" s="710" t="s">
        <v>38</v>
      </c>
      <c r="U304" s="770" t="s">
        <v>67</v>
      </c>
      <c r="V304" s="770"/>
      <c r="W304" s="709" t="s">
        <v>1033</v>
      </c>
      <c r="X304" s="730" t="s">
        <v>780</v>
      </c>
      <c r="Y304" s="700" t="s">
        <v>40</v>
      </c>
      <c r="Z304" s="710"/>
      <c r="AA304" s="808" t="s">
        <v>70</v>
      </c>
      <c r="AB304" s="745">
        <v>44834</v>
      </c>
      <c r="AC304" s="1299" t="s">
        <v>1034</v>
      </c>
      <c r="AD304" s="723" t="s">
        <v>46</v>
      </c>
      <c r="AE304" s="807"/>
      <c r="AF304">
        <f t="shared" ca="1" si="22"/>
        <v>474</v>
      </c>
    </row>
    <row r="305" spans="1:33" s="906" customFormat="1" ht="52">
      <c r="A305" s="887"/>
      <c r="B305" s="737" t="s">
        <v>44</v>
      </c>
      <c r="C305" s="707" t="s">
        <v>1035</v>
      </c>
      <c r="D305" s="708" t="s">
        <v>32</v>
      </c>
      <c r="E305" s="708"/>
      <c r="F305" s="708"/>
      <c r="G305" s="708"/>
      <c r="H305" s="709" t="s">
        <v>80</v>
      </c>
      <c r="I305" s="765" t="s">
        <v>34</v>
      </c>
      <c r="J305" s="1602" t="s">
        <v>1036</v>
      </c>
      <c r="K305" s="709" t="s">
        <v>1037</v>
      </c>
      <c r="L305" s="710" t="e">
        <f>IF(OR(S305=#REF!,S305=#REF!,S305=#REF!,S305=#REF!,S305=#REF!,S305=#REF!,S305=#REF!,S305=#REF!),12,IF(OR(S305=#REF!,S305=#REF!,S305=#REF!,S305=#REF!,S305=#REF!,S305=#REF!,S305=#REF!),3,IF(S305=#REF!,1,IF(S305=#REF!,18,IF(OR(S305=#REF!,S305=#REF!,S305=#REF!,S305=#REF!,S305=#REF!),14,"Invalid proposed procurement method")))))</f>
        <v>#REF!</v>
      </c>
      <c r="M305" s="711" t="str">
        <f>IFERROR(EDATE($N305,-3),"Invalid procurement method or date entered")</f>
        <v>Invalid procurement method or date entered</v>
      </c>
      <c r="N305" s="711" t="str">
        <f>IFERROR(EDATE(O305,-L305),"Invalid procurement method or date entered")</f>
        <v>Invalid procurement method or date entered</v>
      </c>
      <c r="O305" s="770">
        <v>45007</v>
      </c>
      <c r="P305" s="740">
        <v>36</v>
      </c>
      <c r="Q305" s="766" t="s">
        <v>816</v>
      </c>
      <c r="R305" s="742">
        <v>69000</v>
      </c>
      <c r="S305" s="708" t="s">
        <v>75</v>
      </c>
      <c r="T305" s="710" t="s">
        <v>38</v>
      </c>
      <c r="U305" s="738" t="s">
        <v>67</v>
      </c>
      <c r="V305" s="738"/>
      <c r="W305" s="765" t="s">
        <v>1038</v>
      </c>
      <c r="X305" s="710" t="s">
        <v>283</v>
      </c>
      <c r="Y305" s="710" t="s">
        <v>40</v>
      </c>
      <c r="Z305" s="710" t="s">
        <v>69</v>
      </c>
      <c r="AA305" s="710" t="s">
        <v>70</v>
      </c>
      <c r="AB305" s="745">
        <v>44770</v>
      </c>
      <c r="AC305" s="717" t="s">
        <v>1039</v>
      </c>
      <c r="AD305" s="741" t="s">
        <v>80</v>
      </c>
      <c r="AE305" s="793">
        <v>1500</v>
      </c>
      <c r="AF305">
        <f t="shared" ca="1" si="22"/>
        <v>538</v>
      </c>
      <c r="AG305" s="908"/>
    </row>
    <row r="306" spans="1:33" s="906" customFormat="1" ht="78">
      <c r="A306" s="749"/>
      <c r="B306" s="725" t="s">
        <v>56</v>
      </c>
      <c r="C306" s="726" t="s">
        <v>60</v>
      </c>
      <c r="D306" s="727" t="s">
        <v>57</v>
      </c>
      <c r="E306" s="727"/>
      <c r="F306" s="727"/>
      <c r="G306" s="727"/>
      <c r="H306" s="728" t="s">
        <v>58</v>
      </c>
      <c r="I306" s="729" t="s">
        <v>47</v>
      </c>
      <c r="J306" s="1621" t="s">
        <v>1040</v>
      </c>
      <c r="K306" s="729"/>
      <c r="L306" s="730">
        <v>3</v>
      </c>
      <c r="M306" s="731">
        <v>44835</v>
      </c>
      <c r="N306" s="712">
        <f>IF(O306="tbc","",(IFERROR(EDATE(O306,-L306),"Invalid procurement method or date entered")))</f>
        <v>44621</v>
      </c>
      <c r="O306" s="759">
        <v>44713</v>
      </c>
      <c r="P306" s="760" t="s">
        <v>60</v>
      </c>
      <c r="Q306" s="761" t="s">
        <v>60</v>
      </c>
      <c r="R306" s="742">
        <v>50000</v>
      </c>
      <c r="S306" s="734" t="s">
        <v>61</v>
      </c>
      <c r="T306" s="757" t="s">
        <v>62</v>
      </c>
      <c r="U306" s="1168" t="s">
        <v>60</v>
      </c>
      <c r="V306" s="1168"/>
      <c r="W306" s="2098" t="s">
        <v>1041</v>
      </c>
      <c r="X306" s="794" t="s">
        <v>1013</v>
      </c>
      <c r="Y306" s="795" t="s">
        <v>115</v>
      </c>
      <c r="Z306" s="2115" t="s">
        <v>154</v>
      </c>
      <c r="AA306" s="782" t="s">
        <v>70</v>
      </c>
      <c r="AB306" s="764">
        <v>44852</v>
      </c>
      <c r="AC306" s="1278" t="s">
        <v>1042</v>
      </c>
      <c r="AD306" s="924"/>
      <c r="AE306" s="924"/>
      <c r="AF306">
        <f t="shared" ca="1" si="22"/>
        <v>456</v>
      </c>
    </row>
    <row r="307" spans="1:33" s="906" customFormat="1" ht="104">
      <c r="A307" s="749">
        <v>44699</v>
      </c>
      <c r="B307" s="725" t="s">
        <v>56</v>
      </c>
      <c r="C307" s="726" t="s">
        <v>60</v>
      </c>
      <c r="D307" s="727" t="s">
        <v>847</v>
      </c>
      <c r="E307" s="727"/>
      <c r="F307" s="727"/>
      <c r="G307" s="727"/>
      <c r="H307" s="730" t="s">
        <v>58</v>
      </c>
      <c r="I307" s="726" t="s">
        <v>47</v>
      </c>
      <c r="J307" s="1604" t="s">
        <v>1043</v>
      </c>
      <c r="K307" s="726"/>
      <c r="L307" s="730">
        <v>1</v>
      </c>
      <c r="M307" s="731">
        <v>44835</v>
      </c>
      <c r="N307" s="712" t="s">
        <v>60</v>
      </c>
      <c r="O307" s="759">
        <v>44835</v>
      </c>
      <c r="P307" s="760">
        <v>1</v>
      </c>
      <c r="Q307" s="761">
        <v>1</v>
      </c>
      <c r="R307" s="742">
        <v>25000</v>
      </c>
      <c r="S307" s="711" t="s">
        <v>176</v>
      </c>
      <c r="T307" s="711" t="s">
        <v>589</v>
      </c>
      <c r="U307" s="711" t="s">
        <v>60</v>
      </c>
      <c r="V307" s="711"/>
      <c r="W307" s="726" t="s">
        <v>1044</v>
      </c>
      <c r="X307" s="730" t="s">
        <v>351</v>
      </c>
      <c r="Y307" s="762" t="s">
        <v>594</v>
      </c>
      <c r="Z307" s="762" t="s">
        <v>154</v>
      </c>
      <c r="AA307" s="695" t="s">
        <v>70</v>
      </c>
      <c r="AB307" s="749">
        <v>44942</v>
      </c>
      <c r="AC307" s="1290" t="s">
        <v>1045</v>
      </c>
      <c r="AD307" s="1273"/>
      <c r="AE307" s="1273"/>
      <c r="AF307">
        <f t="shared" ca="1" si="22"/>
        <v>366</v>
      </c>
    </row>
    <row r="308" spans="1:33" s="950" customFormat="1" ht="78">
      <c r="A308" s="749">
        <v>44854</v>
      </c>
      <c r="B308" s="725" t="s">
        <v>56</v>
      </c>
      <c r="C308" s="726" t="s">
        <v>60</v>
      </c>
      <c r="D308" s="727" t="s">
        <v>57</v>
      </c>
      <c r="E308" s="727"/>
      <c r="F308" s="727"/>
      <c r="G308" s="727"/>
      <c r="H308" s="730" t="s">
        <v>58</v>
      </c>
      <c r="I308" s="726" t="s">
        <v>47</v>
      </c>
      <c r="J308" s="1604" t="s">
        <v>1046</v>
      </c>
      <c r="K308" s="726"/>
      <c r="L308" s="730">
        <v>3</v>
      </c>
      <c r="M308" s="731">
        <v>44835</v>
      </c>
      <c r="N308" s="712" t="s">
        <v>60</v>
      </c>
      <c r="O308" s="759">
        <v>44984</v>
      </c>
      <c r="P308" s="760">
        <v>1</v>
      </c>
      <c r="Q308" s="761">
        <v>1</v>
      </c>
      <c r="R308" s="937">
        <v>60000</v>
      </c>
      <c r="S308" s="711" t="s">
        <v>176</v>
      </c>
      <c r="T308" s="711" t="s">
        <v>62</v>
      </c>
      <c r="U308" s="711" t="s">
        <v>60</v>
      </c>
      <c r="V308" s="711"/>
      <c r="W308" s="726" t="s">
        <v>1047</v>
      </c>
      <c r="X308" s="730" t="s">
        <v>312</v>
      </c>
      <c r="Y308" s="825" t="s">
        <v>115</v>
      </c>
      <c r="Z308" s="825" t="s">
        <v>154</v>
      </c>
      <c r="AA308" s="695" t="s">
        <v>70</v>
      </c>
      <c r="AB308" s="1342">
        <v>44872</v>
      </c>
      <c r="AC308" s="1278" t="s">
        <v>1048</v>
      </c>
      <c r="AD308" s="924"/>
      <c r="AE308" s="924"/>
      <c r="AF308">
        <f t="shared" ca="1" si="22"/>
        <v>436</v>
      </c>
      <c r="AG308" s="906"/>
    </row>
    <row r="309" spans="1:33" s="950" customFormat="1" ht="117">
      <c r="A309" s="749"/>
      <c r="B309" s="725" t="s">
        <v>56</v>
      </c>
      <c r="C309" s="726" t="s">
        <v>60</v>
      </c>
      <c r="D309" s="727" t="s">
        <v>847</v>
      </c>
      <c r="E309" s="727"/>
      <c r="F309" s="727"/>
      <c r="G309" s="727"/>
      <c r="H309" s="730" t="s">
        <v>58</v>
      </c>
      <c r="I309" s="726" t="s">
        <v>47</v>
      </c>
      <c r="J309" s="1604" t="s">
        <v>1049</v>
      </c>
      <c r="K309" s="726"/>
      <c r="L309" s="730">
        <v>1</v>
      </c>
      <c r="M309" s="731">
        <v>44840</v>
      </c>
      <c r="N309" s="712" t="s">
        <v>60</v>
      </c>
      <c r="O309" s="759" t="s">
        <v>60</v>
      </c>
      <c r="P309" s="760" t="s">
        <v>60</v>
      </c>
      <c r="Q309" s="761" t="s">
        <v>60</v>
      </c>
      <c r="R309" s="742">
        <v>300000</v>
      </c>
      <c r="S309" s="711" t="s">
        <v>182</v>
      </c>
      <c r="T309" s="711" t="s">
        <v>589</v>
      </c>
      <c r="U309" s="711" t="s">
        <v>589</v>
      </c>
      <c r="V309" s="711"/>
      <c r="W309" s="726" t="s">
        <v>1050</v>
      </c>
      <c r="X309" s="730" t="s">
        <v>351</v>
      </c>
      <c r="Y309" s="812" t="s">
        <v>594</v>
      </c>
      <c r="Z309" s="762"/>
      <c r="AA309" s="695" t="s">
        <v>70</v>
      </c>
      <c r="AB309" s="1338">
        <v>44942</v>
      </c>
      <c r="AC309" s="1302" t="s">
        <v>1051</v>
      </c>
      <c r="AD309" s="1162"/>
      <c r="AE309" s="1162"/>
      <c r="AF309">
        <f t="shared" ca="1" si="22"/>
        <v>366</v>
      </c>
      <c r="AG309" s="1307"/>
    </row>
    <row r="310" spans="1:33" s="906" customFormat="1" ht="26">
      <c r="A310" s="1235">
        <v>44630</v>
      </c>
      <c r="B310" s="1663" t="s">
        <v>44</v>
      </c>
      <c r="C310" s="786" t="s">
        <v>45</v>
      </c>
      <c r="D310" s="1384" t="s">
        <v>32</v>
      </c>
      <c r="E310" s="1384"/>
      <c r="F310" s="1384"/>
      <c r="G310" s="1384"/>
      <c r="H310" s="1966" t="s">
        <v>33</v>
      </c>
      <c r="I310" s="1971" t="s">
        <v>47</v>
      </c>
      <c r="J310" s="1709" t="s">
        <v>1052</v>
      </c>
      <c r="K310" s="787" t="s">
        <v>71</v>
      </c>
      <c r="L310" s="784"/>
      <c r="M310" s="1247">
        <v>44841</v>
      </c>
      <c r="N310" s="788"/>
      <c r="O310" s="1329">
        <v>44896</v>
      </c>
      <c r="P310" s="1435">
        <v>1</v>
      </c>
      <c r="Q310" s="741">
        <v>1</v>
      </c>
      <c r="R310" s="742">
        <v>15200</v>
      </c>
      <c r="S310" s="708" t="s">
        <v>37</v>
      </c>
      <c r="T310" s="1272" t="s">
        <v>38</v>
      </c>
      <c r="U310" s="1272" t="s">
        <v>71</v>
      </c>
      <c r="V310" s="1272"/>
      <c r="W310" s="787" t="s">
        <v>1053</v>
      </c>
      <c r="X310" s="2263" t="s">
        <v>54</v>
      </c>
      <c r="Y310" s="795" t="s">
        <v>40</v>
      </c>
      <c r="Z310" s="789" t="s">
        <v>154</v>
      </c>
      <c r="AA310" s="784" t="s">
        <v>38</v>
      </c>
      <c r="AB310" s="720">
        <v>44848</v>
      </c>
      <c r="AC310" s="1520" t="s">
        <v>1054</v>
      </c>
      <c r="AD310" s="741" t="s">
        <v>385</v>
      </c>
      <c r="AE310" s="793">
        <v>15250</v>
      </c>
      <c r="AF310">
        <f t="shared" ca="1" si="22"/>
        <v>460</v>
      </c>
    </row>
    <row r="311" spans="1:33" s="906" customFormat="1">
      <c r="A311" s="1235">
        <v>44841</v>
      </c>
      <c r="B311" s="782" t="s">
        <v>44</v>
      </c>
      <c r="C311" s="738" t="s">
        <v>67</v>
      </c>
      <c r="D311" s="808" t="s">
        <v>32</v>
      </c>
      <c r="E311" s="808"/>
      <c r="F311" s="808"/>
      <c r="G311" s="808"/>
      <c r="H311" s="781" t="s">
        <v>514</v>
      </c>
      <c r="I311" s="781" t="s">
        <v>47</v>
      </c>
      <c r="J311" s="1608" t="s">
        <v>1055</v>
      </c>
      <c r="K311" s="709" t="s">
        <v>1056</v>
      </c>
      <c r="L311" s="710"/>
      <c r="M311" s="769">
        <v>44841</v>
      </c>
      <c r="N311" s="769"/>
      <c r="O311" s="859">
        <v>44927</v>
      </c>
      <c r="P311" s="808">
        <v>12</v>
      </c>
      <c r="Q311" s="894" t="s">
        <v>50</v>
      </c>
      <c r="R311" s="742">
        <v>3650</v>
      </c>
      <c r="S311" s="710" t="s">
        <v>37</v>
      </c>
      <c r="T311" s="836" t="s">
        <v>71</v>
      </c>
      <c r="U311" s="837" t="s">
        <v>71</v>
      </c>
      <c r="V311" s="837"/>
      <c r="W311" s="781" t="s">
        <v>517</v>
      </c>
      <c r="X311" s="710" t="s">
        <v>54</v>
      </c>
      <c r="Y311" s="700" t="s">
        <v>115</v>
      </c>
      <c r="Z311" s="750" t="s">
        <v>154</v>
      </c>
      <c r="AA311" s="710" t="s">
        <v>38</v>
      </c>
      <c r="AB311" s="2133">
        <v>44841</v>
      </c>
      <c r="AC311" s="1292" t="s">
        <v>1057</v>
      </c>
      <c r="AD311" s="741" t="s">
        <v>506</v>
      </c>
      <c r="AE311" s="1287">
        <v>3650</v>
      </c>
      <c r="AF311">
        <f t="shared" ca="1" si="22"/>
        <v>467</v>
      </c>
    </row>
    <row r="312" spans="1:33" s="906" customFormat="1" ht="26">
      <c r="A312" s="1242">
        <v>44854</v>
      </c>
      <c r="B312" s="782" t="s">
        <v>44</v>
      </c>
      <c r="C312" s="738" t="s">
        <v>45</v>
      </c>
      <c r="D312" s="808" t="s">
        <v>32</v>
      </c>
      <c r="E312" s="808"/>
      <c r="F312" s="808"/>
      <c r="G312" s="808"/>
      <c r="H312" s="710" t="s">
        <v>33</v>
      </c>
      <c r="I312" s="710" t="s">
        <v>47</v>
      </c>
      <c r="J312" s="1609" t="s">
        <v>1058</v>
      </c>
      <c r="K312" s="1253" t="s">
        <v>1059</v>
      </c>
      <c r="L312" s="710">
        <v>1</v>
      </c>
      <c r="M312" s="769">
        <v>44854</v>
      </c>
      <c r="N312" s="769">
        <f>IFERROR(EDATE(O312,-L312),"Invalid procurement method or date entered")</f>
        <v>44835</v>
      </c>
      <c r="O312" s="769">
        <v>44866</v>
      </c>
      <c r="P312" s="710">
        <v>1</v>
      </c>
      <c r="Q312" s="884" t="s">
        <v>1060</v>
      </c>
      <c r="R312" s="742">
        <v>160000</v>
      </c>
      <c r="S312" s="710" t="s">
        <v>529</v>
      </c>
      <c r="T312" s="796" t="s">
        <v>62</v>
      </c>
      <c r="U312" s="838" t="s">
        <v>67</v>
      </c>
      <c r="V312" s="838"/>
      <c r="W312" s="738" t="s">
        <v>262</v>
      </c>
      <c r="X312" s="730" t="s">
        <v>54</v>
      </c>
      <c r="Y312" s="710" t="s">
        <v>40</v>
      </c>
      <c r="Z312" s="750"/>
      <c r="AA312" s="710" t="s">
        <v>38</v>
      </c>
      <c r="AB312" s="1246" t="s">
        <v>1061</v>
      </c>
      <c r="AC312" s="1291" t="s">
        <v>1062</v>
      </c>
      <c r="AD312" s="330"/>
      <c r="AE312" s="330"/>
      <c r="AF312" t="str">
        <f t="shared" ca="1" si="22"/>
        <v>N/A</v>
      </c>
      <c r="AG312"/>
    </row>
    <row r="313" spans="1:33" s="906" customFormat="1" ht="104">
      <c r="A313" s="1242">
        <v>44858</v>
      </c>
      <c r="B313" s="782" t="s">
        <v>44</v>
      </c>
      <c r="C313" s="695"/>
      <c r="D313" s="710" t="s">
        <v>709</v>
      </c>
      <c r="E313" s="710"/>
      <c r="F313" s="710"/>
      <c r="G313" s="710"/>
      <c r="H313" s="710" t="s">
        <v>33</v>
      </c>
      <c r="I313" s="710" t="s">
        <v>47</v>
      </c>
      <c r="J313" s="1607" t="s">
        <v>1063</v>
      </c>
      <c r="K313" s="801" t="s">
        <v>1064</v>
      </c>
      <c r="L313" s="710"/>
      <c r="M313" s="769">
        <v>44858</v>
      </c>
      <c r="N313" s="711" t="s">
        <v>45</v>
      </c>
      <c r="O313" s="711">
        <v>44917</v>
      </c>
      <c r="P313" s="738">
        <v>3</v>
      </c>
      <c r="Q313" s="893">
        <v>3</v>
      </c>
      <c r="R313" s="937">
        <v>4250</v>
      </c>
      <c r="S313" s="710" t="s">
        <v>37</v>
      </c>
      <c r="T313" s="710" t="s">
        <v>612</v>
      </c>
      <c r="U313" s="738" t="s">
        <v>71</v>
      </c>
      <c r="V313" s="738"/>
      <c r="W313" s="710" t="s">
        <v>172</v>
      </c>
      <c r="X313" s="710" t="s">
        <v>780</v>
      </c>
      <c r="Y313" s="710" t="s">
        <v>40</v>
      </c>
      <c r="Z313" s="750"/>
      <c r="AA313" s="710"/>
      <c r="AB313" s="2120">
        <v>44918</v>
      </c>
      <c r="AC313" s="1278" t="s">
        <v>1065</v>
      </c>
      <c r="AD313" s="723" t="s">
        <v>806</v>
      </c>
      <c r="AE313" s="719"/>
      <c r="AF313">
        <f t="shared" ca="1" si="22"/>
        <v>390</v>
      </c>
    </row>
    <row r="314" spans="1:33" s="906" customFormat="1" ht="104">
      <c r="A314" s="749"/>
      <c r="B314" s="737" t="s">
        <v>44</v>
      </c>
      <c r="C314" s="738" t="s">
        <v>1066</v>
      </c>
      <c r="D314" s="708" t="s">
        <v>32</v>
      </c>
      <c r="E314" s="727"/>
      <c r="F314" s="739" t="s">
        <v>1067</v>
      </c>
      <c r="G314" s="739" t="s">
        <v>502</v>
      </c>
      <c r="H314" s="707" t="s">
        <v>506</v>
      </c>
      <c r="I314" s="710" t="s">
        <v>34</v>
      </c>
      <c r="J314" s="1602" t="s">
        <v>1068</v>
      </c>
      <c r="K314" s="710" t="s">
        <v>1069</v>
      </c>
      <c r="L314" s="710">
        <v>3</v>
      </c>
      <c r="M314" s="769">
        <v>44866</v>
      </c>
      <c r="N314" s="769">
        <f>IFERROR(EDATE(O314,-L314),"Invalid procurement method or date entered")</f>
        <v>44927</v>
      </c>
      <c r="O314" s="947">
        <v>45017</v>
      </c>
      <c r="P314" s="721">
        <v>48</v>
      </c>
      <c r="Q314" s="741" t="s">
        <v>626</v>
      </c>
      <c r="R314" s="742">
        <v>180000</v>
      </c>
      <c r="S314" s="734" t="s">
        <v>130</v>
      </c>
      <c r="T314" s="730" t="s">
        <v>38</v>
      </c>
      <c r="U314" s="707" t="s">
        <v>67</v>
      </c>
      <c r="V314" s="2288"/>
      <c r="W314" s="845" t="s">
        <v>1070</v>
      </c>
      <c r="X314" s="914" t="s">
        <v>561</v>
      </c>
      <c r="Y314" s="698" t="s">
        <v>40</v>
      </c>
      <c r="Z314" s="710"/>
      <c r="AA314" s="710" t="s">
        <v>38</v>
      </c>
      <c r="AB314" s="1340">
        <v>44967</v>
      </c>
      <c r="AC314" s="1295" t="s">
        <v>1071</v>
      </c>
      <c r="AD314" s="741" t="s">
        <v>979</v>
      </c>
      <c r="AE314" s="719"/>
      <c r="AF314">
        <f t="shared" ca="1" si="22"/>
        <v>341</v>
      </c>
    </row>
    <row r="315" spans="1:33" s="906" customFormat="1" ht="52">
      <c r="A315" s="749"/>
      <c r="B315" s="814" t="s">
        <v>56</v>
      </c>
      <c r="C315" s="815" t="s">
        <v>60</v>
      </c>
      <c r="D315" s="816" t="s">
        <v>1025</v>
      </c>
      <c r="E315" s="816"/>
      <c r="F315" s="816"/>
      <c r="G315" s="816"/>
      <c r="H315" s="819" t="s">
        <v>58</v>
      </c>
      <c r="I315" s="815" t="s">
        <v>47</v>
      </c>
      <c r="J315" s="1622" t="s">
        <v>1072</v>
      </c>
      <c r="K315" s="815"/>
      <c r="L315" s="819">
        <v>3</v>
      </c>
      <c r="M315" s="820">
        <f>IF(O315="tbc","",(IFERROR(EDATE($N315,-3),"Invalid procurement method or date entered")))</f>
        <v>44866</v>
      </c>
      <c r="N315" s="821">
        <f>IF(O315="tbc","",(IFERROR(EDATE(O315,-L315),"Invalid procurement method or date entered")))</f>
        <v>44958</v>
      </c>
      <c r="O315" s="822">
        <v>45047</v>
      </c>
      <c r="P315" s="823">
        <v>1</v>
      </c>
      <c r="Q315" s="827">
        <v>1</v>
      </c>
      <c r="R315" s="742">
        <v>1000000</v>
      </c>
      <c r="S315" s="828" t="s">
        <v>176</v>
      </c>
      <c r="T315" s="824" t="s">
        <v>310</v>
      </c>
      <c r="U315" s="824" t="s">
        <v>60</v>
      </c>
      <c r="V315" s="824"/>
      <c r="W315" s="815" t="s">
        <v>940</v>
      </c>
      <c r="X315" s="819" t="s">
        <v>60</v>
      </c>
      <c r="Y315" s="825" t="s">
        <v>115</v>
      </c>
      <c r="Z315" s="825" t="s">
        <v>69</v>
      </c>
      <c r="AA315" s="752" t="s">
        <v>38</v>
      </c>
      <c r="AB315" s="1341">
        <v>44690</v>
      </c>
      <c r="AC315" s="1300" t="s">
        <v>1027</v>
      </c>
      <c r="AD315" s="924"/>
      <c r="AE315" s="924"/>
      <c r="AF315">
        <f t="shared" ca="1" si="22"/>
        <v>618</v>
      </c>
    </row>
    <row r="316" spans="1:33" s="906" customFormat="1" ht="26">
      <c r="A316" s="1235"/>
      <c r="B316" s="737" t="s">
        <v>44</v>
      </c>
      <c r="C316" s="738" t="s">
        <v>1073</v>
      </c>
      <c r="D316" s="708" t="s">
        <v>32</v>
      </c>
      <c r="E316" s="708"/>
      <c r="F316" s="708"/>
      <c r="G316" s="708"/>
      <c r="H316" s="710" t="s">
        <v>862</v>
      </c>
      <c r="I316" s="710" t="s">
        <v>34</v>
      </c>
      <c r="J316" s="1608" t="s">
        <v>1074</v>
      </c>
      <c r="K316" s="710"/>
      <c r="L316" s="710">
        <v>6</v>
      </c>
      <c r="M316" s="769">
        <f>IFERROR(EDATE($N316,-3),"Invalid procurement method or date entered")</f>
        <v>44866</v>
      </c>
      <c r="N316" s="769">
        <f>IFERROR(EDATE(O316,-L316),"Invalid procurement method or date entered")</f>
        <v>44958</v>
      </c>
      <c r="O316" s="947">
        <v>45139</v>
      </c>
      <c r="P316" s="740">
        <v>48</v>
      </c>
      <c r="Q316" s="719" t="s">
        <v>1075</v>
      </c>
      <c r="R316" s="937">
        <v>60000</v>
      </c>
      <c r="S316" s="708" t="s">
        <v>130</v>
      </c>
      <c r="T316" s="710" t="s">
        <v>62</v>
      </c>
      <c r="U316" s="796" t="s">
        <v>45</v>
      </c>
      <c r="V316" s="796"/>
      <c r="W316" s="710" t="s">
        <v>1076</v>
      </c>
      <c r="X316" s="710" t="s">
        <v>283</v>
      </c>
      <c r="Y316" s="710" t="s">
        <v>40</v>
      </c>
      <c r="Z316" s="710" t="s">
        <v>69</v>
      </c>
      <c r="AA316" s="710" t="s">
        <v>70</v>
      </c>
      <c r="AB316" s="769">
        <v>44873</v>
      </c>
      <c r="AC316" s="717" t="s">
        <v>1077</v>
      </c>
      <c r="AD316" s="723" t="s">
        <v>285</v>
      </c>
      <c r="AE316" s="1255"/>
      <c r="AF316">
        <f t="shared" ca="1" si="22"/>
        <v>435</v>
      </c>
      <c r="AG316" s="908"/>
    </row>
    <row r="317" spans="1:33" s="906" customFormat="1" ht="37.5">
      <c r="A317" s="1199"/>
      <c r="B317" s="958" t="s">
        <v>56</v>
      </c>
      <c r="C317" s="510" t="s">
        <v>60</v>
      </c>
      <c r="D317" s="511" t="s">
        <v>122</v>
      </c>
      <c r="E317" s="511"/>
      <c r="F317" s="511"/>
      <c r="G317" s="511"/>
      <c r="H317" s="511" t="s">
        <v>308</v>
      </c>
      <c r="I317" s="510" t="s">
        <v>47</v>
      </c>
      <c r="J317" s="1595" t="s">
        <v>1078</v>
      </c>
      <c r="K317" s="991"/>
      <c r="L317" s="511">
        <v>14</v>
      </c>
      <c r="M317" s="570">
        <f>IF(O317="tbc","",(IFERROR(EDATE($N317,-3),"Invalid procurement method or date entered")))</f>
        <v>44866</v>
      </c>
      <c r="N317" s="514">
        <f>IF(O317="tbc","",(IFERROR(EDATE(O317,-L317),"Invalid procurement method or date entered")))</f>
        <v>44958</v>
      </c>
      <c r="O317" s="572">
        <v>45383</v>
      </c>
      <c r="P317" s="535" t="s">
        <v>60</v>
      </c>
      <c r="Q317" s="535" t="s">
        <v>60</v>
      </c>
      <c r="R317" s="1032" t="s">
        <v>60</v>
      </c>
      <c r="S317" s="515" t="s">
        <v>45</v>
      </c>
      <c r="T317" s="515" t="s">
        <v>310</v>
      </c>
      <c r="U317" s="515" t="s">
        <v>60</v>
      </c>
      <c r="V317" s="515"/>
      <c r="W317" s="576" t="s">
        <v>70</v>
      </c>
      <c r="X317" s="120"/>
      <c r="Y317" s="120"/>
      <c r="Z317" s="186"/>
      <c r="AA317" s="120"/>
      <c r="AB317" s="120"/>
      <c r="AC317" s="1913"/>
      <c r="AD317" s="330"/>
      <c r="AE317" s="330"/>
      <c r="AF317">
        <f t="shared" ca="1" si="22"/>
        <v>45308</v>
      </c>
      <c r="AG317"/>
    </row>
    <row r="318" spans="1:33" s="906" customFormat="1" ht="39">
      <c r="A318" s="1235">
        <v>44866</v>
      </c>
      <c r="B318" s="737" t="s">
        <v>44</v>
      </c>
      <c r="C318" s="738"/>
      <c r="D318" s="739" t="s">
        <v>32</v>
      </c>
      <c r="E318" s="739"/>
      <c r="F318" s="739"/>
      <c r="G318" s="739"/>
      <c r="H318" s="710" t="s">
        <v>33</v>
      </c>
      <c r="I318" s="710" t="s">
        <v>268</v>
      </c>
      <c r="J318" s="1608" t="s">
        <v>1079</v>
      </c>
      <c r="K318" s="710" t="s">
        <v>1080</v>
      </c>
      <c r="L318" s="710"/>
      <c r="M318" s="769">
        <v>44866</v>
      </c>
      <c r="N318" s="769"/>
      <c r="O318" s="947"/>
      <c r="P318" s="740"/>
      <c r="Q318" s="741"/>
      <c r="R318" s="742">
        <v>177000</v>
      </c>
      <c r="S318" s="710" t="s">
        <v>270</v>
      </c>
      <c r="T318" s="885" t="s">
        <v>612</v>
      </c>
      <c r="U318" s="886" t="s">
        <v>67</v>
      </c>
      <c r="V318" s="886"/>
      <c r="W318" s="710" t="s">
        <v>1081</v>
      </c>
      <c r="X318" s="710" t="s">
        <v>283</v>
      </c>
      <c r="Y318" s="710" t="s">
        <v>40</v>
      </c>
      <c r="Z318" s="710"/>
      <c r="AA318" s="710" t="s">
        <v>38</v>
      </c>
      <c r="AB318" s="769" t="s">
        <v>1061</v>
      </c>
      <c r="AC318" s="717" t="s">
        <v>1082</v>
      </c>
      <c r="AD318" s="741" t="s">
        <v>164</v>
      </c>
      <c r="AE318" s="793"/>
      <c r="AF318" t="str">
        <f t="shared" ca="1" si="22"/>
        <v>N/A</v>
      </c>
      <c r="AG318"/>
    </row>
    <row r="319" spans="1:33" s="906" customFormat="1">
      <c r="A319" s="749">
        <v>44868</v>
      </c>
      <c r="B319" s="958" t="s">
        <v>44</v>
      </c>
      <c r="C319" s="707">
        <v>38992</v>
      </c>
      <c r="D319" s="12" t="s">
        <v>32</v>
      </c>
      <c r="E319" s="12"/>
      <c r="F319" s="12"/>
      <c r="G319" s="12"/>
      <c r="H319" s="730" t="s">
        <v>33</v>
      </c>
      <c r="I319" s="710" t="s">
        <v>47</v>
      </c>
      <c r="J319" s="1608" t="s">
        <v>1083</v>
      </c>
      <c r="K319" s="5" t="s">
        <v>1084</v>
      </c>
      <c r="L319" s="710"/>
      <c r="M319" s="711">
        <v>44868</v>
      </c>
      <c r="N319" s="2777"/>
      <c r="O319" s="2764">
        <v>44896</v>
      </c>
      <c r="P319" s="2763">
        <v>28</v>
      </c>
      <c r="Q319" s="2763">
        <v>28</v>
      </c>
      <c r="R319" s="937">
        <v>149336.66</v>
      </c>
      <c r="S319" s="2763" t="s">
        <v>84</v>
      </c>
      <c r="T319" s="2763" t="s">
        <v>62</v>
      </c>
      <c r="U319" s="2763" t="s">
        <v>67</v>
      </c>
      <c r="V319" s="2763"/>
      <c r="W319" s="730" t="s">
        <v>1085</v>
      </c>
      <c r="X319" s="730" t="s">
        <v>94</v>
      </c>
      <c r="Y319" s="695" t="s">
        <v>40</v>
      </c>
      <c r="Z319" s="27" t="s">
        <v>69</v>
      </c>
      <c r="AA319" s="695" t="s">
        <v>38</v>
      </c>
      <c r="AB319" s="1315">
        <v>44901</v>
      </c>
      <c r="AC319" s="1514" t="s">
        <v>442</v>
      </c>
      <c r="AD319" s="2787"/>
      <c r="AE319" s="793">
        <v>74668</v>
      </c>
      <c r="AF319">
        <f t="shared" ca="1" si="22"/>
        <v>407</v>
      </c>
    </row>
    <row r="320" spans="1:33" s="906" customFormat="1" ht="52">
      <c r="A320" s="749"/>
      <c r="B320" s="725" t="s">
        <v>56</v>
      </c>
      <c r="C320" s="726" t="s">
        <v>60</v>
      </c>
      <c r="D320" s="727" t="s">
        <v>32</v>
      </c>
      <c r="E320" s="727"/>
      <c r="F320" s="727"/>
      <c r="G320" s="727"/>
      <c r="H320" s="730" t="s">
        <v>308</v>
      </c>
      <c r="I320" s="710" t="s">
        <v>34</v>
      </c>
      <c r="J320" s="1608" t="s">
        <v>1086</v>
      </c>
      <c r="K320" s="710"/>
      <c r="L320" s="730">
        <v>12</v>
      </c>
      <c r="M320" s="731">
        <v>44868</v>
      </c>
      <c r="N320" s="712">
        <f>IF(O320="tbc","",(IFERROR(EDATE(O320,-L320),"Invalid procurement method or date entered")))</f>
        <v>44958</v>
      </c>
      <c r="O320" s="711">
        <v>45323</v>
      </c>
      <c r="P320" s="732">
        <v>12</v>
      </c>
      <c r="Q320" s="733">
        <v>12</v>
      </c>
      <c r="R320" s="742">
        <v>2127500</v>
      </c>
      <c r="S320" s="734" t="s">
        <v>130</v>
      </c>
      <c r="T320" s="711" t="s">
        <v>310</v>
      </c>
      <c r="U320" s="726" t="s">
        <v>60</v>
      </c>
      <c r="V320" s="726"/>
      <c r="W320" s="726" t="s">
        <v>379</v>
      </c>
      <c r="X320" s="730" t="s">
        <v>45</v>
      </c>
      <c r="Y320" s="762" t="s">
        <v>1087</v>
      </c>
      <c r="Z320" s="762" t="s">
        <v>69</v>
      </c>
      <c r="AA320" s="695" t="s">
        <v>70</v>
      </c>
      <c r="AB320" s="1340">
        <v>44945</v>
      </c>
      <c r="AC320" s="1283" t="s">
        <v>1088</v>
      </c>
      <c r="AD320" s="723"/>
      <c r="AE320" s="723"/>
      <c r="AF320">
        <f t="shared" ca="1" si="22"/>
        <v>363</v>
      </c>
    </row>
    <row r="321" spans="1:33" s="906" customFormat="1" ht="52">
      <c r="A321" s="749"/>
      <c r="B321" s="725" t="s">
        <v>56</v>
      </c>
      <c r="C321" s="726" t="s">
        <v>60</v>
      </c>
      <c r="D321" s="727" t="s">
        <v>32</v>
      </c>
      <c r="E321" s="727"/>
      <c r="F321" s="727"/>
      <c r="G321" s="727"/>
      <c r="H321" s="730" t="s">
        <v>308</v>
      </c>
      <c r="I321" s="710" t="s">
        <v>34</v>
      </c>
      <c r="J321" s="1608" t="s">
        <v>1089</v>
      </c>
      <c r="K321" s="710"/>
      <c r="L321" s="730">
        <v>12</v>
      </c>
      <c r="M321" s="731">
        <v>44868</v>
      </c>
      <c r="N321" s="712">
        <v>44958</v>
      </c>
      <c r="O321" s="711">
        <v>45323</v>
      </c>
      <c r="P321" s="732">
        <v>12</v>
      </c>
      <c r="Q321" s="733">
        <v>12</v>
      </c>
      <c r="R321" s="742">
        <v>355000</v>
      </c>
      <c r="S321" s="734" t="s">
        <v>130</v>
      </c>
      <c r="T321" s="711" t="s">
        <v>310</v>
      </c>
      <c r="U321" s="726" t="s">
        <v>60</v>
      </c>
      <c r="V321" s="726"/>
      <c r="W321" s="726" t="s">
        <v>379</v>
      </c>
      <c r="X321" s="730" t="s">
        <v>45</v>
      </c>
      <c r="Y321" s="762" t="s">
        <v>1087</v>
      </c>
      <c r="Z321" s="762" t="s">
        <v>69</v>
      </c>
      <c r="AA321" s="695" t="s">
        <v>70</v>
      </c>
      <c r="AB321" s="1340">
        <v>44945</v>
      </c>
      <c r="AC321" s="1283" t="s">
        <v>1088</v>
      </c>
      <c r="AD321" s="723"/>
      <c r="AE321" s="723"/>
      <c r="AF321">
        <f t="shared" ca="1" si="22"/>
        <v>363</v>
      </c>
    </row>
    <row r="322" spans="1:33" s="906" customFormat="1" ht="52">
      <c r="A322" s="749"/>
      <c r="B322" s="725" t="s">
        <v>56</v>
      </c>
      <c r="C322" s="726" t="s">
        <v>60</v>
      </c>
      <c r="D322" s="727" t="s">
        <v>32</v>
      </c>
      <c r="E322" s="727"/>
      <c r="F322" s="727"/>
      <c r="G322" s="727"/>
      <c r="H322" s="730" t="s">
        <v>308</v>
      </c>
      <c r="I322" s="710" t="s">
        <v>34</v>
      </c>
      <c r="J322" s="1608" t="s">
        <v>1090</v>
      </c>
      <c r="K322" s="710"/>
      <c r="L322" s="730">
        <v>12</v>
      </c>
      <c r="M322" s="731">
        <v>44868</v>
      </c>
      <c r="N322" s="712">
        <v>44958</v>
      </c>
      <c r="O322" s="711">
        <v>45323</v>
      </c>
      <c r="P322" s="732">
        <v>12</v>
      </c>
      <c r="Q322" s="733">
        <v>12</v>
      </c>
      <c r="R322" s="742">
        <f>570000/4</f>
        <v>142500</v>
      </c>
      <c r="S322" s="734" t="s">
        <v>130</v>
      </c>
      <c r="T322" s="711" t="s">
        <v>310</v>
      </c>
      <c r="U322" s="726" t="s">
        <v>60</v>
      </c>
      <c r="V322" s="726"/>
      <c r="W322" s="726" t="s">
        <v>379</v>
      </c>
      <c r="X322" s="730" t="s">
        <v>45</v>
      </c>
      <c r="Y322" s="762" t="s">
        <v>1087</v>
      </c>
      <c r="Z322" s="762" t="s">
        <v>69</v>
      </c>
      <c r="AA322" s="695" t="s">
        <v>70</v>
      </c>
      <c r="AB322" s="1340">
        <v>44945</v>
      </c>
      <c r="AC322" s="1283" t="s">
        <v>1088</v>
      </c>
      <c r="AD322" s="723"/>
      <c r="AE322" s="723"/>
      <c r="AF322">
        <f t="shared" ref="AF322:AF385" ca="1" si="23">IFERROR(TODAY()-AB322,"N/A")</f>
        <v>363</v>
      </c>
    </row>
    <row r="323" spans="1:33" s="906" customFormat="1" ht="39">
      <c r="A323" s="1235"/>
      <c r="B323" s="737" t="s">
        <v>44</v>
      </c>
      <c r="C323" s="738" t="s">
        <v>45</v>
      </c>
      <c r="D323" s="739" t="s">
        <v>32</v>
      </c>
      <c r="E323" s="739"/>
      <c r="F323" s="739"/>
      <c r="G323" s="739"/>
      <c r="H323" s="808" t="s">
        <v>304</v>
      </c>
      <c r="I323" s="808" t="s">
        <v>34</v>
      </c>
      <c r="J323" s="1608" t="s">
        <v>601</v>
      </c>
      <c r="K323" s="710"/>
      <c r="L323" s="710">
        <v>5</v>
      </c>
      <c r="M323" s="769">
        <f>IFERROR(EDATE($N323,-3),"Invalid procurement method or date entered")</f>
        <v>44890</v>
      </c>
      <c r="N323" s="769">
        <f>IFERROR(EDATE(O323,-L323),"Invalid procurement method or date entered")</f>
        <v>44982</v>
      </c>
      <c r="O323" s="947">
        <v>45132</v>
      </c>
      <c r="P323" s="740">
        <v>36</v>
      </c>
      <c r="Q323" s="719" t="s">
        <v>1091</v>
      </c>
      <c r="R323" s="937">
        <v>136150</v>
      </c>
      <c r="S323" s="710" t="s">
        <v>130</v>
      </c>
      <c r="T323" s="710" t="s">
        <v>38</v>
      </c>
      <c r="U323" s="738" t="s">
        <v>67</v>
      </c>
      <c r="V323" s="738"/>
      <c r="W323" s="710" t="s">
        <v>306</v>
      </c>
      <c r="X323" s="710" t="s">
        <v>561</v>
      </c>
      <c r="Y323" s="710" t="s">
        <v>40</v>
      </c>
      <c r="Z323" s="710" t="s">
        <v>154</v>
      </c>
      <c r="AA323" s="708" t="s">
        <v>70</v>
      </c>
      <c r="AB323" s="1340">
        <v>44911</v>
      </c>
      <c r="AC323" s="717" t="s">
        <v>1092</v>
      </c>
      <c r="AD323" s="741" t="s">
        <v>127</v>
      </c>
      <c r="AE323" s="793">
        <v>43300</v>
      </c>
      <c r="AF323">
        <f t="shared" ca="1" si="23"/>
        <v>397</v>
      </c>
    </row>
    <row r="324" spans="1:33" s="906" customFormat="1" ht="52">
      <c r="A324" s="749">
        <v>44771</v>
      </c>
      <c r="B324" s="725" t="s">
        <v>56</v>
      </c>
      <c r="C324" s="730" t="s">
        <v>60</v>
      </c>
      <c r="D324" s="727" t="s">
        <v>348</v>
      </c>
      <c r="E324" s="727"/>
      <c r="F324" s="727"/>
      <c r="G324" s="727"/>
      <c r="H324" s="730" t="s">
        <v>58</v>
      </c>
      <c r="I324" s="710" t="s">
        <v>47</v>
      </c>
      <c r="J324" s="1617" t="s">
        <v>1093</v>
      </c>
      <c r="K324" s="730"/>
      <c r="L324" s="730">
        <v>6</v>
      </c>
      <c r="M324" s="731">
        <v>44896</v>
      </c>
      <c r="N324" s="712">
        <v>44958</v>
      </c>
      <c r="O324" s="711">
        <v>45078</v>
      </c>
      <c r="P324" s="732">
        <v>48</v>
      </c>
      <c r="Q324" s="733" t="s">
        <v>215</v>
      </c>
      <c r="R324" s="742">
        <v>4000000</v>
      </c>
      <c r="S324" s="734" t="s">
        <v>91</v>
      </c>
      <c r="T324" s="711" t="s">
        <v>589</v>
      </c>
      <c r="U324" s="730" t="s">
        <v>589</v>
      </c>
      <c r="V324" s="730"/>
      <c r="W324" s="1334" t="s">
        <v>1094</v>
      </c>
      <c r="X324" s="730" t="s">
        <v>45</v>
      </c>
      <c r="Y324" s="762" t="s">
        <v>115</v>
      </c>
      <c r="Z324" s="762"/>
      <c r="AA324" s="695" t="s">
        <v>70</v>
      </c>
      <c r="AB324" s="834">
        <v>44886</v>
      </c>
      <c r="AC324" s="1283" t="s">
        <v>1095</v>
      </c>
      <c r="AD324" s="1271"/>
      <c r="AE324" s="1271"/>
      <c r="AF324">
        <f t="shared" ca="1" si="23"/>
        <v>422</v>
      </c>
      <c r="AG324" s="908"/>
    </row>
    <row r="325" spans="1:33" s="1" customFormat="1" ht="39">
      <c r="A325" s="1256">
        <v>44904</v>
      </c>
      <c r="B325" s="722" t="s">
        <v>56</v>
      </c>
      <c r="C325" s="707" t="s">
        <v>45</v>
      </c>
      <c r="D325" s="708" t="s">
        <v>847</v>
      </c>
      <c r="E325" s="708"/>
      <c r="F325" s="708"/>
      <c r="G325" s="708"/>
      <c r="H325" s="710" t="s">
        <v>308</v>
      </c>
      <c r="I325" s="710" t="s">
        <v>47</v>
      </c>
      <c r="J325" s="1608" t="s">
        <v>1096</v>
      </c>
      <c r="K325" s="710"/>
      <c r="L325" s="710">
        <v>3</v>
      </c>
      <c r="M325" s="711">
        <v>44927</v>
      </c>
      <c r="N325" s="712" t="s">
        <v>60</v>
      </c>
      <c r="O325" s="713">
        <v>45017</v>
      </c>
      <c r="P325" s="777">
        <v>2</v>
      </c>
      <c r="Q325" s="777">
        <v>2</v>
      </c>
      <c r="R325" s="772">
        <f>259206+406530</f>
        <v>665736</v>
      </c>
      <c r="S325" s="710" t="s">
        <v>61</v>
      </c>
      <c r="T325" s="710" t="s">
        <v>45</v>
      </c>
      <c r="U325" s="710" t="s">
        <v>45</v>
      </c>
      <c r="V325" s="710"/>
      <c r="W325" s="710" t="s">
        <v>350</v>
      </c>
      <c r="X325" s="1333" t="s">
        <v>60</v>
      </c>
      <c r="Y325" s="723" t="s">
        <v>115</v>
      </c>
      <c r="Z325" s="710" t="s">
        <v>45</v>
      </c>
      <c r="AA325" s="1164" t="s">
        <v>70</v>
      </c>
      <c r="AB325" s="711">
        <v>44938</v>
      </c>
      <c r="AC325" s="857" t="s">
        <v>1097</v>
      </c>
      <c r="AD325" s="723"/>
      <c r="AE325" s="723"/>
      <c r="AF325">
        <f t="shared" ca="1" si="23"/>
        <v>370</v>
      </c>
      <c r="AG325" s="906"/>
    </row>
    <row r="326" spans="1:33" s="906" customFormat="1" ht="78">
      <c r="A326" s="1256">
        <v>44904</v>
      </c>
      <c r="B326" s="706" t="s">
        <v>56</v>
      </c>
      <c r="C326" s="707" t="s">
        <v>45</v>
      </c>
      <c r="D326" s="708" t="s">
        <v>847</v>
      </c>
      <c r="E326" s="708"/>
      <c r="F326" s="708"/>
      <c r="G326" s="708"/>
      <c r="H326" s="710" t="s">
        <v>308</v>
      </c>
      <c r="I326" s="710" t="s">
        <v>47</v>
      </c>
      <c r="J326" s="1608" t="s">
        <v>1098</v>
      </c>
      <c r="K326" s="710"/>
      <c r="L326" s="710">
        <v>3</v>
      </c>
      <c r="M326" s="711">
        <v>44927</v>
      </c>
      <c r="N326" s="712" t="s">
        <v>60</v>
      </c>
      <c r="O326" s="713">
        <v>45017</v>
      </c>
      <c r="P326" s="2040">
        <v>3</v>
      </c>
      <c r="Q326" s="715">
        <v>3</v>
      </c>
      <c r="R326" s="742">
        <f>205767+387599+83345+235812+156069</f>
        <v>1068592</v>
      </c>
      <c r="S326" s="708" t="s">
        <v>61</v>
      </c>
      <c r="T326" s="710" t="s">
        <v>45</v>
      </c>
      <c r="U326" s="710" t="s">
        <v>45</v>
      </c>
      <c r="V326" s="843"/>
      <c r="W326" s="723" t="s">
        <v>350</v>
      </c>
      <c r="X326" s="1428" t="s">
        <v>60</v>
      </c>
      <c r="Y326" s="789" t="s">
        <v>115</v>
      </c>
      <c r="Z326" s="710" t="s">
        <v>45</v>
      </c>
      <c r="AA326" s="754" t="s">
        <v>70</v>
      </c>
      <c r="AB326" s="711">
        <v>44938</v>
      </c>
      <c r="AC326" s="857" t="s">
        <v>1099</v>
      </c>
      <c r="AD326" s="723"/>
      <c r="AE326" s="723"/>
      <c r="AF326">
        <f t="shared" ca="1" si="23"/>
        <v>370</v>
      </c>
    </row>
    <row r="327" spans="1:33" s="906" customFormat="1" ht="65">
      <c r="A327" s="749"/>
      <c r="B327" s="725" t="s">
        <v>56</v>
      </c>
      <c r="C327" s="726" t="s">
        <v>60</v>
      </c>
      <c r="D327" s="727" t="s">
        <v>122</v>
      </c>
      <c r="E327" s="727"/>
      <c r="F327" s="727"/>
      <c r="G327" s="727"/>
      <c r="H327" s="728" t="s">
        <v>308</v>
      </c>
      <c r="I327" s="729" t="s">
        <v>47</v>
      </c>
      <c r="J327" s="1604" t="s">
        <v>1100</v>
      </c>
      <c r="K327" s="729"/>
      <c r="L327" s="730">
        <v>12</v>
      </c>
      <c r="M327" s="731">
        <v>44927</v>
      </c>
      <c r="N327" s="712">
        <f>IF(O327="tbc","",(IFERROR(EDATE(O327,-L327),"Invalid procurement method or date entered")))</f>
        <v>44743</v>
      </c>
      <c r="O327" s="759">
        <v>45108</v>
      </c>
      <c r="P327" s="2036">
        <v>3</v>
      </c>
      <c r="Q327" s="761">
        <v>3</v>
      </c>
      <c r="R327" s="742">
        <f>331727*4</f>
        <v>1326908</v>
      </c>
      <c r="S327" s="734" t="s">
        <v>75</v>
      </c>
      <c r="T327" s="711" t="s">
        <v>62</v>
      </c>
      <c r="U327" s="711" t="s">
        <v>60</v>
      </c>
      <c r="V327" s="1317"/>
      <c r="W327" s="2095" t="s">
        <v>714</v>
      </c>
      <c r="X327" s="899" t="s">
        <v>45</v>
      </c>
      <c r="Y327" s="1510" t="s">
        <v>115</v>
      </c>
      <c r="Z327" s="1308" t="s">
        <v>69</v>
      </c>
      <c r="AA327" s="752" t="s">
        <v>70</v>
      </c>
      <c r="AB327" s="764">
        <v>44855</v>
      </c>
      <c r="AC327" s="1278" t="s">
        <v>1101</v>
      </c>
      <c r="AD327" s="924"/>
      <c r="AE327" s="924"/>
      <c r="AF327">
        <f t="shared" ca="1" si="23"/>
        <v>453</v>
      </c>
    </row>
    <row r="328" spans="1:33" s="906" customFormat="1" ht="78">
      <c r="A328" s="749"/>
      <c r="B328" s="737" t="s">
        <v>44</v>
      </c>
      <c r="C328" s="738" t="s">
        <v>1102</v>
      </c>
      <c r="D328" s="708" t="s">
        <v>32</v>
      </c>
      <c r="E328" s="727" t="s">
        <v>449</v>
      </c>
      <c r="F328" s="739" t="s">
        <v>1103</v>
      </c>
      <c r="G328" s="739" t="s">
        <v>569</v>
      </c>
      <c r="H328" s="710" t="s">
        <v>33</v>
      </c>
      <c r="I328" s="710" t="s">
        <v>34</v>
      </c>
      <c r="J328" s="1608" t="s">
        <v>1104</v>
      </c>
      <c r="K328" s="710" t="s">
        <v>1105</v>
      </c>
      <c r="L328" s="710" t="e">
        <f>IF(OR(S328=#REF!,S328=#REF!,S328=#REF!,S328=#REF!,S328=#REF!,S328=#REF!,S328=#REF!,S328=#REF!),12,IF(OR(S328=#REF!,S328=#REF!,S328=#REF!,S328=#REF!,S328=#REF!,S328=#REF!,S328=#REF!),3,IF(S328=#REF!,1,IF(S328=#REF!,18,IF(OR(S328=#REF!,S328=#REF!,S328=#REF!,S328=#REF!,S328=#REF!),14,"Invalid proposed procurement method")))))</f>
        <v>#REF!</v>
      </c>
      <c r="M328" s="769" t="str">
        <f>IFERROR(EDATE($N328,-1),"Invalid procurement method or date entered")</f>
        <v>Invalid procurement method or date entered</v>
      </c>
      <c r="N328" s="769" t="str">
        <f>IFERROR(EDATE(O328,-L328),"Invalid procurement method or date entered")</f>
        <v>Invalid procurement method or date entered</v>
      </c>
      <c r="O328" s="769">
        <v>45323</v>
      </c>
      <c r="P328" s="740">
        <v>50</v>
      </c>
      <c r="Q328" s="723" t="s">
        <v>1106</v>
      </c>
      <c r="R328" s="742">
        <v>55000</v>
      </c>
      <c r="S328" s="734" t="s">
        <v>130</v>
      </c>
      <c r="T328" s="885" t="s">
        <v>62</v>
      </c>
      <c r="U328" s="886" t="s">
        <v>67</v>
      </c>
      <c r="V328" s="886"/>
      <c r="W328" s="710" t="s">
        <v>1107</v>
      </c>
      <c r="X328" s="730" t="s">
        <v>189</v>
      </c>
      <c r="Y328" s="710" t="s">
        <v>115</v>
      </c>
      <c r="Z328" s="710" t="s">
        <v>154</v>
      </c>
      <c r="AA328" s="710" t="s">
        <v>70</v>
      </c>
      <c r="AB328" s="769">
        <v>44971</v>
      </c>
      <c r="AC328" s="717" t="s">
        <v>1108</v>
      </c>
      <c r="AD328" s="723" t="s">
        <v>164</v>
      </c>
      <c r="AE328" s="793">
        <v>1900</v>
      </c>
      <c r="AF328">
        <f t="shared" ca="1" si="23"/>
        <v>337</v>
      </c>
    </row>
    <row r="329" spans="1:33" s="907" customFormat="1" ht="143">
      <c r="A329" s="749">
        <v>44799</v>
      </c>
      <c r="B329" s="725" t="s">
        <v>56</v>
      </c>
      <c r="C329" s="726" t="s">
        <v>45</v>
      </c>
      <c r="D329" s="794" t="s">
        <v>348</v>
      </c>
      <c r="E329" s="794"/>
      <c r="F329" s="794"/>
      <c r="G329" s="794"/>
      <c r="H329" s="1409" t="s">
        <v>58</v>
      </c>
      <c r="I329" s="851" t="s">
        <v>47</v>
      </c>
      <c r="J329" s="1977" t="s">
        <v>1109</v>
      </c>
      <c r="K329" s="729"/>
      <c r="L329" s="794">
        <v>3</v>
      </c>
      <c r="M329" s="1272">
        <v>44928</v>
      </c>
      <c r="N329" s="1161"/>
      <c r="O329" s="1273">
        <v>45047</v>
      </c>
      <c r="P329" s="2035">
        <v>1</v>
      </c>
      <c r="Q329" s="761">
        <v>1</v>
      </c>
      <c r="R329" s="742">
        <f>33015+55563+13079+208958+162515+61389+66996+152589+91705+70463</f>
        <v>916272</v>
      </c>
      <c r="S329" s="1354" t="s">
        <v>61</v>
      </c>
      <c r="T329" s="792" t="s">
        <v>589</v>
      </c>
      <c r="U329" s="792" t="s">
        <v>589</v>
      </c>
      <c r="V329" s="792"/>
      <c r="W329" s="851" t="s">
        <v>350</v>
      </c>
      <c r="X329" s="794" t="s">
        <v>60</v>
      </c>
      <c r="Y329" s="795" t="s">
        <v>1110</v>
      </c>
      <c r="Z329" s="2114"/>
      <c r="AA329" s="719" t="s">
        <v>70</v>
      </c>
      <c r="AB329" s="764">
        <v>44799</v>
      </c>
      <c r="AC329" s="2142" t="s">
        <v>1111</v>
      </c>
      <c r="AD329" s="1273"/>
      <c r="AE329" s="1273"/>
      <c r="AF329">
        <f t="shared" ca="1" si="23"/>
        <v>509</v>
      </c>
      <c r="AG329" s="906"/>
    </row>
    <row r="330" spans="1:33" s="908" customFormat="1" ht="52">
      <c r="A330" s="749">
        <v>44799</v>
      </c>
      <c r="B330" s="890" t="s">
        <v>56</v>
      </c>
      <c r="C330" s="726" t="s">
        <v>45</v>
      </c>
      <c r="D330" s="730" t="s">
        <v>348</v>
      </c>
      <c r="E330" s="730"/>
      <c r="F330" s="730"/>
      <c r="G330" s="730"/>
      <c r="H330" s="730" t="s">
        <v>58</v>
      </c>
      <c r="I330" s="726" t="s">
        <v>47</v>
      </c>
      <c r="J330" s="1604" t="s">
        <v>1112</v>
      </c>
      <c r="K330" s="726"/>
      <c r="L330" s="730">
        <v>3</v>
      </c>
      <c r="M330" s="731">
        <v>44928</v>
      </c>
      <c r="N330" s="712"/>
      <c r="O330" s="759">
        <v>45047</v>
      </c>
      <c r="P330" s="891">
        <v>1</v>
      </c>
      <c r="Q330" s="891">
        <v>1</v>
      </c>
      <c r="R330" s="742">
        <v>45000</v>
      </c>
      <c r="S330" s="711" t="s">
        <v>61</v>
      </c>
      <c r="T330" s="711" t="s">
        <v>589</v>
      </c>
      <c r="U330" s="711" t="s">
        <v>589</v>
      </c>
      <c r="V330" s="711"/>
      <c r="W330" s="726" t="s">
        <v>350</v>
      </c>
      <c r="X330" s="1333" t="s">
        <v>60</v>
      </c>
      <c r="Y330" s="762" t="s">
        <v>1110</v>
      </c>
      <c r="Z330" s="762"/>
      <c r="AA330" s="695" t="s">
        <v>70</v>
      </c>
      <c r="AB330" s="1337">
        <v>44938</v>
      </c>
      <c r="AC330" s="1290" t="s">
        <v>1113</v>
      </c>
      <c r="AD330" s="1273"/>
      <c r="AE330" s="1273"/>
      <c r="AF330">
        <f t="shared" ca="1" si="23"/>
        <v>370</v>
      </c>
      <c r="AG330" s="906"/>
    </row>
    <row r="331" spans="1:33" s="908" customFormat="1" ht="104">
      <c r="A331" s="749"/>
      <c r="B331" s="890" t="s">
        <v>56</v>
      </c>
      <c r="C331" s="726" t="s">
        <v>60</v>
      </c>
      <c r="D331" s="730" t="s">
        <v>122</v>
      </c>
      <c r="E331" s="730"/>
      <c r="F331" s="730"/>
      <c r="G331" s="730"/>
      <c r="H331" s="730" t="s">
        <v>58</v>
      </c>
      <c r="I331" s="726" t="s">
        <v>47</v>
      </c>
      <c r="J331" s="1604" t="s">
        <v>1114</v>
      </c>
      <c r="K331" s="726"/>
      <c r="L331" s="730">
        <v>1</v>
      </c>
      <c r="M331" s="731">
        <v>44928</v>
      </c>
      <c r="N331" s="712">
        <v>44956</v>
      </c>
      <c r="O331" s="759" t="s">
        <v>60</v>
      </c>
      <c r="P331" s="891" t="s">
        <v>60</v>
      </c>
      <c r="Q331" s="891" t="s">
        <v>60</v>
      </c>
      <c r="R331" s="742">
        <v>375000</v>
      </c>
      <c r="S331" s="711" t="s">
        <v>182</v>
      </c>
      <c r="T331" s="711" t="s">
        <v>62</v>
      </c>
      <c r="U331" s="711" t="s">
        <v>589</v>
      </c>
      <c r="V331" s="711"/>
      <c r="W331" s="726" t="s">
        <v>714</v>
      </c>
      <c r="X331" s="2108" t="s">
        <v>351</v>
      </c>
      <c r="Y331" s="762" t="s">
        <v>594</v>
      </c>
      <c r="Z331" s="762" t="s">
        <v>69</v>
      </c>
      <c r="AA331" s="695" t="s">
        <v>70</v>
      </c>
      <c r="AB331" s="1336">
        <v>44942</v>
      </c>
      <c r="AC331" s="1290" t="s">
        <v>1115</v>
      </c>
      <c r="AD331" s="1162"/>
      <c r="AE331" s="1162"/>
      <c r="AF331">
        <f t="shared" ca="1" si="23"/>
        <v>366</v>
      </c>
      <c r="AG331" s="906"/>
    </row>
    <row r="332" spans="1:33" s="906" customFormat="1" ht="143">
      <c r="A332" s="749">
        <v>44904</v>
      </c>
      <c r="B332" s="706" t="s">
        <v>56</v>
      </c>
      <c r="C332" s="707" t="s">
        <v>45</v>
      </c>
      <c r="D332" s="708" t="s">
        <v>847</v>
      </c>
      <c r="E332" s="727" t="s">
        <v>449</v>
      </c>
      <c r="F332" s="739" t="s">
        <v>361</v>
      </c>
      <c r="G332" s="739" t="s">
        <v>362</v>
      </c>
      <c r="H332" s="710" t="s">
        <v>308</v>
      </c>
      <c r="I332" s="710" t="s">
        <v>47</v>
      </c>
      <c r="J332" s="1627" t="s">
        <v>1116</v>
      </c>
      <c r="K332" s="710"/>
      <c r="L332" s="710">
        <v>3</v>
      </c>
      <c r="M332" s="711">
        <v>44958</v>
      </c>
      <c r="N332" s="712" t="s">
        <v>60</v>
      </c>
      <c r="O332" s="713">
        <v>45047</v>
      </c>
      <c r="P332" s="714">
        <v>4</v>
      </c>
      <c r="Q332" s="715">
        <v>4</v>
      </c>
      <c r="R332" s="742">
        <f>188580+152699+181109+145092+494342+49523+19619+313437+243773+228884</f>
        <v>2017058</v>
      </c>
      <c r="S332" s="710" t="s">
        <v>61</v>
      </c>
      <c r="T332" s="710" t="s">
        <v>45</v>
      </c>
      <c r="U332" s="710" t="s">
        <v>45</v>
      </c>
      <c r="V332" s="710"/>
      <c r="W332" s="710" t="s">
        <v>350</v>
      </c>
      <c r="X332" s="710" t="s">
        <v>312</v>
      </c>
      <c r="Y332" s="710" t="s">
        <v>115</v>
      </c>
      <c r="Z332" s="710" t="s">
        <v>45</v>
      </c>
      <c r="AA332" s="724" t="s">
        <v>70</v>
      </c>
      <c r="AB332" s="711">
        <v>44973</v>
      </c>
      <c r="AC332" s="857" t="s">
        <v>1117</v>
      </c>
      <c r="AD332" s="723"/>
      <c r="AE332" s="723"/>
      <c r="AF332">
        <f t="shared" ca="1" si="23"/>
        <v>335</v>
      </c>
      <c r="AG332" s="906">
        <v>1</v>
      </c>
    </row>
    <row r="333" spans="1:33" s="906" customFormat="1" ht="52">
      <c r="A333" s="749"/>
      <c r="B333" s="725" t="s">
        <v>56</v>
      </c>
      <c r="C333" s="726" t="s">
        <v>60</v>
      </c>
      <c r="D333" s="727" t="s">
        <v>57</v>
      </c>
      <c r="E333" s="727"/>
      <c r="F333" s="727"/>
      <c r="G333" s="727"/>
      <c r="H333" s="730" t="s">
        <v>58</v>
      </c>
      <c r="I333" s="710" t="s">
        <v>47</v>
      </c>
      <c r="J333" s="1608" t="s">
        <v>1118</v>
      </c>
      <c r="K333" s="710"/>
      <c r="L333" s="730">
        <v>12</v>
      </c>
      <c r="M333" s="731">
        <v>44960</v>
      </c>
      <c r="N333" s="712">
        <f>IF(O333="tbc","",(IFERROR(EDATE(O333,-L333),"Invalid procurement method or date entered")))</f>
        <v>45017</v>
      </c>
      <c r="O333" s="701">
        <v>45383</v>
      </c>
      <c r="P333" s="2037" t="s">
        <v>1119</v>
      </c>
      <c r="Q333" s="733" t="s">
        <v>1119</v>
      </c>
      <c r="R333" s="742">
        <v>20000000</v>
      </c>
      <c r="S333" s="734" t="s">
        <v>91</v>
      </c>
      <c r="T333" s="711" t="s">
        <v>310</v>
      </c>
      <c r="U333" s="788" t="s">
        <v>60</v>
      </c>
      <c r="V333" s="788"/>
      <c r="W333" s="784" t="s">
        <v>651</v>
      </c>
      <c r="X333" s="895" t="s">
        <v>45</v>
      </c>
      <c r="Y333" s="812" t="s">
        <v>115</v>
      </c>
      <c r="Z333" s="812" t="s">
        <v>69</v>
      </c>
      <c r="AA333" s="790" t="s">
        <v>70</v>
      </c>
      <c r="AB333" s="1335">
        <v>44942</v>
      </c>
      <c r="AC333" s="1305" t="s">
        <v>1120</v>
      </c>
      <c r="AD333" s="1271"/>
      <c r="AE333" s="1271"/>
      <c r="AF333">
        <f t="shared" ca="1" si="23"/>
        <v>366</v>
      </c>
    </row>
    <row r="334" spans="1:33" s="906" customFormat="1" ht="91">
      <c r="A334" s="749">
        <v>44975</v>
      </c>
      <c r="B334" s="737" t="s">
        <v>44</v>
      </c>
      <c r="C334" s="738"/>
      <c r="D334" s="708" t="s">
        <v>32</v>
      </c>
      <c r="E334" s="727" t="s">
        <v>449</v>
      </c>
      <c r="F334" s="708" t="s">
        <v>630</v>
      </c>
      <c r="G334" s="2234" t="s">
        <v>1121</v>
      </c>
      <c r="H334" s="710" t="s">
        <v>1122</v>
      </c>
      <c r="I334" s="710" t="s">
        <v>47</v>
      </c>
      <c r="J334" s="709" t="s">
        <v>1123</v>
      </c>
      <c r="K334" s="710"/>
      <c r="L334" s="710"/>
      <c r="M334" s="769">
        <v>44975</v>
      </c>
      <c r="N334" s="769">
        <v>44975</v>
      </c>
      <c r="O334" s="769">
        <v>45017</v>
      </c>
      <c r="P334" s="750">
        <v>6</v>
      </c>
      <c r="Q334" s="1470">
        <v>6</v>
      </c>
      <c r="R334" s="937">
        <v>63000</v>
      </c>
      <c r="S334" s="708" t="s">
        <v>51</v>
      </c>
      <c r="T334" s="710" t="s">
        <v>38</v>
      </c>
      <c r="U334" s="738" t="s">
        <v>67</v>
      </c>
      <c r="V334" s="738"/>
      <c r="W334" s="710" t="s">
        <v>1124</v>
      </c>
      <c r="X334" s="801" t="s">
        <v>54</v>
      </c>
      <c r="Y334" s="710" t="s">
        <v>40</v>
      </c>
      <c r="Z334" s="710" t="s">
        <v>154</v>
      </c>
      <c r="AA334" s="710" t="s">
        <v>38</v>
      </c>
      <c r="AB334" s="769">
        <v>44978</v>
      </c>
      <c r="AC334" s="1291" t="s">
        <v>1125</v>
      </c>
      <c r="AD334" s="741" t="s">
        <v>165</v>
      </c>
      <c r="AE334" s="793">
        <v>63000</v>
      </c>
      <c r="AF334">
        <f t="shared" ca="1" si="23"/>
        <v>330</v>
      </c>
    </row>
    <row r="335" spans="1:33" s="906" customFormat="1">
      <c r="A335" s="749">
        <v>44799</v>
      </c>
      <c r="B335" s="737" t="s">
        <v>44</v>
      </c>
      <c r="C335" s="738" t="s">
        <v>67</v>
      </c>
      <c r="D335" s="708" t="s">
        <v>32</v>
      </c>
      <c r="E335" s="708"/>
      <c r="F335" s="708"/>
      <c r="G335" s="708"/>
      <c r="H335" s="709" t="s">
        <v>595</v>
      </c>
      <c r="I335" s="709" t="s">
        <v>47</v>
      </c>
      <c r="J335" s="1602" t="s">
        <v>596</v>
      </c>
      <c r="K335" s="709" t="s">
        <v>597</v>
      </c>
      <c r="L335" s="710">
        <v>3</v>
      </c>
      <c r="M335" s="711">
        <f>IFERROR(EDATE($N335,-3),"Invalid procurement method or date entered")</f>
        <v>44975</v>
      </c>
      <c r="N335" s="711">
        <f>IFERROR(EDATE(O335,-L335),"Invalid procurement method or date entered")</f>
        <v>45064</v>
      </c>
      <c r="O335" s="711">
        <v>45156</v>
      </c>
      <c r="P335" s="750" t="s">
        <v>45</v>
      </c>
      <c r="Q335" s="766" t="s">
        <v>45</v>
      </c>
      <c r="R335" s="742" t="s">
        <v>45</v>
      </c>
      <c r="S335" s="708" t="s">
        <v>84</v>
      </c>
      <c r="T335" s="796" t="s">
        <v>38</v>
      </c>
      <c r="U335" s="770" t="s">
        <v>67</v>
      </c>
      <c r="V335" s="770"/>
      <c r="W335" s="709" t="s">
        <v>598</v>
      </c>
      <c r="X335" s="695" t="s">
        <v>45</v>
      </c>
      <c r="Y335" s="723" t="s">
        <v>40</v>
      </c>
      <c r="Z335" s="710" t="s">
        <v>154</v>
      </c>
      <c r="AA335" s="710" t="s">
        <v>70</v>
      </c>
      <c r="AB335" s="745" t="s">
        <v>302</v>
      </c>
      <c r="AC335" s="717"/>
      <c r="AD335" s="741" t="s">
        <v>79</v>
      </c>
      <c r="AE335" s="793">
        <v>1428</v>
      </c>
      <c r="AF335" t="str">
        <f t="shared" ca="1" si="23"/>
        <v>N/A</v>
      </c>
      <c r="AG335"/>
    </row>
    <row r="336" spans="1:33" s="906" customFormat="1" ht="37.5">
      <c r="A336" s="1199"/>
      <c r="B336" s="960" t="s">
        <v>56</v>
      </c>
      <c r="C336" s="510" t="s">
        <v>60</v>
      </c>
      <c r="D336" s="611" t="s">
        <v>122</v>
      </c>
      <c r="E336" s="611"/>
      <c r="F336" s="611"/>
      <c r="G336" s="611"/>
      <c r="H336" s="511" t="s">
        <v>308</v>
      </c>
      <c r="I336" s="510" t="s">
        <v>47</v>
      </c>
      <c r="J336" s="1604" t="s">
        <v>1126</v>
      </c>
      <c r="K336" s="529"/>
      <c r="L336" s="511">
        <v>12</v>
      </c>
      <c r="M336" s="513">
        <v>45015</v>
      </c>
      <c r="N336" s="514">
        <f t="shared" ref="N336:N343" si="24">IF(O336="tbc","",(IFERROR(EDATE(O336,-L336),"Invalid procurement method or date entered")))</f>
        <v>44743</v>
      </c>
      <c r="O336" s="534">
        <v>45108</v>
      </c>
      <c r="P336" s="1011">
        <v>3</v>
      </c>
      <c r="Q336" s="684">
        <v>3</v>
      </c>
      <c r="R336" s="1034">
        <v>331727</v>
      </c>
      <c r="S336" s="1044" t="s">
        <v>75</v>
      </c>
      <c r="T336" s="515" t="s">
        <v>62</v>
      </c>
      <c r="U336" s="520" t="s">
        <v>115</v>
      </c>
      <c r="V336" s="520"/>
      <c r="W336" s="521" t="s">
        <v>70</v>
      </c>
      <c r="X336" s="120"/>
      <c r="Y336" s="1080"/>
      <c r="Z336" s="120"/>
      <c r="AA336" s="120"/>
      <c r="AB336" s="120"/>
      <c r="AC336" s="186"/>
      <c r="AD336" s="330"/>
      <c r="AE336" s="330"/>
      <c r="AF336">
        <f t="shared" ca="1" si="23"/>
        <v>45308</v>
      </c>
      <c r="AG336"/>
    </row>
    <row r="337" spans="1:33" ht="91">
      <c r="A337" s="749"/>
      <c r="B337" s="725" t="s">
        <v>56</v>
      </c>
      <c r="C337" s="726" t="s">
        <v>60</v>
      </c>
      <c r="D337" s="727" t="s">
        <v>1127</v>
      </c>
      <c r="E337" s="727"/>
      <c r="F337" s="727"/>
      <c r="G337" s="727"/>
      <c r="H337" s="730" t="s">
        <v>308</v>
      </c>
      <c r="I337" s="726" t="s">
        <v>47</v>
      </c>
      <c r="J337" s="1604" t="s">
        <v>1128</v>
      </c>
      <c r="K337" s="726"/>
      <c r="L337" s="730">
        <v>12</v>
      </c>
      <c r="M337" s="731">
        <v>45017</v>
      </c>
      <c r="N337" s="712">
        <f t="shared" si="24"/>
        <v>44805</v>
      </c>
      <c r="O337" s="759">
        <v>45170</v>
      </c>
      <c r="P337" s="760">
        <v>1</v>
      </c>
      <c r="Q337" s="761">
        <v>1</v>
      </c>
      <c r="R337" s="742">
        <f t="shared" ref="R337:R342" si="25">(331727)*1.0109</f>
        <v>335342.82429999998</v>
      </c>
      <c r="S337" s="734" t="s">
        <v>75</v>
      </c>
      <c r="T337" s="711" t="s">
        <v>310</v>
      </c>
      <c r="U337" s="711" t="s">
        <v>60</v>
      </c>
      <c r="V337" s="711"/>
      <c r="W337" s="726" t="s">
        <v>714</v>
      </c>
      <c r="X337" s="730" t="s">
        <v>60</v>
      </c>
      <c r="Y337" s="762" t="s">
        <v>115</v>
      </c>
      <c r="Z337" s="762" t="s">
        <v>154</v>
      </c>
      <c r="AA337" s="695" t="s">
        <v>38</v>
      </c>
      <c r="AB337" s="1337">
        <v>44907</v>
      </c>
      <c r="AC337" s="1515" t="s">
        <v>1129</v>
      </c>
      <c r="AD337" s="1502"/>
      <c r="AE337" s="1502"/>
      <c r="AF337">
        <f t="shared" ca="1" si="23"/>
        <v>401</v>
      </c>
      <c r="AG337" s="906"/>
    </row>
    <row r="338" spans="1:33" ht="91">
      <c r="A338" s="749"/>
      <c r="B338" s="1165" t="s">
        <v>56</v>
      </c>
      <c r="C338" s="726" t="s">
        <v>60</v>
      </c>
      <c r="D338" s="727" t="s">
        <v>1127</v>
      </c>
      <c r="E338" s="727"/>
      <c r="F338" s="727"/>
      <c r="G338" s="727"/>
      <c r="H338" s="730" t="s">
        <v>308</v>
      </c>
      <c r="I338" s="726" t="s">
        <v>47</v>
      </c>
      <c r="J338" s="1604" t="s">
        <v>1130</v>
      </c>
      <c r="K338" s="726"/>
      <c r="L338" s="730">
        <v>12</v>
      </c>
      <c r="M338" s="731">
        <v>45017</v>
      </c>
      <c r="N338" s="712">
        <f t="shared" si="24"/>
        <v>44805</v>
      </c>
      <c r="O338" s="759">
        <v>45170</v>
      </c>
      <c r="P338" s="891">
        <v>1</v>
      </c>
      <c r="Q338" s="891">
        <v>1</v>
      </c>
      <c r="R338" s="772">
        <f t="shared" si="25"/>
        <v>335342.82429999998</v>
      </c>
      <c r="S338" s="711" t="s">
        <v>75</v>
      </c>
      <c r="T338" s="711" t="s">
        <v>310</v>
      </c>
      <c r="U338" s="711" t="s">
        <v>60</v>
      </c>
      <c r="V338" s="711"/>
      <c r="W338" s="726" t="s">
        <v>714</v>
      </c>
      <c r="X338" s="730" t="s">
        <v>60</v>
      </c>
      <c r="Y338" s="795" t="s">
        <v>115</v>
      </c>
      <c r="Z338" s="762" t="s">
        <v>154</v>
      </c>
      <c r="AA338" s="782" t="s">
        <v>38</v>
      </c>
      <c r="AB338" s="1337">
        <v>44907</v>
      </c>
      <c r="AC338" s="1278" t="s">
        <v>1131</v>
      </c>
      <c r="AD338" s="1165"/>
      <c r="AE338" s="1165"/>
      <c r="AF338">
        <f t="shared" ca="1" si="23"/>
        <v>401</v>
      </c>
      <c r="AG338" s="906"/>
    </row>
    <row r="339" spans="1:33" s="906" customFormat="1" ht="91">
      <c r="A339" s="749"/>
      <c r="B339" s="725" t="s">
        <v>56</v>
      </c>
      <c r="C339" s="726" t="s">
        <v>60</v>
      </c>
      <c r="D339" s="727" t="s">
        <v>1127</v>
      </c>
      <c r="E339" s="727"/>
      <c r="F339" s="727"/>
      <c r="G339" s="727"/>
      <c r="H339" s="730" t="s">
        <v>308</v>
      </c>
      <c r="I339" s="726" t="s">
        <v>47</v>
      </c>
      <c r="J339" s="1604" t="s">
        <v>1132</v>
      </c>
      <c r="K339" s="726"/>
      <c r="L339" s="730">
        <v>12</v>
      </c>
      <c r="M339" s="731">
        <v>45017</v>
      </c>
      <c r="N339" s="712">
        <f t="shared" si="24"/>
        <v>44805</v>
      </c>
      <c r="O339" s="759">
        <v>45170</v>
      </c>
      <c r="P339" s="760">
        <v>1</v>
      </c>
      <c r="Q339" s="761">
        <v>1</v>
      </c>
      <c r="R339" s="929">
        <f t="shared" si="25"/>
        <v>335342.82429999998</v>
      </c>
      <c r="S339" s="734" t="s">
        <v>75</v>
      </c>
      <c r="T339" s="711" t="s">
        <v>310</v>
      </c>
      <c r="U339" s="1317" t="s">
        <v>60</v>
      </c>
      <c r="V339" s="1498"/>
      <c r="W339" s="1355" t="s">
        <v>714</v>
      </c>
      <c r="X339" s="703" t="s">
        <v>60</v>
      </c>
      <c r="Y339" s="1356" t="s">
        <v>115</v>
      </c>
      <c r="Z339" s="1357" t="s">
        <v>154</v>
      </c>
      <c r="AA339" s="782" t="s">
        <v>38</v>
      </c>
      <c r="AB339" s="1337">
        <v>44907</v>
      </c>
      <c r="AC339" s="1278" t="s">
        <v>1133</v>
      </c>
      <c r="AD339" s="1165"/>
      <c r="AE339" s="1165"/>
      <c r="AF339">
        <f t="shared" ca="1" si="23"/>
        <v>401</v>
      </c>
    </row>
    <row r="340" spans="1:33" s="906" customFormat="1" ht="91">
      <c r="A340" s="749"/>
      <c r="B340" s="725" t="s">
        <v>56</v>
      </c>
      <c r="C340" s="726" t="s">
        <v>60</v>
      </c>
      <c r="D340" s="727" t="s">
        <v>1127</v>
      </c>
      <c r="E340" s="727"/>
      <c r="F340" s="727"/>
      <c r="G340" s="727"/>
      <c r="H340" s="730" t="s">
        <v>308</v>
      </c>
      <c r="I340" s="726" t="s">
        <v>47</v>
      </c>
      <c r="J340" s="1604" t="s">
        <v>1134</v>
      </c>
      <c r="K340" s="726"/>
      <c r="L340" s="730">
        <v>12</v>
      </c>
      <c r="M340" s="731">
        <v>45017</v>
      </c>
      <c r="N340" s="712">
        <f t="shared" si="24"/>
        <v>44805</v>
      </c>
      <c r="O340" s="759">
        <v>45170</v>
      </c>
      <c r="P340" s="760">
        <v>1</v>
      </c>
      <c r="Q340" s="761">
        <v>1</v>
      </c>
      <c r="R340" s="742">
        <f t="shared" si="25"/>
        <v>335342.82429999998</v>
      </c>
      <c r="S340" s="711" t="s">
        <v>75</v>
      </c>
      <c r="T340" s="711" t="s">
        <v>310</v>
      </c>
      <c r="U340" s="711" t="s">
        <v>60</v>
      </c>
      <c r="V340" s="711"/>
      <c r="W340" s="726" t="s">
        <v>714</v>
      </c>
      <c r="X340" s="730" t="s">
        <v>60</v>
      </c>
      <c r="Y340" s="762" t="s">
        <v>115</v>
      </c>
      <c r="Z340" s="762" t="s">
        <v>154</v>
      </c>
      <c r="AA340" s="695" t="s">
        <v>38</v>
      </c>
      <c r="AB340" s="1337">
        <v>44907</v>
      </c>
      <c r="AC340" s="1278" t="s">
        <v>1135</v>
      </c>
      <c r="AD340" s="1165"/>
      <c r="AE340" s="1165"/>
      <c r="AF340">
        <f t="shared" ca="1" si="23"/>
        <v>401</v>
      </c>
    </row>
    <row r="341" spans="1:33" s="906" customFormat="1" ht="91">
      <c r="A341" s="749"/>
      <c r="B341" s="890" t="s">
        <v>56</v>
      </c>
      <c r="C341" s="726" t="s">
        <v>60</v>
      </c>
      <c r="D341" s="730" t="s">
        <v>1127</v>
      </c>
      <c r="E341" s="730"/>
      <c r="F341" s="730"/>
      <c r="G341" s="730"/>
      <c r="H341" s="730" t="s">
        <v>308</v>
      </c>
      <c r="I341" s="726" t="s">
        <v>47</v>
      </c>
      <c r="J341" s="1604" t="s">
        <v>1136</v>
      </c>
      <c r="K341" s="726"/>
      <c r="L341" s="730">
        <v>12</v>
      </c>
      <c r="M341" s="731">
        <v>45017</v>
      </c>
      <c r="N341" s="712">
        <f t="shared" si="24"/>
        <v>44805</v>
      </c>
      <c r="O341" s="759">
        <v>45170</v>
      </c>
      <c r="P341" s="891">
        <v>1</v>
      </c>
      <c r="Q341" s="891">
        <v>1</v>
      </c>
      <c r="R341" s="742">
        <f t="shared" si="25"/>
        <v>335342.82429999998</v>
      </c>
      <c r="S341" s="711" t="s">
        <v>75</v>
      </c>
      <c r="T341" s="711" t="s">
        <v>310</v>
      </c>
      <c r="U341" s="711" t="s">
        <v>60</v>
      </c>
      <c r="V341" s="711"/>
      <c r="W341" s="726" t="s">
        <v>714</v>
      </c>
      <c r="X341" s="730" t="s">
        <v>60</v>
      </c>
      <c r="Y341" s="762" t="s">
        <v>115</v>
      </c>
      <c r="Z341" s="1309" t="s">
        <v>154</v>
      </c>
      <c r="AA341" s="695" t="s">
        <v>38</v>
      </c>
      <c r="AB341" s="1337">
        <v>44907</v>
      </c>
      <c r="AC341" s="1276" t="s">
        <v>1137</v>
      </c>
      <c r="AD341" s="1165"/>
      <c r="AE341" s="1165"/>
      <c r="AF341">
        <f t="shared" ca="1" si="23"/>
        <v>401</v>
      </c>
      <c r="AG341" s="908"/>
    </row>
    <row r="342" spans="1:33" s="950" customFormat="1" ht="91">
      <c r="A342" s="749"/>
      <c r="B342" s="725" t="s">
        <v>56</v>
      </c>
      <c r="C342" s="726" t="s">
        <v>60</v>
      </c>
      <c r="D342" s="727" t="s">
        <v>1127</v>
      </c>
      <c r="E342" s="727"/>
      <c r="F342" s="727"/>
      <c r="G342" s="727"/>
      <c r="H342" s="730" t="s">
        <v>308</v>
      </c>
      <c r="I342" s="726" t="s">
        <v>47</v>
      </c>
      <c r="J342" s="1604" t="s">
        <v>1138</v>
      </c>
      <c r="K342" s="726"/>
      <c r="L342" s="730">
        <v>12</v>
      </c>
      <c r="M342" s="731">
        <v>45017</v>
      </c>
      <c r="N342" s="712">
        <f t="shared" si="24"/>
        <v>44805</v>
      </c>
      <c r="O342" s="759">
        <v>45170</v>
      </c>
      <c r="P342" s="760">
        <v>1</v>
      </c>
      <c r="Q342" s="761">
        <v>1</v>
      </c>
      <c r="R342" s="742">
        <f t="shared" si="25"/>
        <v>335342.82429999998</v>
      </c>
      <c r="S342" s="734" t="s">
        <v>75</v>
      </c>
      <c r="T342" s="711" t="s">
        <v>310</v>
      </c>
      <c r="U342" s="711" t="s">
        <v>60</v>
      </c>
      <c r="V342" s="711"/>
      <c r="W342" s="726" t="s">
        <v>714</v>
      </c>
      <c r="X342" s="730" t="s">
        <v>60</v>
      </c>
      <c r="Y342" s="762" t="s">
        <v>115</v>
      </c>
      <c r="Z342" s="762" t="s">
        <v>154</v>
      </c>
      <c r="AA342" s="695" t="s">
        <v>38</v>
      </c>
      <c r="AB342" s="1337">
        <v>44907</v>
      </c>
      <c r="AC342" s="1278" t="s">
        <v>1137</v>
      </c>
      <c r="AD342" s="1165"/>
      <c r="AE342" s="1165"/>
      <c r="AF342">
        <f t="shared" ca="1" si="23"/>
        <v>401</v>
      </c>
      <c r="AG342" s="908"/>
    </row>
    <row r="343" spans="1:33" s="950" customFormat="1" ht="143">
      <c r="A343" s="749"/>
      <c r="B343" s="725" t="s">
        <v>56</v>
      </c>
      <c r="C343" s="726" t="s">
        <v>60</v>
      </c>
      <c r="D343" s="727" t="s">
        <v>348</v>
      </c>
      <c r="E343" s="727"/>
      <c r="F343" s="727"/>
      <c r="G343" s="727"/>
      <c r="H343" s="728" t="s">
        <v>58</v>
      </c>
      <c r="I343" s="729" t="s">
        <v>47</v>
      </c>
      <c r="J343" s="1604" t="s">
        <v>1139</v>
      </c>
      <c r="K343" s="729"/>
      <c r="L343" s="730">
        <v>3</v>
      </c>
      <c r="M343" s="731">
        <v>45017</v>
      </c>
      <c r="N343" s="712" t="str">
        <f t="shared" si="24"/>
        <v/>
      </c>
      <c r="O343" s="759" t="s">
        <v>60</v>
      </c>
      <c r="P343" s="760" t="s">
        <v>60</v>
      </c>
      <c r="Q343" s="761" t="s">
        <v>60</v>
      </c>
      <c r="R343" s="937">
        <v>62400</v>
      </c>
      <c r="S343" s="734" t="s">
        <v>61</v>
      </c>
      <c r="T343" s="711" t="s">
        <v>589</v>
      </c>
      <c r="U343" s="711" t="s">
        <v>60</v>
      </c>
      <c r="V343" s="711"/>
      <c r="W343" s="729" t="s">
        <v>350</v>
      </c>
      <c r="X343" s="730" t="s">
        <v>60</v>
      </c>
      <c r="Y343" s="762" t="s">
        <v>115</v>
      </c>
      <c r="Z343" s="736" t="s">
        <v>154</v>
      </c>
      <c r="AA343" s="695" t="s">
        <v>70</v>
      </c>
      <c r="AB343" s="833">
        <v>44781</v>
      </c>
      <c r="AC343" s="1278" t="s">
        <v>1140</v>
      </c>
      <c r="AD343" s="924"/>
      <c r="AE343" s="924"/>
      <c r="AF343">
        <f t="shared" ca="1" si="23"/>
        <v>527</v>
      </c>
      <c r="AG343" s="906"/>
    </row>
    <row r="344" spans="1:33" s="906" customFormat="1" ht="39">
      <c r="A344" s="1500"/>
      <c r="B344" s="737" t="s">
        <v>44</v>
      </c>
      <c r="C344" s="738" t="s">
        <v>45</v>
      </c>
      <c r="D344" s="708" t="s">
        <v>32</v>
      </c>
      <c r="E344" s="708"/>
      <c r="F344" s="708"/>
      <c r="G344" s="708"/>
      <c r="H344" s="709" t="s">
        <v>33</v>
      </c>
      <c r="I344" s="709" t="s">
        <v>34</v>
      </c>
      <c r="J344" s="1602" t="s">
        <v>226</v>
      </c>
      <c r="K344" s="709" t="s">
        <v>1141</v>
      </c>
      <c r="L344" s="710">
        <v>6</v>
      </c>
      <c r="M344" s="711">
        <f>IFERROR(EDATE($N344,-3),"Invalid procurement method or date entered")</f>
        <v>45127</v>
      </c>
      <c r="N344" s="711">
        <f>IFERROR(EDATE(O344,-L344),"Invalid procurement method or date entered")</f>
        <v>45219</v>
      </c>
      <c r="O344" s="770">
        <v>45402</v>
      </c>
      <c r="P344" s="721">
        <v>48</v>
      </c>
      <c r="Q344" s="722" t="s">
        <v>82</v>
      </c>
      <c r="R344" s="742">
        <v>38000</v>
      </c>
      <c r="S344" s="710" t="s">
        <v>130</v>
      </c>
      <c r="T344" s="744" t="s">
        <v>38</v>
      </c>
      <c r="U344" s="738" t="s">
        <v>67</v>
      </c>
      <c r="V344" s="738"/>
      <c r="W344" s="709" t="s">
        <v>227</v>
      </c>
      <c r="X344" s="710" t="s">
        <v>39</v>
      </c>
      <c r="Y344" s="710" t="s">
        <v>40</v>
      </c>
      <c r="Z344" s="710" t="s">
        <v>69</v>
      </c>
      <c r="AA344" s="710" t="s">
        <v>70</v>
      </c>
      <c r="AB344" s="745" t="s">
        <v>302</v>
      </c>
      <c r="AC344" s="717" t="s">
        <v>1142</v>
      </c>
      <c r="AD344" s="723" t="s">
        <v>164</v>
      </c>
      <c r="AE344" s="1288"/>
      <c r="AF344" t="str">
        <f t="shared" ca="1" si="23"/>
        <v>N/A</v>
      </c>
      <c r="AG344"/>
    </row>
    <row r="345" spans="1:33" s="906" customFormat="1" ht="52">
      <c r="A345" s="749"/>
      <c r="B345" s="725" t="s">
        <v>56</v>
      </c>
      <c r="C345" s="726" t="s">
        <v>60</v>
      </c>
      <c r="D345" s="727" t="s">
        <v>32</v>
      </c>
      <c r="E345" s="727"/>
      <c r="F345" s="727"/>
      <c r="G345" s="727"/>
      <c r="H345" s="730" t="s">
        <v>308</v>
      </c>
      <c r="I345" s="710" t="s">
        <v>34</v>
      </c>
      <c r="J345" s="1608" t="s">
        <v>1143</v>
      </c>
      <c r="K345" s="710"/>
      <c r="L345" s="730">
        <v>12</v>
      </c>
      <c r="M345" s="731">
        <v>45232</v>
      </c>
      <c r="N345" s="712">
        <f>IF(O345="tbc","",(IFERROR(EDATE(O345,-L345),"Invalid procurement method or date entered")))</f>
        <v>45323</v>
      </c>
      <c r="O345" s="711">
        <v>45689</v>
      </c>
      <c r="P345" s="732">
        <v>12</v>
      </c>
      <c r="Q345" s="733">
        <v>12</v>
      </c>
      <c r="R345" s="742">
        <v>2127500</v>
      </c>
      <c r="S345" s="711" t="s">
        <v>130</v>
      </c>
      <c r="T345" s="711" t="s">
        <v>310</v>
      </c>
      <c r="U345" s="726" t="s">
        <v>60</v>
      </c>
      <c r="V345" s="726"/>
      <c r="W345" s="726" t="s">
        <v>379</v>
      </c>
      <c r="X345" s="730" t="s">
        <v>45</v>
      </c>
      <c r="Y345" s="762" t="s">
        <v>1087</v>
      </c>
      <c r="Z345" s="762" t="s">
        <v>69</v>
      </c>
      <c r="AA345" s="695" t="s">
        <v>70</v>
      </c>
      <c r="AB345" s="1901">
        <v>44945</v>
      </c>
      <c r="AC345" s="1283" t="s">
        <v>1088</v>
      </c>
      <c r="AD345" s="723"/>
      <c r="AE345" s="723"/>
      <c r="AF345">
        <f t="shared" ca="1" si="23"/>
        <v>363</v>
      </c>
    </row>
    <row r="346" spans="1:33" s="305" customFormat="1" ht="52">
      <c r="A346" s="749"/>
      <c r="B346" s="1165" t="s">
        <v>56</v>
      </c>
      <c r="C346" s="726" t="s">
        <v>60</v>
      </c>
      <c r="D346" s="727" t="s">
        <v>32</v>
      </c>
      <c r="E346" s="727"/>
      <c r="F346" s="727"/>
      <c r="G346" s="727"/>
      <c r="H346" s="730" t="s">
        <v>308</v>
      </c>
      <c r="I346" s="710" t="s">
        <v>34</v>
      </c>
      <c r="J346" s="1608" t="s">
        <v>1144</v>
      </c>
      <c r="K346" s="710"/>
      <c r="L346" s="730">
        <v>12</v>
      </c>
      <c r="M346" s="731">
        <v>45232</v>
      </c>
      <c r="N346" s="712">
        <v>45323</v>
      </c>
      <c r="O346" s="711">
        <v>45689</v>
      </c>
      <c r="P346" s="893">
        <v>12</v>
      </c>
      <c r="Q346" s="893">
        <v>12</v>
      </c>
      <c r="R346" s="772">
        <v>355000</v>
      </c>
      <c r="S346" s="711" t="s">
        <v>130</v>
      </c>
      <c r="T346" s="711" t="s">
        <v>310</v>
      </c>
      <c r="U346" s="726" t="s">
        <v>60</v>
      </c>
      <c r="V346" s="726"/>
      <c r="W346" s="726" t="s">
        <v>379</v>
      </c>
      <c r="X346" s="730" t="s">
        <v>45</v>
      </c>
      <c r="Y346" s="795" t="s">
        <v>1087</v>
      </c>
      <c r="Z346" s="762" t="s">
        <v>69</v>
      </c>
      <c r="AA346" s="782" t="s">
        <v>70</v>
      </c>
      <c r="AB346" s="1358">
        <v>44945</v>
      </c>
      <c r="AC346" s="1283" t="s">
        <v>1088</v>
      </c>
      <c r="AD346" s="723"/>
      <c r="AE346" s="723"/>
      <c r="AF346">
        <f t="shared" ca="1" si="23"/>
        <v>363</v>
      </c>
      <c r="AG346" s="906"/>
    </row>
    <row r="347" spans="1:33" s="906" customFormat="1" ht="52">
      <c r="A347" s="749"/>
      <c r="B347" s="725" t="s">
        <v>56</v>
      </c>
      <c r="C347" s="726" t="s">
        <v>60</v>
      </c>
      <c r="D347" s="727" t="s">
        <v>32</v>
      </c>
      <c r="E347" s="727"/>
      <c r="F347" s="727"/>
      <c r="G347" s="727"/>
      <c r="H347" s="730" t="s">
        <v>308</v>
      </c>
      <c r="I347" s="710" t="s">
        <v>34</v>
      </c>
      <c r="J347" s="1608" t="s">
        <v>1145</v>
      </c>
      <c r="K347" s="710"/>
      <c r="L347" s="730">
        <v>12</v>
      </c>
      <c r="M347" s="731">
        <v>45232</v>
      </c>
      <c r="N347" s="712">
        <v>45323</v>
      </c>
      <c r="O347" s="711">
        <v>45689</v>
      </c>
      <c r="P347" s="2041">
        <v>12</v>
      </c>
      <c r="Q347" s="733">
        <v>12</v>
      </c>
      <c r="R347" s="742">
        <f>570000/4</f>
        <v>142500</v>
      </c>
      <c r="S347" s="734" t="s">
        <v>130</v>
      </c>
      <c r="T347" s="711" t="s">
        <v>310</v>
      </c>
      <c r="U347" s="726" t="s">
        <v>60</v>
      </c>
      <c r="V347" s="726"/>
      <c r="W347" s="726" t="s">
        <v>379</v>
      </c>
      <c r="X347" s="730" t="s">
        <v>45</v>
      </c>
      <c r="Y347" s="762" t="s">
        <v>1087</v>
      </c>
      <c r="Z347" s="762" t="s">
        <v>69</v>
      </c>
      <c r="AA347" s="752" t="s">
        <v>70</v>
      </c>
      <c r="AB347" s="1340">
        <v>44945</v>
      </c>
      <c r="AC347" s="1283" t="s">
        <v>1088</v>
      </c>
      <c r="AD347" s="723"/>
      <c r="AE347" s="723"/>
      <c r="AF347">
        <f t="shared" ca="1" si="23"/>
        <v>363</v>
      </c>
    </row>
    <row r="348" spans="1:33" s="906" customFormat="1" ht="52">
      <c r="A348" s="749">
        <v>44929</v>
      </c>
      <c r="B348" s="841" t="s">
        <v>44</v>
      </c>
      <c r="C348" s="842" t="s">
        <v>45</v>
      </c>
      <c r="D348" s="1311" t="s">
        <v>32</v>
      </c>
      <c r="E348" s="1385"/>
      <c r="F348" s="1311" t="s">
        <v>110</v>
      </c>
      <c r="G348" s="1431" t="s">
        <v>1146</v>
      </c>
      <c r="H348" s="1369" t="s">
        <v>304</v>
      </c>
      <c r="I348" s="1369" t="s">
        <v>34</v>
      </c>
      <c r="J348" s="1973" t="s">
        <v>601</v>
      </c>
      <c r="K348" s="700"/>
      <c r="L348" s="700">
        <v>5</v>
      </c>
      <c r="M348" s="769">
        <f>IFERROR(EDATE($N348,-3),"Invalid procurement method or date entered")</f>
        <v>45255</v>
      </c>
      <c r="N348" s="847">
        <f>IFERROR(EDATE(O348,-L348),"Invalid procurement method or date entered")</f>
        <v>45347</v>
      </c>
      <c r="O348" s="1240">
        <v>45498</v>
      </c>
      <c r="P348" s="845">
        <v>36</v>
      </c>
      <c r="Q348" s="719" t="s">
        <v>1147</v>
      </c>
      <c r="R348" s="742">
        <v>136150</v>
      </c>
      <c r="S348" s="698" t="s">
        <v>130</v>
      </c>
      <c r="T348" s="700" t="s">
        <v>38</v>
      </c>
      <c r="U348" s="842" t="s">
        <v>67</v>
      </c>
      <c r="V348" s="842"/>
      <c r="W348" s="700" t="s">
        <v>306</v>
      </c>
      <c r="X348" s="710" t="s">
        <v>45</v>
      </c>
      <c r="Y348" s="700" t="s">
        <v>40</v>
      </c>
      <c r="Z348" s="700" t="s">
        <v>154</v>
      </c>
      <c r="AA348" s="700" t="s">
        <v>70</v>
      </c>
      <c r="AB348" s="1340"/>
      <c r="AC348" s="735" t="s">
        <v>1148</v>
      </c>
      <c r="AD348" s="741" t="s">
        <v>127</v>
      </c>
      <c r="AE348" s="793">
        <v>43300</v>
      </c>
      <c r="AF348">
        <f t="shared" ca="1" si="23"/>
        <v>45308</v>
      </c>
    </row>
    <row r="349" spans="1:33" s="906" customFormat="1" ht="37.5">
      <c r="A349" s="1199"/>
      <c r="B349" s="960" t="s">
        <v>56</v>
      </c>
      <c r="C349" s="537" t="s">
        <v>60</v>
      </c>
      <c r="D349" s="1962" t="s">
        <v>32</v>
      </c>
      <c r="E349" s="1962"/>
      <c r="F349" s="1962"/>
      <c r="G349" s="1962"/>
      <c r="H349" s="664" t="s">
        <v>308</v>
      </c>
      <c r="I349" s="537" t="s">
        <v>47</v>
      </c>
      <c r="J349" s="1612" t="s">
        <v>1149</v>
      </c>
      <c r="K349" s="529"/>
      <c r="L349" s="664">
        <v>14</v>
      </c>
      <c r="M349" s="514">
        <v>45261</v>
      </c>
      <c r="N349" s="2020">
        <v>45017</v>
      </c>
      <c r="O349" s="534">
        <v>45323</v>
      </c>
      <c r="P349" s="1011" t="s">
        <v>60</v>
      </c>
      <c r="Q349" s="684" t="s">
        <v>60</v>
      </c>
      <c r="R349" s="1034">
        <v>30000000</v>
      </c>
      <c r="S349" s="1044" t="s">
        <v>91</v>
      </c>
      <c r="T349" s="515" t="s">
        <v>70</v>
      </c>
      <c r="U349" s="515"/>
      <c r="V349" s="515"/>
      <c r="W349" s="394" t="s">
        <v>70</v>
      </c>
      <c r="X349" s="120"/>
      <c r="Y349" s="120"/>
      <c r="Z349" s="120"/>
      <c r="AA349" s="120"/>
      <c r="AB349" s="120"/>
      <c r="AC349" s="186"/>
      <c r="AD349" s="330"/>
      <c r="AE349" s="330"/>
      <c r="AF349">
        <f t="shared" ca="1" si="23"/>
        <v>45308</v>
      </c>
      <c r="AG349"/>
    </row>
    <row r="350" spans="1:33" s="950" customFormat="1" ht="29">
      <c r="A350" s="248"/>
      <c r="B350" s="961" t="s">
        <v>100</v>
      </c>
      <c r="C350" s="389"/>
      <c r="D350" s="118" t="s">
        <v>122</v>
      </c>
      <c r="E350" s="118"/>
      <c r="F350" s="118"/>
      <c r="G350" s="118"/>
      <c r="H350" s="8" t="s">
        <v>197</v>
      </c>
      <c r="I350" s="8" t="s">
        <v>47</v>
      </c>
      <c r="J350" s="16" t="s">
        <v>1150</v>
      </c>
      <c r="K350" s="8"/>
      <c r="L350" s="84">
        <v>1</v>
      </c>
      <c r="M350" s="436">
        <f>IFERROR(EDATE(N350,-3),"Invalid procurement method or date entered")</f>
        <v>45413</v>
      </c>
      <c r="N350" s="386">
        <f>IFERROR(EDATE(O350,-L350),"Invalid procurement method or date entered")</f>
        <v>45505</v>
      </c>
      <c r="O350" s="367">
        <v>45536</v>
      </c>
      <c r="P350" s="165">
        <v>64</v>
      </c>
      <c r="Q350" s="1795">
        <v>64</v>
      </c>
      <c r="R350" s="387">
        <v>10000</v>
      </c>
      <c r="S350" s="31" t="s">
        <v>37</v>
      </c>
      <c r="T350" s="365" t="s">
        <v>38</v>
      </c>
      <c r="U350" s="365" t="s">
        <v>71</v>
      </c>
      <c r="V350" s="365"/>
      <c r="W350" s="8" t="s">
        <v>1151</v>
      </c>
      <c r="X350" s="8" t="s">
        <v>45</v>
      </c>
      <c r="Y350" s="8" t="s">
        <v>115</v>
      </c>
      <c r="Z350" s="8"/>
      <c r="AA350" s="455"/>
      <c r="AB350" s="160" t="s">
        <v>70</v>
      </c>
      <c r="AC350" s="487"/>
      <c r="AD350" s="1927"/>
      <c r="AE350" s="1927"/>
      <c r="AF350" t="str">
        <f t="shared" ca="1" si="23"/>
        <v>N/A</v>
      </c>
      <c r="AG350"/>
    </row>
    <row r="351" spans="1:33" s="906" customFormat="1" ht="52">
      <c r="A351" s="749">
        <v>44806</v>
      </c>
      <c r="B351" s="737" t="s">
        <v>44</v>
      </c>
      <c r="C351" s="738" t="s">
        <v>1152</v>
      </c>
      <c r="D351" s="708" t="s">
        <v>32</v>
      </c>
      <c r="E351" s="727"/>
      <c r="F351" s="739" t="s">
        <v>361</v>
      </c>
      <c r="G351" s="739" t="s">
        <v>569</v>
      </c>
      <c r="H351" s="710" t="s">
        <v>33</v>
      </c>
      <c r="I351" s="710" t="s">
        <v>268</v>
      </c>
      <c r="J351" s="1602" t="s">
        <v>1153</v>
      </c>
      <c r="K351" s="710" t="s">
        <v>1154</v>
      </c>
      <c r="L351" s="710" t="e">
        <f>IF(OR(S351=#REF!,S351=#REF!,S351=#REF!,S351=#REF!,S351=#REF!,S351=#REF!,S351=#REF!,S351=#REF!),12,IF(OR(S351=#REF!,S351=#REF!,S351=#REF!,S351=#REF!,S351=#REF!,S351=#REF!,S351=#REF!),3,IF(S351=#REF!,1,IF(S351=#REF!,18,IF(OR(S351=#REF!,S351=#REF!,S351=#REF!,S351=#REF!,S351=#REF!),14,"Invalid proposed procurement method")))))</f>
        <v>#REF!</v>
      </c>
      <c r="M351" s="769" t="str">
        <f>IFERROR(EDATE($N351,-3),"Invalid procurement method or date entered")</f>
        <v>Invalid procurement method or date entered</v>
      </c>
      <c r="N351" s="769" t="str">
        <f>IFERROR(EDATE(O351,-L351),"Invalid procurement method or date entered")</f>
        <v>Invalid procurement method or date entered</v>
      </c>
      <c r="O351" s="1238">
        <v>45607</v>
      </c>
      <c r="P351" s="740">
        <v>120</v>
      </c>
      <c r="Q351" s="942" t="s">
        <v>1155</v>
      </c>
      <c r="R351" s="742">
        <v>723364.8</v>
      </c>
      <c r="S351" s="708" t="s">
        <v>270</v>
      </c>
      <c r="T351" s="882" t="s">
        <v>70</v>
      </c>
      <c r="U351" s="882">
        <v>44900</v>
      </c>
      <c r="V351" s="882"/>
      <c r="W351" s="1060" t="s">
        <v>153</v>
      </c>
      <c r="X351" s="1060" t="s">
        <v>283</v>
      </c>
      <c r="Y351" s="1438" t="s">
        <v>40</v>
      </c>
      <c r="Z351" s="1060" t="s">
        <v>87</v>
      </c>
      <c r="AA351" s="1060" t="s">
        <v>70</v>
      </c>
      <c r="AB351" s="1320">
        <v>44967</v>
      </c>
      <c r="AC351" s="1295" t="s">
        <v>1156</v>
      </c>
      <c r="AD351" s="723" t="s">
        <v>156</v>
      </c>
      <c r="AE351" s="1255"/>
      <c r="AF351">
        <f t="shared" ca="1" si="23"/>
        <v>341</v>
      </c>
    </row>
    <row r="352" spans="1:33" s="906" customFormat="1" ht="43.5">
      <c r="A352" s="248"/>
      <c r="B352" s="1951" t="s">
        <v>100</v>
      </c>
      <c r="C352" s="200" t="s">
        <v>45</v>
      </c>
      <c r="D352" s="118" t="s">
        <v>110</v>
      </c>
      <c r="E352" s="118"/>
      <c r="F352" s="118"/>
      <c r="G352" s="118"/>
      <c r="H352" s="16" t="s">
        <v>116</v>
      </c>
      <c r="I352" s="273" t="s">
        <v>47</v>
      </c>
      <c r="J352" s="16" t="s">
        <v>1157</v>
      </c>
      <c r="K352" s="8"/>
      <c r="L352" s="5">
        <v>12</v>
      </c>
      <c r="M352" s="199">
        <v>45536</v>
      </c>
      <c r="N352" s="149">
        <v>45658</v>
      </c>
      <c r="O352" s="367">
        <v>46113</v>
      </c>
      <c r="P352" s="165">
        <v>120</v>
      </c>
      <c r="Q352" s="1795" t="s">
        <v>1158</v>
      </c>
      <c r="R352" s="387">
        <v>25252489</v>
      </c>
      <c r="S352" s="387" t="s">
        <v>130</v>
      </c>
      <c r="T352" s="365" t="s">
        <v>70</v>
      </c>
      <c r="U352" s="388" t="s">
        <v>1159</v>
      </c>
      <c r="V352" s="388"/>
      <c r="W352" s="8" t="s">
        <v>1160</v>
      </c>
      <c r="X352" s="16" t="s">
        <v>108</v>
      </c>
      <c r="Y352" s="16" t="s">
        <v>1161</v>
      </c>
      <c r="Z352" s="16"/>
      <c r="AA352" s="1584" t="s">
        <v>87</v>
      </c>
      <c r="AB352" s="253" t="s">
        <v>70</v>
      </c>
      <c r="AC352" s="487">
        <v>44449</v>
      </c>
      <c r="AD352" s="1927"/>
      <c r="AE352" s="1927"/>
      <c r="AF352" t="str">
        <f t="shared" ca="1" si="23"/>
        <v>N/A</v>
      </c>
      <c r="AG352"/>
    </row>
    <row r="353" spans="1:33" s="906" customFormat="1" ht="26">
      <c r="A353" s="749" t="s">
        <v>71</v>
      </c>
      <c r="B353" s="706" t="s">
        <v>100</v>
      </c>
      <c r="C353" s="707" t="s">
        <v>1162</v>
      </c>
      <c r="D353" s="708" t="s">
        <v>122</v>
      </c>
      <c r="E353" s="727" t="s">
        <v>449</v>
      </c>
      <c r="F353" s="708" t="s">
        <v>122</v>
      </c>
      <c r="G353" s="708" t="s">
        <v>1163</v>
      </c>
      <c r="H353" s="710" t="s">
        <v>103</v>
      </c>
      <c r="I353" s="723" t="s">
        <v>34</v>
      </c>
      <c r="J353" s="1608" t="s">
        <v>1164</v>
      </c>
      <c r="K353" s="710" t="s">
        <v>354</v>
      </c>
      <c r="L353" s="710">
        <v>12</v>
      </c>
      <c r="M353" s="711">
        <v>45566</v>
      </c>
      <c r="N353" s="712">
        <v>45717</v>
      </c>
      <c r="O353" s="713">
        <v>45717</v>
      </c>
      <c r="P353" s="721">
        <v>60</v>
      </c>
      <c r="Q353" s="773" t="s">
        <v>1165</v>
      </c>
      <c r="R353" s="742">
        <v>100000</v>
      </c>
      <c r="S353" s="716" t="s">
        <v>130</v>
      </c>
      <c r="T353" s="710" t="s">
        <v>38</v>
      </c>
      <c r="U353" s="710" t="s">
        <v>71</v>
      </c>
      <c r="V353" s="710"/>
      <c r="W353" s="710" t="s">
        <v>1166</v>
      </c>
      <c r="X353" s="710" t="s">
        <v>45</v>
      </c>
      <c r="Y353" s="710" t="s">
        <v>40</v>
      </c>
      <c r="Z353" s="710" t="s">
        <v>69</v>
      </c>
      <c r="AA353" s="724" t="s">
        <v>70</v>
      </c>
      <c r="AB353" s="2128">
        <v>44944</v>
      </c>
      <c r="AC353" s="916" t="s">
        <v>1167</v>
      </c>
      <c r="AD353" s="794"/>
      <c r="AE353" s="794"/>
      <c r="AF353">
        <f t="shared" ca="1" si="23"/>
        <v>364</v>
      </c>
    </row>
    <row r="354" spans="1:33" s="906" customFormat="1">
      <c r="A354" s="1568">
        <v>44974</v>
      </c>
      <c r="B354" s="1569" t="s">
        <v>1168</v>
      </c>
      <c r="C354" s="1664">
        <v>29365</v>
      </c>
      <c r="D354" s="1664" t="s">
        <v>1169</v>
      </c>
      <c r="E354" s="1655" t="s">
        <v>1168</v>
      </c>
      <c r="F354" s="1655" t="s">
        <v>1170</v>
      </c>
      <c r="G354" s="1655" t="s">
        <v>1170</v>
      </c>
      <c r="H354" s="1655" t="s">
        <v>1170</v>
      </c>
      <c r="I354" s="1655" t="s">
        <v>1170</v>
      </c>
      <c r="J354" s="1698" t="s">
        <v>1171</v>
      </c>
      <c r="K354" s="1664" t="s">
        <v>1172</v>
      </c>
      <c r="L354" s="1655" t="s">
        <v>1170</v>
      </c>
      <c r="M354" s="1655" t="s">
        <v>1170</v>
      </c>
      <c r="N354" s="1655" t="s">
        <v>1170</v>
      </c>
      <c r="O354" s="1755">
        <v>44652</v>
      </c>
      <c r="P354" s="1755">
        <v>45016</v>
      </c>
      <c r="Q354" s="1755">
        <v>45382</v>
      </c>
      <c r="R354" s="1807">
        <v>24000</v>
      </c>
      <c r="S354" s="1664" t="s">
        <v>1173</v>
      </c>
      <c r="T354" s="1655" t="s">
        <v>1170</v>
      </c>
      <c r="U354" s="1655" t="s">
        <v>1170</v>
      </c>
      <c r="V354" s="1655"/>
      <c r="W354" s="1664" t="s">
        <v>1174</v>
      </c>
      <c r="X354" s="1664" t="s">
        <v>1175</v>
      </c>
      <c r="Y354" s="1664" t="s">
        <v>251</v>
      </c>
      <c r="Z354" s="1655" t="s">
        <v>1170</v>
      </c>
      <c r="AA354" s="1655" t="s">
        <v>1170</v>
      </c>
      <c r="AB354" s="1655" t="s">
        <v>1170</v>
      </c>
      <c r="AC354" s="2235" t="s">
        <v>1176</v>
      </c>
      <c r="AD354" s="1653" t="s">
        <v>1170</v>
      </c>
      <c r="AE354" s="1935">
        <v>24000</v>
      </c>
      <c r="AF354" t="str">
        <f t="shared" ca="1" si="23"/>
        <v>N/A</v>
      </c>
      <c r="AG354"/>
    </row>
    <row r="355" spans="1:33" s="908" customFormat="1">
      <c r="A355" s="1568">
        <v>44974</v>
      </c>
      <c r="B355" s="1569" t="s">
        <v>1168</v>
      </c>
      <c r="C355" s="1664" t="s">
        <v>1177</v>
      </c>
      <c r="D355" s="1664" t="s">
        <v>1178</v>
      </c>
      <c r="E355" s="1655" t="s">
        <v>1168</v>
      </c>
      <c r="F355" s="1655" t="s">
        <v>1170</v>
      </c>
      <c r="G355" s="1655" t="s">
        <v>1170</v>
      </c>
      <c r="H355" s="1655" t="s">
        <v>1170</v>
      </c>
      <c r="I355" s="1655" t="s">
        <v>1170</v>
      </c>
      <c r="J355" s="1698" t="s">
        <v>1179</v>
      </c>
      <c r="K355" s="1664" t="s">
        <v>1180</v>
      </c>
      <c r="L355" s="1655" t="s">
        <v>1170</v>
      </c>
      <c r="M355" s="1655" t="s">
        <v>1170</v>
      </c>
      <c r="N355" s="1655" t="s">
        <v>1170</v>
      </c>
      <c r="O355" s="1755">
        <v>44652</v>
      </c>
      <c r="P355" s="1757">
        <v>45016</v>
      </c>
      <c r="Q355" s="1680" t="s">
        <v>1181</v>
      </c>
      <c r="R355" s="1807">
        <v>40269</v>
      </c>
      <c r="S355" s="1664" t="s">
        <v>1182</v>
      </c>
      <c r="T355" s="1655" t="s">
        <v>1170</v>
      </c>
      <c r="U355" s="1655" t="s">
        <v>1170</v>
      </c>
      <c r="V355" s="1655"/>
      <c r="W355" s="1664" t="s">
        <v>1183</v>
      </c>
      <c r="X355" s="1664" t="s">
        <v>1175</v>
      </c>
      <c r="Y355" s="1664" t="s">
        <v>251</v>
      </c>
      <c r="Z355" s="1655" t="s">
        <v>1170</v>
      </c>
      <c r="AA355" s="1655" t="s">
        <v>1170</v>
      </c>
      <c r="AB355" s="1655" t="s">
        <v>1170</v>
      </c>
      <c r="AC355" s="2235" t="s">
        <v>1184</v>
      </c>
      <c r="AD355" s="1653" t="s">
        <v>1170</v>
      </c>
      <c r="AE355" s="1935">
        <v>40269</v>
      </c>
      <c r="AF355" t="str">
        <f t="shared" ca="1" si="23"/>
        <v>N/A</v>
      </c>
      <c r="AG355"/>
    </row>
    <row r="356" spans="1:33" s="908" customFormat="1">
      <c r="A356" s="1568">
        <v>44974</v>
      </c>
      <c r="B356" s="1569" t="s">
        <v>1168</v>
      </c>
      <c r="C356" s="1664" t="s">
        <v>1185</v>
      </c>
      <c r="D356" s="1664" t="s">
        <v>1178</v>
      </c>
      <c r="E356" s="1655" t="s">
        <v>1168</v>
      </c>
      <c r="F356" s="1655" t="s">
        <v>1170</v>
      </c>
      <c r="G356" s="1655" t="s">
        <v>1170</v>
      </c>
      <c r="H356" s="1655" t="s">
        <v>1170</v>
      </c>
      <c r="I356" s="1655" t="s">
        <v>1170</v>
      </c>
      <c r="J356" s="1698" t="s">
        <v>1186</v>
      </c>
      <c r="K356" s="1664" t="s">
        <v>1187</v>
      </c>
      <c r="L356" s="1655" t="s">
        <v>1170</v>
      </c>
      <c r="M356" s="1655" t="s">
        <v>1170</v>
      </c>
      <c r="N356" s="1655" t="s">
        <v>1170</v>
      </c>
      <c r="O356" s="1755">
        <v>44701</v>
      </c>
      <c r="P356" s="1755">
        <v>45065</v>
      </c>
      <c r="Q356" s="1664" t="s">
        <v>1188</v>
      </c>
      <c r="R356" s="1807">
        <v>89513</v>
      </c>
      <c r="S356" s="1664" t="s">
        <v>1189</v>
      </c>
      <c r="T356" s="1655" t="s">
        <v>1170</v>
      </c>
      <c r="U356" s="1655" t="s">
        <v>1170</v>
      </c>
      <c r="V356" s="1657"/>
      <c r="W356" s="1723" t="s">
        <v>1190</v>
      </c>
      <c r="X356" s="1664" t="s">
        <v>1175</v>
      </c>
      <c r="Y356" s="1664" t="s">
        <v>251</v>
      </c>
      <c r="Z356" s="1655" t="s">
        <v>1170</v>
      </c>
      <c r="AA356" s="1655" t="s">
        <v>1170</v>
      </c>
      <c r="AB356" s="1655" t="s">
        <v>1170</v>
      </c>
      <c r="AC356" s="2235" t="s">
        <v>1191</v>
      </c>
      <c r="AD356" s="1653" t="s">
        <v>1170</v>
      </c>
      <c r="AE356" s="1935">
        <v>89513</v>
      </c>
      <c r="AF356" t="str">
        <f t="shared" ca="1" si="23"/>
        <v>N/A</v>
      </c>
      <c r="AG356"/>
    </row>
    <row r="357" spans="1:33" s="908" customFormat="1">
      <c r="A357" s="1568">
        <v>44974</v>
      </c>
      <c r="B357" s="1569" t="s">
        <v>1168</v>
      </c>
      <c r="C357" s="1664">
        <v>33388</v>
      </c>
      <c r="D357" s="1664" t="s">
        <v>1192</v>
      </c>
      <c r="E357" s="1655" t="s">
        <v>1168</v>
      </c>
      <c r="F357" s="1655" t="s">
        <v>1170</v>
      </c>
      <c r="G357" s="1655" t="s">
        <v>1170</v>
      </c>
      <c r="H357" s="1655" t="s">
        <v>1170</v>
      </c>
      <c r="I357" s="1655" t="s">
        <v>1170</v>
      </c>
      <c r="J357" s="1698" t="s">
        <v>1193</v>
      </c>
      <c r="K357" s="1664" t="s">
        <v>1194</v>
      </c>
      <c r="L357" s="1655" t="s">
        <v>1170</v>
      </c>
      <c r="M357" s="1655" t="s">
        <v>1170</v>
      </c>
      <c r="N357" s="1655" t="s">
        <v>1170</v>
      </c>
      <c r="O357" s="1755">
        <v>44704</v>
      </c>
      <c r="P357" s="1770">
        <v>44773</v>
      </c>
      <c r="Q357" s="2043" t="s">
        <v>953</v>
      </c>
      <c r="R357" s="1807">
        <v>2750</v>
      </c>
      <c r="S357" s="1664" t="s">
        <v>1195</v>
      </c>
      <c r="T357" s="1655" t="s">
        <v>1170</v>
      </c>
      <c r="U357" s="1655" t="s">
        <v>1170</v>
      </c>
      <c r="V357" s="1842"/>
      <c r="W357" s="1667" t="s">
        <v>1196</v>
      </c>
      <c r="X357" s="1673" t="s">
        <v>1175</v>
      </c>
      <c r="Y357" s="1570" t="s">
        <v>251</v>
      </c>
      <c r="Z357" s="1655" t="s">
        <v>1170</v>
      </c>
      <c r="AA357" s="1655" t="s">
        <v>1170</v>
      </c>
      <c r="AB357" s="1655" t="s">
        <v>1170</v>
      </c>
      <c r="AC357" s="2235" t="s">
        <v>1197</v>
      </c>
      <c r="AD357" s="1653" t="s">
        <v>1170</v>
      </c>
      <c r="AE357" s="1935">
        <v>2750</v>
      </c>
      <c r="AF357" t="str">
        <f t="shared" ca="1" si="23"/>
        <v>N/A</v>
      </c>
      <c r="AG357"/>
    </row>
    <row r="358" spans="1:33" s="908" customFormat="1">
      <c r="A358" s="1568">
        <v>44974</v>
      </c>
      <c r="B358" s="1569" t="s">
        <v>1168</v>
      </c>
      <c r="C358" s="1664">
        <v>34387</v>
      </c>
      <c r="D358" s="1664" t="s">
        <v>1192</v>
      </c>
      <c r="E358" s="1655" t="s">
        <v>1168</v>
      </c>
      <c r="F358" s="1655" t="s">
        <v>1170</v>
      </c>
      <c r="G358" s="1655" t="s">
        <v>1170</v>
      </c>
      <c r="H358" s="1655" t="s">
        <v>1170</v>
      </c>
      <c r="I358" s="1655" t="s">
        <v>1170</v>
      </c>
      <c r="J358" s="1698" t="s">
        <v>1198</v>
      </c>
      <c r="K358" s="1664" t="s">
        <v>1199</v>
      </c>
      <c r="L358" s="1655" t="s">
        <v>1170</v>
      </c>
      <c r="M358" s="1655" t="s">
        <v>1170</v>
      </c>
      <c r="N358" s="1655" t="s">
        <v>1170</v>
      </c>
      <c r="O358" s="1755">
        <v>44713</v>
      </c>
      <c r="P358" s="1770">
        <v>45808</v>
      </c>
      <c r="Q358" s="1673" t="s">
        <v>71</v>
      </c>
      <c r="R358" s="1807">
        <v>13416</v>
      </c>
      <c r="S358" s="1664" t="s">
        <v>1200</v>
      </c>
      <c r="T358" s="1655" t="s">
        <v>1170</v>
      </c>
      <c r="U358" s="1655" t="s">
        <v>1170</v>
      </c>
      <c r="V358" s="1655"/>
      <c r="W358" s="1664" t="s">
        <v>1201</v>
      </c>
      <c r="X358" s="2104" t="s">
        <v>1175</v>
      </c>
      <c r="Y358" s="1664" t="s">
        <v>251</v>
      </c>
      <c r="Z358" s="1655" t="s">
        <v>1170</v>
      </c>
      <c r="AA358" s="1655" t="s">
        <v>1170</v>
      </c>
      <c r="AB358" s="1655" t="s">
        <v>1170</v>
      </c>
      <c r="AC358" s="2235" t="s">
        <v>1202</v>
      </c>
      <c r="AD358" s="1653" t="s">
        <v>1170</v>
      </c>
      <c r="AE358" s="1935">
        <v>13416</v>
      </c>
      <c r="AF358" t="str">
        <f t="shared" ca="1" si="23"/>
        <v>N/A</v>
      </c>
      <c r="AG358"/>
    </row>
    <row r="359" spans="1:33" s="908" customFormat="1">
      <c r="A359" s="1568">
        <v>44974</v>
      </c>
      <c r="B359" s="1569" t="s">
        <v>1168</v>
      </c>
      <c r="C359" s="1664">
        <v>34155</v>
      </c>
      <c r="D359" s="1664" t="s">
        <v>1203</v>
      </c>
      <c r="E359" s="1655" t="s">
        <v>1168</v>
      </c>
      <c r="F359" s="1655" t="s">
        <v>1170</v>
      </c>
      <c r="G359" s="1655" t="s">
        <v>1170</v>
      </c>
      <c r="H359" s="1655" t="s">
        <v>1170</v>
      </c>
      <c r="I359" s="1655" t="s">
        <v>1170</v>
      </c>
      <c r="J359" s="1698" t="s">
        <v>1204</v>
      </c>
      <c r="K359" s="1664" t="s">
        <v>1205</v>
      </c>
      <c r="L359" s="1655" t="s">
        <v>1170</v>
      </c>
      <c r="M359" s="1655" t="s">
        <v>1170</v>
      </c>
      <c r="N359" s="1655" t="s">
        <v>1170</v>
      </c>
      <c r="O359" s="1755">
        <v>44735</v>
      </c>
      <c r="P359" s="1770">
        <v>45016</v>
      </c>
      <c r="Q359" s="1673" t="s">
        <v>589</v>
      </c>
      <c r="R359" s="1807">
        <v>31801</v>
      </c>
      <c r="S359" s="1664" t="s">
        <v>1189</v>
      </c>
      <c r="T359" s="1655" t="s">
        <v>1170</v>
      </c>
      <c r="U359" s="1655" t="s">
        <v>1170</v>
      </c>
      <c r="V359" s="1655"/>
      <c r="W359" s="1664" t="s">
        <v>1206</v>
      </c>
      <c r="X359" s="1664" t="s">
        <v>1175</v>
      </c>
      <c r="Y359" s="1664" t="s">
        <v>251</v>
      </c>
      <c r="Z359" s="1655" t="s">
        <v>1170</v>
      </c>
      <c r="AA359" s="1655" t="s">
        <v>1170</v>
      </c>
      <c r="AB359" s="1655" t="s">
        <v>1170</v>
      </c>
      <c r="AC359" s="2235" t="s">
        <v>1207</v>
      </c>
      <c r="AD359" s="1653" t="s">
        <v>1170</v>
      </c>
      <c r="AE359" s="1935">
        <v>31801</v>
      </c>
      <c r="AF359" t="str">
        <f t="shared" ca="1" si="23"/>
        <v>N/A</v>
      </c>
      <c r="AG359"/>
    </row>
    <row r="360" spans="1:33" s="908" customFormat="1">
      <c r="A360" s="1568">
        <v>44974</v>
      </c>
      <c r="B360" s="1569" t="s">
        <v>1168</v>
      </c>
      <c r="C360" s="1664">
        <v>48207</v>
      </c>
      <c r="D360" s="1664" t="s">
        <v>1192</v>
      </c>
      <c r="E360" s="1655" t="s">
        <v>1168</v>
      </c>
      <c r="F360" s="1655" t="s">
        <v>1170</v>
      </c>
      <c r="G360" s="1655" t="s">
        <v>1170</v>
      </c>
      <c r="H360" s="1655" t="s">
        <v>1170</v>
      </c>
      <c r="I360" s="1655" t="s">
        <v>1170</v>
      </c>
      <c r="J360" s="1698" t="s">
        <v>1208</v>
      </c>
      <c r="K360" s="1664" t="s">
        <v>1209</v>
      </c>
      <c r="L360" s="1655" t="s">
        <v>1170</v>
      </c>
      <c r="M360" s="1655" t="s">
        <v>1170</v>
      </c>
      <c r="N360" s="1655" t="s">
        <v>1170</v>
      </c>
      <c r="O360" s="1755">
        <v>44743</v>
      </c>
      <c r="P360" s="1770">
        <v>45473</v>
      </c>
      <c r="Q360" s="1763">
        <v>45838</v>
      </c>
      <c r="R360" s="1807">
        <v>199406</v>
      </c>
      <c r="S360" s="1664" t="s">
        <v>1210</v>
      </c>
      <c r="T360" s="1655" t="s">
        <v>1170</v>
      </c>
      <c r="U360" s="1655" t="s">
        <v>1170</v>
      </c>
      <c r="V360" s="1655"/>
      <c r="W360" s="1664" t="s">
        <v>1211</v>
      </c>
      <c r="X360" s="1664" t="s">
        <v>1175</v>
      </c>
      <c r="Y360" s="1664" t="s">
        <v>251</v>
      </c>
      <c r="Z360" s="1655" t="s">
        <v>1170</v>
      </c>
      <c r="AA360" s="1655" t="s">
        <v>1170</v>
      </c>
      <c r="AB360" s="1655" t="s">
        <v>1170</v>
      </c>
      <c r="AC360" s="2235" t="s">
        <v>1212</v>
      </c>
      <c r="AD360" s="1653" t="s">
        <v>1170</v>
      </c>
      <c r="AE360" s="1935">
        <v>199406</v>
      </c>
      <c r="AF360" t="str">
        <f t="shared" ca="1" si="23"/>
        <v>N/A</v>
      </c>
      <c r="AG360"/>
    </row>
    <row r="361" spans="1:33" s="908" customFormat="1">
      <c r="A361" s="1568">
        <v>44974</v>
      </c>
      <c r="B361" s="1569" t="s">
        <v>1168</v>
      </c>
      <c r="C361" s="1664">
        <v>48217</v>
      </c>
      <c r="D361" s="1664" t="s">
        <v>1192</v>
      </c>
      <c r="E361" s="1655" t="s">
        <v>1168</v>
      </c>
      <c r="F361" s="1655" t="s">
        <v>1170</v>
      </c>
      <c r="G361" s="1655" t="s">
        <v>1170</v>
      </c>
      <c r="H361" s="1655" t="s">
        <v>1170</v>
      </c>
      <c r="I361" s="1655" t="s">
        <v>1170</v>
      </c>
      <c r="J361" s="1698" t="s">
        <v>1213</v>
      </c>
      <c r="K361" s="1664" t="s">
        <v>1214</v>
      </c>
      <c r="L361" s="1655" t="s">
        <v>1170</v>
      </c>
      <c r="M361" s="1655" t="s">
        <v>1170</v>
      </c>
      <c r="N361" s="1655" t="s">
        <v>1170</v>
      </c>
      <c r="O361" s="1755">
        <v>44743</v>
      </c>
      <c r="P361" s="1770">
        <v>45473</v>
      </c>
      <c r="Q361" s="2049">
        <v>45838</v>
      </c>
      <c r="R361" s="1825">
        <v>338112.77</v>
      </c>
      <c r="S361" s="1664" t="s">
        <v>1210</v>
      </c>
      <c r="T361" s="1655" t="s">
        <v>1170</v>
      </c>
      <c r="U361" s="1655" t="s">
        <v>1170</v>
      </c>
      <c r="V361" s="1655"/>
      <c r="W361" s="1664" t="s">
        <v>1201</v>
      </c>
      <c r="X361" s="1871" t="s">
        <v>1175</v>
      </c>
      <c r="Y361" s="1664" t="s">
        <v>251</v>
      </c>
      <c r="Z361" s="1655" t="s">
        <v>1170</v>
      </c>
      <c r="AA361" s="1655" t="s">
        <v>1170</v>
      </c>
      <c r="AB361" s="1655" t="s">
        <v>1170</v>
      </c>
      <c r="AC361" s="2235" t="s">
        <v>1215</v>
      </c>
      <c r="AD361" s="1653" t="s">
        <v>1170</v>
      </c>
      <c r="AE361" s="1943">
        <v>338112.77</v>
      </c>
      <c r="AF361" t="str">
        <f t="shared" ca="1" si="23"/>
        <v>N/A</v>
      </c>
      <c r="AG361"/>
    </row>
    <row r="362" spans="1:33" s="908" customFormat="1">
      <c r="A362" s="1568">
        <v>44974</v>
      </c>
      <c r="B362" s="1569" t="s">
        <v>1168</v>
      </c>
      <c r="C362" s="1664">
        <v>53257</v>
      </c>
      <c r="D362" s="1664" t="s">
        <v>1216</v>
      </c>
      <c r="E362" s="1655" t="s">
        <v>1168</v>
      </c>
      <c r="F362" s="1655" t="s">
        <v>1170</v>
      </c>
      <c r="G362" s="1655" t="s">
        <v>1170</v>
      </c>
      <c r="H362" s="1655" t="s">
        <v>1170</v>
      </c>
      <c r="I362" s="1655" t="s">
        <v>1170</v>
      </c>
      <c r="J362" s="1698" t="s">
        <v>1217</v>
      </c>
      <c r="K362" s="1664" t="s">
        <v>1218</v>
      </c>
      <c r="L362" s="1655" t="s">
        <v>1170</v>
      </c>
      <c r="M362" s="1655" t="s">
        <v>1170</v>
      </c>
      <c r="N362" s="1655" t="s">
        <v>1170</v>
      </c>
      <c r="O362" s="1755">
        <v>44753</v>
      </c>
      <c r="P362" s="1770">
        <v>45016</v>
      </c>
      <c r="Q362" s="1673" t="s">
        <v>589</v>
      </c>
      <c r="R362" s="1807">
        <v>9175</v>
      </c>
      <c r="S362" s="1664" t="s">
        <v>1219</v>
      </c>
      <c r="T362" s="1655" t="s">
        <v>1170</v>
      </c>
      <c r="U362" s="1655" t="s">
        <v>1170</v>
      </c>
      <c r="V362" s="1842"/>
      <c r="W362" s="1667" t="s">
        <v>1220</v>
      </c>
      <c r="X362" s="1673" t="s">
        <v>1175</v>
      </c>
      <c r="Y362" s="1570" t="s">
        <v>251</v>
      </c>
      <c r="Z362" s="1655" t="s">
        <v>1170</v>
      </c>
      <c r="AA362" s="1655" t="s">
        <v>1170</v>
      </c>
      <c r="AB362" s="1655" t="s">
        <v>1170</v>
      </c>
      <c r="AC362" s="2235" t="s">
        <v>1221</v>
      </c>
      <c r="AD362" s="1653" t="s">
        <v>1170</v>
      </c>
      <c r="AE362" s="1935">
        <v>9175</v>
      </c>
      <c r="AF362" t="str">
        <f t="shared" ca="1" si="23"/>
        <v>N/A</v>
      </c>
      <c r="AG362"/>
    </row>
    <row r="363" spans="1:33" s="908" customFormat="1">
      <c r="A363" s="1568">
        <v>44974</v>
      </c>
      <c r="B363" s="1569" t="s">
        <v>1168</v>
      </c>
      <c r="C363" s="1664" t="s">
        <v>1222</v>
      </c>
      <c r="D363" s="1664" t="s">
        <v>1169</v>
      </c>
      <c r="E363" s="1655" t="s">
        <v>1168</v>
      </c>
      <c r="F363" s="1655" t="s">
        <v>1170</v>
      </c>
      <c r="G363" s="1655" t="s">
        <v>1170</v>
      </c>
      <c r="H363" s="1655" t="s">
        <v>1170</v>
      </c>
      <c r="I363" s="1655" t="s">
        <v>1170</v>
      </c>
      <c r="J363" s="1698" t="s">
        <v>1223</v>
      </c>
      <c r="K363" s="1664" t="s">
        <v>1224</v>
      </c>
      <c r="L363" s="1655" t="s">
        <v>1170</v>
      </c>
      <c r="M363" s="1655" t="s">
        <v>1170</v>
      </c>
      <c r="N363" s="1655" t="s">
        <v>1170</v>
      </c>
      <c r="O363" s="1755">
        <v>44842</v>
      </c>
      <c r="P363" s="1770">
        <v>45016</v>
      </c>
      <c r="Q363" s="1793">
        <v>45206</v>
      </c>
      <c r="R363" s="1807">
        <v>12475</v>
      </c>
      <c r="S363" s="1664" t="s">
        <v>1225</v>
      </c>
      <c r="T363" s="1655" t="s">
        <v>1170</v>
      </c>
      <c r="U363" s="1655" t="s">
        <v>1170</v>
      </c>
      <c r="V363" s="1842"/>
      <c r="W363" s="1667" t="s">
        <v>1174</v>
      </c>
      <c r="X363" s="2043" t="s">
        <v>1175</v>
      </c>
      <c r="Y363" s="1570" t="s">
        <v>251</v>
      </c>
      <c r="Z363" s="1655" t="s">
        <v>1170</v>
      </c>
      <c r="AA363" s="1655" t="s">
        <v>1170</v>
      </c>
      <c r="AB363" s="1655" t="s">
        <v>1170</v>
      </c>
      <c r="AC363" s="2235" t="s">
        <v>1226</v>
      </c>
      <c r="AD363" s="1653" t="s">
        <v>1170</v>
      </c>
      <c r="AE363" s="1935">
        <v>12475</v>
      </c>
      <c r="AF363" t="str">
        <f t="shared" ca="1" si="23"/>
        <v>N/A</v>
      </c>
      <c r="AG363"/>
    </row>
    <row r="364" spans="1:33" s="908" customFormat="1">
      <c r="A364" s="1568">
        <v>44974</v>
      </c>
      <c r="B364" s="1569" t="s">
        <v>1168</v>
      </c>
      <c r="C364" s="1664">
        <v>41222</v>
      </c>
      <c r="D364" s="1664" t="s">
        <v>1227</v>
      </c>
      <c r="E364" s="1655" t="s">
        <v>1168</v>
      </c>
      <c r="F364" s="1655" t="s">
        <v>1170</v>
      </c>
      <c r="G364" s="1655" t="s">
        <v>1170</v>
      </c>
      <c r="H364" s="1655" t="s">
        <v>1170</v>
      </c>
      <c r="I364" s="1655" t="s">
        <v>1170</v>
      </c>
      <c r="J364" s="1698" t="s">
        <v>1228</v>
      </c>
      <c r="K364" s="1664" t="s">
        <v>1229</v>
      </c>
      <c r="L364" s="1655" t="s">
        <v>1170</v>
      </c>
      <c r="M364" s="1655" t="s">
        <v>1170</v>
      </c>
      <c r="N364" s="1655" t="s">
        <v>1170</v>
      </c>
      <c r="O364" s="1755">
        <v>44874</v>
      </c>
      <c r="P364" s="1755">
        <v>45604</v>
      </c>
      <c r="Q364" s="2044">
        <v>46334</v>
      </c>
      <c r="R364" s="1570" t="s">
        <v>1230</v>
      </c>
      <c r="S364" s="1664" t="s">
        <v>1231</v>
      </c>
      <c r="T364" s="1655" t="s">
        <v>1170</v>
      </c>
      <c r="U364" s="1655" t="s">
        <v>1170</v>
      </c>
      <c r="V364" s="1655"/>
      <c r="W364" s="1664" t="s">
        <v>1232</v>
      </c>
      <c r="X364" s="1664" t="s">
        <v>1175</v>
      </c>
      <c r="Y364" s="1664" t="s">
        <v>251</v>
      </c>
      <c r="Z364" s="1655" t="s">
        <v>1170</v>
      </c>
      <c r="AA364" s="1655" t="s">
        <v>1170</v>
      </c>
      <c r="AB364" s="1655" t="s">
        <v>1170</v>
      </c>
      <c r="AC364" s="2235" t="s">
        <v>1233</v>
      </c>
      <c r="AD364" s="1653" t="s">
        <v>1170</v>
      </c>
      <c r="AE364" s="1673" t="s">
        <v>1230</v>
      </c>
      <c r="AF364" t="str">
        <f t="shared" ca="1" si="23"/>
        <v>N/A</v>
      </c>
      <c r="AG364"/>
    </row>
    <row r="365" spans="1:33" s="908" customFormat="1">
      <c r="A365" s="1568">
        <v>44974</v>
      </c>
      <c r="B365" s="1569" t="s">
        <v>1168</v>
      </c>
      <c r="C365" s="1664">
        <v>53968</v>
      </c>
      <c r="D365" s="1664" t="s">
        <v>1192</v>
      </c>
      <c r="E365" s="1655" t="s">
        <v>1168</v>
      </c>
      <c r="F365" s="1655" t="s">
        <v>1170</v>
      </c>
      <c r="G365" s="1655" t="s">
        <v>1170</v>
      </c>
      <c r="H365" s="1655" t="s">
        <v>1170</v>
      </c>
      <c r="I365" s="1653" t="s">
        <v>1170</v>
      </c>
      <c r="J365" s="1698" t="s">
        <v>1234</v>
      </c>
      <c r="K365" s="1664" t="s">
        <v>1235</v>
      </c>
      <c r="L365" s="1655" t="s">
        <v>1170</v>
      </c>
      <c r="M365" s="1655" t="s">
        <v>1170</v>
      </c>
      <c r="N365" s="1655" t="s">
        <v>1170</v>
      </c>
      <c r="O365" s="1755">
        <v>44879</v>
      </c>
      <c r="P365" s="1770">
        <v>50357</v>
      </c>
      <c r="Q365" s="1673" t="s">
        <v>589</v>
      </c>
      <c r="R365" s="1807">
        <v>1575000</v>
      </c>
      <c r="S365" s="1664" t="s">
        <v>45</v>
      </c>
      <c r="T365" s="1655" t="s">
        <v>1170</v>
      </c>
      <c r="U365" s="1655" t="s">
        <v>1170</v>
      </c>
      <c r="V365" s="1655"/>
      <c r="W365" s="1664" t="s">
        <v>1236</v>
      </c>
      <c r="X365" s="1664" t="s">
        <v>1175</v>
      </c>
      <c r="Y365" s="1664" t="s">
        <v>251</v>
      </c>
      <c r="Z365" s="1655" t="s">
        <v>1170</v>
      </c>
      <c r="AA365" s="1655" t="s">
        <v>1170</v>
      </c>
      <c r="AB365" s="1655" t="s">
        <v>1170</v>
      </c>
      <c r="AC365" s="2235" t="s">
        <v>1237</v>
      </c>
      <c r="AD365" s="1653" t="s">
        <v>1170</v>
      </c>
      <c r="AE365" s="1935">
        <v>1575000</v>
      </c>
      <c r="AF365" t="str">
        <f t="shared" ca="1" si="23"/>
        <v>N/A</v>
      </c>
      <c r="AG365"/>
    </row>
    <row r="366" spans="1:33" s="908" customFormat="1">
      <c r="A366" s="1568">
        <v>44974</v>
      </c>
      <c r="B366" s="1569" t="s">
        <v>1168</v>
      </c>
      <c r="C366" s="1664">
        <v>36227</v>
      </c>
      <c r="D366" s="1664" t="s">
        <v>1192</v>
      </c>
      <c r="E366" s="1655" t="s">
        <v>1168</v>
      </c>
      <c r="F366" s="1655" t="s">
        <v>1170</v>
      </c>
      <c r="G366" s="1655" t="s">
        <v>1170</v>
      </c>
      <c r="H366" s="1655" t="s">
        <v>1170</v>
      </c>
      <c r="I366" s="1655" t="s">
        <v>1170</v>
      </c>
      <c r="J366" s="1698" t="s">
        <v>1238</v>
      </c>
      <c r="K366" s="1664" t="s">
        <v>1239</v>
      </c>
      <c r="L366" s="1655" t="s">
        <v>1170</v>
      </c>
      <c r="M366" s="1655" t="s">
        <v>1170</v>
      </c>
      <c r="N366" s="1655" t="s">
        <v>1170</v>
      </c>
      <c r="O366" s="1755">
        <v>44888</v>
      </c>
      <c r="P366" s="1770">
        <v>45618</v>
      </c>
      <c r="Q366" s="1673" t="s">
        <v>589</v>
      </c>
      <c r="R366" s="1807">
        <v>23500</v>
      </c>
      <c r="S366" s="1664" t="s">
        <v>1240</v>
      </c>
      <c r="T366" s="1655" t="s">
        <v>1170</v>
      </c>
      <c r="U366" s="1655" t="s">
        <v>1170</v>
      </c>
      <c r="V366" s="1655"/>
      <c r="W366" s="1664" t="s">
        <v>1241</v>
      </c>
      <c r="X366" s="1664" t="s">
        <v>1175</v>
      </c>
      <c r="Y366" s="1664" t="s">
        <v>251</v>
      </c>
      <c r="Z366" s="1655" t="s">
        <v>1170</v>
      </c>
      <c r="AA366" s="1655" t="s">
        <v>1170</v>
      </c>
      <c r="AB366" s="1655" t="s">
        <v>1170</v>
      </c>
      <c r="AC366" s="2235" t="s">
        <v>1242</v>
      </c>
      <c r="AD366" s="1653" t="s">
        <v>1170</v>
      </c>
      <c r="AE366" s="1935">
        <v>23500</v>
      </c>
      <c r="AF366" t="str">
        <f t="shared" ca="1" si="23"/>
        <v>N/A</v>
      </c>
      <c r="AG366"/>
    </row>
    <row r="367" spans="1:33" s="908" customFormat="1">
      <c r="A367" s="1568">
        <v>44974</v>
      </c>
      <c r="B367" s="1569" t="s">
        <v>1168</v>
      </c>
      <c r="C367" s="1664">
        <v>62110</v>
      </c>
      <c r="D367" s="1664" t="s">
        <v>1243</v>
      </c>
      <c r="E367" s="1655" t="s">
        <v>1168</v>
      </c>
      <c r="F367" s="1655" t="s">
        <v>1170</v>
      </c>
      <c r="G367" s="1655" t="s">
        <v>1170</v>
      </c>
      <c r="H367" s="1655" t="s">
        <v>1170</v>
      </c>
      <c r="I367" s="1653" t="s">
        <v>1170</v>
      </c>
      <c r="J367" s="1698" t="s">
        <v>1244</v>
      </c>
      <c r="K367" s="1664" t="s">
        <v>1245</v>
      </c>
      <c r="L367" s="1655" t="s">
        <v>1170</v>
      </c>
      <c r="M367" s="1655" t="s">
        <v>1170</v>
      </c>
      <c r="N367" s="1655" t="s">
        <v>1170</v>
      </c>
      <c r="O367" s="1755">
        <v>44958</v>
      </c>
      <c r="P367" s="1770">
        <v>45322</v>
      </c>
      <c r="Q367" s="1763">
        <v>45688</v>
      </c>
      <c r="R367" s="1807">
        <v>15686</v>
      </c>
      <c r="S367" s="1664" t="s">
        <v>1195</v>
      </c>
      <c r="T367" s="1655" t="s">
        <v>1170</v>
      </c>
      <c r="U367" s="1655" t="s">
        <v>1170</v>
      </c>
      <c r="V367" s="1655"/>
      <c r="W367" s="1664" t="s">
        <v>1246</v>
      </c>
      <c r="X367" s="1664" t="s">
        <v>1175</v>
      </c>
      <c r="Y367" s="1664" t="s">
        <v>251</v>
      </c>
      <c r="Z367" s="1655" t="s">
        <v>1170</v>
      </c>
      <c r="AA367" s="1655" t="s">
        <v>1170</v>
      </c>
      <c r="AB367" s="1655" t="s">
        <v>1170</v>
      </c>
      <c r="AC367" s="2235" t="s">
        <v>1247</v>
      </c>
      <c r="AD367" s="1653" t="s">
        <v>1170</v>
      </c>
      <c r="AE367" s="1935">
        <v>15686</v>
      </c>
      <c r="AF367" t="str">
        <f t="shared" ca="1" si="23"/>
        <v>N/A</v>
      </c>
      <c r="AG367"/>
    </row>
    <row r="368" spans="1:33" s="908" customFormat="1">
      <c r="A368" s="1568">
        <v>44974</v>
      </c>
      <c r="B368" s="1569" t="s">
        <v>1168</v>
      </c>
      <c r="C368" s="1676" t="s">
        <v>1170</v>
      </c>
      <c r="D368" s="1664" t="s">
        <v>1169</v>
      </c>
      <c r="E368" s="1655" t="s">
        <v>1168</v>
      </c>
      <c r="F368" s="1655" t="s">
        <v>1170</v>
      </c>
      <c r="G368" s="1655" t="s">
        <v>1170</v>
      </c>
      <c r="H368" s="1655" t="s">
        <v>1170</v>
      </c>
      <c r="I368" s="1655" t="s">
        <v>1170</v>
      </c>
      <c r="J368" s="1698" t="s">
        <v>1171</v>
      </c>
      <c r="K368" s="1664" t="s">
        <v>1172</v>
      </c>
      <c r="L368" s="1655" t="s">
        <v>1170</v>
      </c>
      <c r="M368" s="1655" t="s">
        <v>1170</v>
      </c>
      <c r="N368" s="1655" t="s">
        <v>1170</v>
      </c>
      <c r="O368" s="1770">
        <v>45017</v>
      </c>
      <c r="P368" s="1763">
        <v>45382</v>
      </c>
      <c r="Q368" s="1763">
        <v>45747</v>
      </c>
      <c r="R368" s="1807">
        <v>24000</v>
      </c>
      <c r="S368" s="1664" t="s">
        <v>1173</v>
      </c>
      <c r="T368" s="1655" t="s">
        <v>1170</v>
      </c>
      <c r="U368" s="1655" t="s">
        <v>1170</v>
      </c>
      <c r="V368" s="1655"/>
      <c r="W368" s="1664" t="s">
        <v>1174</v>
      </c>
      <c r="X368" s="1664" t="s">
        <v>1175</v>
      </c>
      <c r="Y368" s="1664" t="s">
        <v>251</v>
      </c>
      <c r="Z368" s="1655" t="s">
        <v>1170</v>
      </c>
      <c r="AA368" s="1655" t="s">
        <v>1170</v>
      </c>
      <c r="AB368" s="1655" t="s">
        <v>1170</v>
      </c>
      <c r="AC368" s="2235" t="s">
        <v>1248</v>
      </c>
      <c r="AD368" s="1653" t="s">
        <v>1170</v>
      </c>
      <c r="AE368" s="1935">
        <v>24000</v>
      </c>
      <c r="AF368" t="str">
        <f t="shared" ca="1" si="23"/>
        <v>N/A</v>
      </c>
      <c r="AG368"/>
    </row>
    <row r="369" spans="1:33" s="908" customFormat="1" ht="26.5">
      <c r="A369" s="1568">
        <v>44974</v>
      </c>
      <c r="B369" s="1569" t="s">
        <v>1168</v>
      </c>
      <c r="C369" s="1664" t="s">
        <v>1170</v>
      </c>
      <c r="D369" s="1664" t="s">
        <v>1192</v>
      </c>
      <c r="E369" s="1655" t="s">
        <v>1168</v>
      </c>
      <c r="F369" s="1655" t="s">
        <v>1170</v>
      </c>
      <c r="G369" s="1655" t="s">
        <v>1170</v>
      </c>
      <c r="H369" s="1655" t="s">
        <v>1170</v>
      </c>
      <c r="I369" s="1655" t="s">
        <v>1170</v>
      </c>
      <c r="J369" s="1710" t="s">
        <v>1249</v>
      </c>
      <c r="K369" s="1664" t="s">
        <v>1250</v>
      </c>
      <c r="L369" s="1655" t="s">
        <v>1170</v>
      </c>
      <c r="M369" s="1655" t="s">
        <v>1170</v>
      </c>
      <c r="N369" s="1655" t="s">
        <v>1170</v>
      </c>
      <c r="O369" s="1770">
        <v>45047</v>
      </c>
      <c r="P369" s="1763">
        <v>45046</v>
      </c>
      <c r="Q369" s="1673" t="s">
        <v>1251</v>
      </c>
      <c r="R369" s="1807">
        <v>5200</v>
      </c>
      <c r="S369" s="1664" t="s">
        <v>1200</v>
      </c>
      <c r="T369" s="1655" t="s">
        <v>1170</v>
      </c>
      <c r="U369" s="1655" t="s">
        <v>1170</v>
      </c>
      <c r="V369" s="1655"/>
      <c r="W369" s="1664" t="s">
        <v>1201</v>
      </c>
      <c r="X369" s="1664" t="s">
        <v>1175</v>
      </c>
      <c r="Y369" s="1664" t="s">
        <v>251</v>
      </c>
      <c r="Z369" s="1655" t="s">
        <v>1170</v>
      </c>
      <c r="AA369" s="1655" t="s">
        <v>1170</v>
      </c>
      <c r="AB369" s="1655" t="s">
        <v>1170</v>
      </c>
      <c r="AC369" s="2235" t="s">
        <v>1252</v>
      </c>
      <c r="AD369" s="1653" t="s">
        <v>1170</v>
      </c>
      <c r="AE369" s="1935">
        <v>5200</v>
      </c>
      <c r="AF369" t="str">
        <f t="shared" ca="1" si="23"/>
        <v>N/A</v>
      </c>
      <c r="AG369"/>
    </row>
    <row r="370" spans="1:33" s="906" customFormat="1">
      <c r="A370" s="1568">
        <v>44974</v>
      </c>
      <c r="B370" s="1569" t="s">
        <v>1168</v>
      </c>
      <c r="C370" s="1664" t="s">
        <v>1253</v>
      </c>
      <c r="D370" s="1664" t="s">
        <v>1254</v>
      </c>
      <c r="E370" s="1655" t="s">
        <v>1168</v>
      </c>
      <c r="F370" s="1655" t="s">
        <v>1170</v>
      </c>
      <c r="G370" s="1655" t="s">
        <v>1170</v>
      </c>
      <c r="H370" s="1655" t="s">
        <v>1170</v>
      </c>
      <c r="I370" s="1655" t="s">
        <v>1170</v>
      </c>
      <c r="J370" s="1698" t="s">
        <v>1255</v>
      </c>
      <c r="K370" s="1664" t="s">
        <v>1256</v>
      </c>
      <c r="L370" s="1655" t="s">
        <v>1170</v>
      </c>
      <c r="M370" s="1655" t="s">
        <v>1170</v>
      </c>
      <c r="N370" s="1655" t="s">
        <v>1170</v>
      </c>
      <c r="O370" s="1664" t="s">
        <v>1170</v>
      </c>
      <c r="P370" s="1664" t="s">
        <v>1170</v>
      </c>
      <c r="Q370" s="1664" t="s">
        <v>1170</v>
      </c>
      <c r="R370" s="1807">
        <v>186626</v>
      </c>
      <c r="S370" s="1664" t="s">
        <v>1210</v>
      </c>
      <c r="T370" s="1655" t="s">
        <v>1170</v>
      </c>
      <c r="U370" s="1655" t="s">
        <v>1170</v>
      </c>
      <c r="V370" s="1655"/>
      <c r="W370" s="1664" t="s">
        <v>1257</v>
      </c>
      <c r="X370" s="1664" t="s">
        <v>1175</v>
      </c>
      <c r="Y370" s="1664" t="s">
        <v>251</v>
      </c>
      <c r="Z370" s="1842" t="s">
        <v>1170</v>
      </c>
      <c r="AA370" s="1655" t="s">
        <v>1170</v>
      </c>
      <c r="AB370" s="1569" t="s">
        <v>1170</v>
      </c>
      <c r="AC370" s="2235" t="s">
        <v>1258</v>
      </c>
      <c r="AD370" s="1653" t="s">
        <v>1170</v>
      </c>
      <c r="AE370" s="1935">
        <v>186626</v>
      </c>
      <c r="AF370" t="str">
        <f t="shared" ca="1" si="23"/>
        <v>N/A</v>
      </c>
      <c r="AG370"/>
    </row>
    <row r="371" spans="1:33" s="906" customFormat="1" ht="52">
      <c r="A371" s="1199"/>
      <c r="B371" s="841" t="s">
        <v>44</v>
      </c>
      <c r="C371" s="1431">
        <v>33185</v>
      </c>
      <c r="D371" s="1385" t="s">
        <v>32</v>
      </c>
      <c r="E371" s="1385"/>
      <c r="F371" s="1385"/>
      <c r="G371" s="1385"/>
      <c r="H371" s="1172" t="s">
        <v>506</v>
      </c>
      <c r="I371" s="1969" t="s">
        <v>47</v>
      </c>
      <c r="J371" s="1979" t="s">
        <v>1259</v>
      </c>
      <c r="K371" s="1969" t="s">
        <v>1260</v>
      </c>
      <c r="L371" s="914" t="e">
        <f>IF(OR(S371=#REF!,S371=#REF!,S371=#REF!,S371=#REF!,S371=#REF!,S371=#REF!,S371=#REF!,S371=#REF!),12,IF(OR(S371=#REF!,S371=#REF!,S371=#REF!,S371=#REF!,S371=#REF!,S371=#REF!,S371=#REF!),3,IF(S371=#REF!,1,IF(S371=#REF!,18,IF(OR(S371=#REF!,S371=#REF!,S371=#REF!,S371=#REF!,S371=#REF!),14,"Invalid proposed procurement method")))))</f>
        <v>#REF!</v>
      </c>
      <c r="M371" s="1361" t="str">
        <f>IFERROR(EDATE(#REF!,-3),"Invalid procurement method or date entered")</f>
        <v>Invalid procurement method or date entered</v>
      </c>
      <c r="N371" s="1361" t="str">
        <f>IFERROR(EDATE(O371,-L371),"Invalid procurement method or date entered")</f>
        <v>Invalid procurement method or date entered</v>
      </c>
      <c r="O371" s="2026">
        <v>44774</v>
      </c>
      <c r="P371" s="1433">
        <v>48</v>
      </c>
      <c r="Q371" s="1433" t="s">
        <v>82</v>
      </c>
      <c r="R371" s="1313" t="s">
        <v>1261</v>
      </c>
      <c r="S371" s="1433" t="s">
        <v>84</v>
      </c>
      <c r="T371" s="914" t="s">
        <v>62</v>
      </c>
      <c r="U371" s="1323" t="s">
        <v>67</v>
      </c>
      <c r="V371" s="1323"/>
      <c r="W371" s="1969" t="s">
        <v>1262</v>
      </c>
      <c r="X371" s="1412" t="s">
        <v>94</v>
      </c>
      <c r="Y371" s="703" t="s">
        <v>40</v>
      </c>
      <c r="Z371" s="914" t="s">
        <v>69</v>
      </c>
      <c r="AA371" s="1362" t="s">
        <v>38</v>
      </c>
      <c r="AB371" s="2124">
        <v>44783</v>
      </c>
      <c r="AC371" s="1377" t="s">
        <v>442</v>
      </c>
      <c r="AD371" s="1353" t="s">
        <v>506</v>
      </c>
      <c r="AE371" s="719"/>
      <c r="AF371">
        <f t="shared" ca="1" si="23"/>
        <v>525</v>
      </c>
      <c r="AG371"/>
    </row>
    <row r="372" spans="1:33" s="906" customFormat="1" ht="52">
      <c r="A372" s="1199"/>
      <c r="B372" s="841" t="s">
        <v>44</v>
      </c>
      <c r="C372" s="1277" t="s">
        <v>71</v>
      </c>
      <c r="D372" s="1311" t="s">
        <v>57</v>
      </c>
      <c r="E372" s="1311"/>
      <c r="F372" s="1311"/>
      <c r="G372" s="1311"/>
      <c r="H372" s="699" t="s">
        <v>46</v>
      </c>
      <c r="I372" s="718" t="s">
        <v>47</v>
      </c>
      <c r="J372" s="1614" t="s">
        <v>1263</v>
      </c>
      <c r="K372" s="1450"/>
      <c r="L372" s="914">
        <v>6</v>
      </c>
      <c r="M372" s="792" t="str">
        <f>IFERROR(EDATE(#REF!,-3),"Invalid procurement method or date entered")</f>
        <v>Invalid procurement method or date entered</v>
      </c>
      <c r="N372" s="792">
        <f>IFERROR(EDATE(O372,-L372),"Invalid procurement method or date entered")</f>
        <v>44621</v>
      </c>
      <c r="O372" s="1174">
        <v>44805</v>
      </c>
      <c r="P372" s="741">
        <v>6</v>
      </c>
      <c r="Q372" s="741">
        <v>6</v>
      </c>
      <c r="R372" s="807">
        <v>20000</v>
      </c>
      <c r="S372" s="723" t="s">
        <v>37</v>
      </c>
      <c r="T372" s="723" t="s">
        <v>38</v>
      </c>
      <c r="U372" s="741" t="s">
        <v>71</v>
      </c>
      <c r="V372" s="741"/>
      <c r="W372" s="1857" t="s">
        <v>1264</v>
      </c>
      <c r="X372" s="1271" t="s">
        <v>94</v>
      </c>
      <c r="Y372" s="723" t="s">
        <v>40</v>
      </c>
      <c r="Z372" s="723" t="s">
        <v>154</v>
      </c>
      <c r="AA372" s="723" t="s">
        <v>38</v>
      </c>
      <c r="AB372" s="2119">
        <v>44775</v>
      </c>
      <c r="AC372" s="1121" t="s">
        <v>1265</v>
      </c>
      <c r="AD372" s="1262" t="s">
        <v>46</v>
      </c>
      <c r="AE372" s="850">
        <v>3586.24</v>
      </c>
      <c r="AF372">
        <f t="shared" ca="1" si="23"/>
        <v>533</v>
      </c>
      <c r="AG372"/>
    </row>
    <row r="373" spans="1:33" s="906" customFormat="1" ht="52">
      <c r="A373" s="1250"/>
      <c r="B373" s="737" t="s">
        <v>44</v>
      </c>
      <c r="C373" s="738" t="s">
        <v>45</v>
      </c>
      <c r="D373" s="739" t="s">
        <v>709</v>
      </c>
      <c r="E373" s="739"/>
      <c r="F373" s="739"/>
      <c r="G373" s="739"/>
      <c r="H373" s="710" t="s">
        <v>33</v>
      </c>
      <c r="I373" s="738" t="s">
        <v>47</v>
      </c>
      <c r="J373" s="1608" t="s">
        <v>1266</v>
      </c>
      <c r="K373" s="710" t="s">
        <v>1267</v>
      </c>
      <c r="L373" s="710" t="e">
        <f>IF(OR(S373=#REF!,S373=#REF!,S373=#REF!,S373=#REF!,S373=#REF!,S373=#REF!,S373=#REF!,S373=#REF!),12,IF(OR(S373=#REF!,S373=#REF!,S373=#REF!,S373=#REF!,S373=#REF!,S373=#REF!,S373=#REF!),3,IF(S373=#REF!,1,IF(S373=#REF!,18,IF(OR(S373=#REF!,S373=#REF!,S373=#REF!,S373=#REF!,S373=#REF!),14,"Invalid proposed procurement method")))))</f>
        <v>#REF!</v>
      </c>
      <c r="M373" s="769" t="str">
        <f>IFERROR(EDATE($N373,-3),"Invalid procurement method or date entered")</f>
        <v>Invalid procurement method or date entered</v>
      </c>
      <c r="N373" s="769" t="str">
        <f>IFERROR(EDATE(O373,-L373),"Invalid procurement method or date entered")</f>
        <v>Invalid procurement method or date entered</v>
      </c>
      <c r="O373" s="947">
        <v>44958</v>
      </c>
      <c r="P373" s="740">
        <v>12</v>
      </c>
      <c r="Q373" s="766" t="s">
        <v>50</v>
      </c>
      <c r="R373" s="742">
        <v>42840</v>
      </c>
      <c r="S373" s="789"/>
      <c r="T373" s="710" t="s">
        <v>38</v>
      </c>
      <c r="U373" s="738" t="s">
        <v>67</v>
      </c>
      <c r="V373" s="738"/>
      <c r="W373" s="738" t="s">
        <v>1268</v>
      </c>
      <c r="X373" s="808" t="s">
        <v>94</v>
      </c>
      <c r="Y373" s="710" t="s">
        <v>40</v>
      </c>
      <c r="Z373" s="710"/>
      <c r="AA373" s="738"/>
      <c r="AB373" s="1247">
        <v>44862</v>
      </c>
      <c r="AC373" s="717" t="s">
        <v>1269</v>
      </c>
      <c r="AD373" s="741"/>
      <c r="AE373" s="793"/>
      <c r="AF373">
        <f t="shared" ca="1" si="23"/>
        <v>446</v>
      </c>
    </row>
    <row r="374" spans="1:33" s="906" customFormat="1" ht="78">
      <c r="A374" s="2236" t="s">
        <v>71</v>
      </c>
      <c r="B374" s="2237" t="s">
        <v>100</v>
      </c>
      <c r="C374" s="2238" t="s">
        <v>45</v>
      </c>
      <c r="D374" s="803" t="s">
        <v>57</v>
      </c>
      <c r="E374" s="2226" t="s">
        <v>449</v>
      </c>
      <c r="F374" s="803" t="s">
        <v>1270</v>
      </c>
      <c r="G374" s="2227" t="s">
        <v>1271</v>
      </c>
      <c r="H374" s="803" t="s">
        <v>197</v>
      </c>
      <c r="I374" s="803" t="s">
        <v>268</v>
      </c>
      <c r="J374" s="2228" t="s">
        <v>1272</v>
      </c>
      <c r="K374" s="803"/>
      <c r="L374" s="803">
        <v>3</v>
      </c>
      <c r="M374" s="804" t="str">
        <f>IFERROR(EDATE(N374,-3),"Invalid procurement method or date entered")</f>
        <v>Invalid procurement method or date entered</v>
      </c>
      <c r="N374" s="805" t="str">
        <f>IFERROR(EDATE(O374,-L374),"Invalid procurement method or date entered")</f>
        <v>Invalid procurement method or date entered</v>
      </c>
      <c r="O374" s="2238" t="s">
        <v>45</v>
      </c>
      <c r="P374" s="2238" t="s">
        <v>45</v>
      </c>
      <c r="Q374" s="2238" t="s">
        <v>45</v>
      </c>
      <c r="R374" s="2239">
        <v>1700000</v>
      </c>
      <c r="S374" s="2240" t="s">
        <v>270</v>
      </c>
      <c r="T374" s="803" t="s">
        <v>45</v>
      </c>
      <c r="U374" s="804" t="s">
        <v>45</v>
      </c>
      <c r="V374" s="804"/>
      <c r="W374" s="803" t="s">
        <v>707</v>
      </c>
      <c r="X374" s="1389" t="s">
        <v>189</v>
      </c>
      <c r="Y374" s="803" t="s">
        <v>40</v>
      </c>
      <c r="Z374" s="2241" t="s">
        <v>45</v>
      </c>
      <c r="AA374" s="2225" t="s">
        <v>70</v>
      </c>
      <c r="AB374" s="2242" t="s">
        <v>574</v>
      </c>
      <c r="AC374" s="2243" t="s">
        <v>1273</v>
      </c>
      <c r="AD374" s="2244"/>
      <c r="AE374" s="2244"/>
      <c r="AF374" t="str">
        <f t="shared" ca="1" si="23"/>
        <v>N/A</v>
      </c>
      <c r="AG374" s="1307"/>
    </row>
    <row r="375" spans="1:33" s="950" customFormat="1" ht="58">
      <c r="A375" s="1200"/>
      <c r="B375" s="961" t="s">
        <v>100</v>
      </c>
      <c r="C375" s="391"/>
      <c r="D375" s="121" t="s">
        <v>110</v>
      </c>
      <c r="E375" s="121"/>
      <c r="F375" s="121"/>
      <c r="G375" s="121"/>
      <c r="H375" s="6" t="s">
        <v>103</v>
      </c>
      <c r="I375" s="6" t="s">
        <v>47</v>
      </c>
      <c r="J375" s="16" t="s">
        <v>1274</v>
      </c>
      <c r="K375" s="8"/>
      <c r="L375" s="84">
        <v>12</v>
      </c>
      <c r="M375" s="436" t="str">
        <f>IFERROR(EDATE(N375,-3),"Invalid procurement method or date entered")</f>
        <v>Invalid procurement method or date entered</v>
      </c>
      <c r="N375" s="386" t="str">
        <f>IFERROR(EDATE(O375,-L375),"Invalid procurement method or date entered")</f>
        <v>Invalid procurement method or date entered</v>
      </c>
      <c r="O375" s="370"/>
      <c r="P375" s="255"/>
      <c r="Q375" s="1021"/>
      <c r="R375" s="1031">
        <v>30000</v>
      </c>
      <c r="S375" s="506" t="s">
        <v>176</v>
      </c>
      <c r="T375" s="365" t="s">
        <v>38</v>
      </c>
      <c r="U375" s="365" t="s">
        <v>71</v>
      </c>
      <c r="V375" s="365"/>
      <c r="W375" s="6" t="s">
        <v>1275</v>
      </c>
      <c r="X375" s="6"/>
      <c r="Y375" s="6" t="s">
        <v>115</v>
      </c>
      <c r="Z375" s="6"/>
      <c r="AA375" s="455"/>
      <c r="AB375" s="2123"/>
      <c r="AC375" s="2137"/>
      <c r="AD375" s="2152"/>
      <c r="AE375" s="2152"/>
      <c r="AF375">
        <f t="shared" ca="1" si="23"/>
        <v>45308</v>
      </c>
      <c r="AG375" s="906"/>
    </row>
    <row r="376" spans="1:33" s="906" customFormat="1" ht="169">
      <c r="A376" s="1396"/>
      <c r="B376" s="1397" t="s">
        <v>56</v>
      </c>
      <c r="C376" s="1387" t="s">
        <v>60</v>
      </c>
      <c r="D376" s="1959" t="s">
        <v>348</v>
      </c>
      <c r="E376" s="1959"/>
      <c r="F376" s="1959"/>
      <c r="G376" s="1959"/>
      <c r="H376" s="1386"/>
      <c r="I376" s="1387" t="s">
        <v>496</v>
      </c>
      <c r="J376" s="1625" t="s">
        <v>34</v>
      </c>
      <c r="K376" s="1387" t="s">
        <v>1276</v>
      </c>
      <c r="L376" s="1398">
        <v>44715</v>
      </c>
      <c r="M376" s="1386" t="s">
        <v>722</v>
      </c>
      <c r="N376" s="1386" t="s">
        <v>60</v>
      </c>
      <c r="O376" s="1399" t="s">
        <v>69</v>
      </c>
      <c r="P376" s="1788" t="s">
        <v>70</v>
      </c>
      <c r="Q376" s="2048">
        <v>44946</v>
      </c>
      <c r="R376" s="1827" t="s">
        <v>1277</v>
      </c>
      <c r="S376" s="1662"/>
      <c r="T376" s="1387"/>
      <c r="U376" s="1852"/>
      <c r="V376" s="1852"/>
      <c r="W376" s="954" t="s">
        <v>1278</v>
      </c>
      <c r="X376" s="1852"/>
      <c r="Y376" s="1852"/>
      <c r="Z376" s="1852"/>
      <c r="AA376" s="1852"/>
      <c r="AB376" s="1852"/>
      <c r="AC376" s="1919"/>
      <c r="AD376" s="1400"/>
      <c r="AE376" s="1400"/>
      <c r="AF376">
        <f t="shared" ca="1" si="23"/>
        <v>45308</v>
      </c>
      <c r="AG376" s="1401"/>
    </row>
    <row r="377" spans="1:33" s="906" customFormat="1" ht="50">
      <c r="A377" s="1199"/>
      <c r="B377" s="960" t="s">
        <v>56</v>
      </c>
      <c r="C377" s="510" t="s">
        <v>60</v>
      </c>
      <c r="D377" s="611" t="s">
        <v>57</v>
      </c>
      <c r="E377" s="611"/>
      <c r="F377" s="611"/>
      <c r="G377" s="611"/>
      <c r="H377" s="511" t="s">
        <v>58</v>
      </c>
      <c r="I377" s="519" t="s">
        <v>47</v>
      </c>
      <c r="J377" s="1578" t="s">
        <v>1279</v>
      </c>
      <c r="K377" s="992"/>
      <c r="L377" s="511">
        <v>3</v>
      </c>
      <c r="M377" s="513" t="s">
        <v>60</v>
      </c>
      <c r="N377" s="514">
        <f t="shared" ref="N377:N382" si="26">IF(O377="tbc","",(IFERROR(EDATE(O377,-L377),"Invalid procurement method or date entered")))</f>
        <v>44581</v>
      </c>
      <c r="O377" s="515">
        <v>44671</v>
      </c>
      <c r="P377" s="1009" t="s">
        <v>60</v>
      </c>
      <c r="Q377" s="1012" t="s">
        <v>60</v>
      </c>
      <c r="R377" s="1035">
        <v>650000</v>
      </c>
      <c r="S377" s="1044" t="s">
        <v>61</v>
      </c>
      <c r="T377" s="515" t="s">
        <v>310</v>
      </c>
      <c r="U377" s="520" t="s">
        <v>115</v>
      </c>
      <c r="V377" s="520"/>
      <c r="W377" s="521" t="s">
        <v>70</v>
      </c>
      <c r="X377" s="120"/>
      <c r="Y377" s="120"/>
      <c r="Z377" s="120"/>
      <c r="AA377" s="120"/>
      <c r="AB377" s="120"/>
      <c r="AC377" s="186"/>
      <c r="AD377" s="330"/>
      <c r="AE377" s="330"/>
      <c r="AF377">
        <f t="shared" ca="1" si="23"/>
        <v>45308</v>
      </c>
      <c r="AG377"/>
    </row>
    <row r="378" spans="1:33" s="906" customFormat="1" ht="50">
      <c r="A378" s="1199"/>
      <c r="B378" s="960" t="s">
        <v>56</v>
      </c>
      <c r="C378" s="510" t="s">
        <v>60</v>
      </c>
      <c r="D378" s="611" t="s">
        <v>57</v>
      </c>
      <c r="E378" s="611"/>
      <c r="F378" s="611"/>
      <c r="G378" s="611"/>
      <c r="H378" s="511" t="s">
        <v>58</v>
      </c>
      <c r="I378" s="510" t="s">
        <v>47</v>
      </c>
      <c r="J378" s="1580" t="s">
        <v>1280</v>
      </c>
      <c r="K378" s="990"/>
      <c r="L378" s="511">
        <v>3</v>
      </c>
      <c r="M378" s="513" t="s">
        <v>60</v>
      </c>
      <c r="N378" s="514">
        <f t="shared" si="26"/>
        <v>44593</v>
      </c>
      <c r="O378" s="534">
        <v>44682</v>
      </c>
      <c r="P378" s="1011">
        <v>1</v>
      </c>
      <c r="Q378" s="684">
        <v>1</v>
      </c>
      <c r="R378" s="1034">
        <v>60000</v>
      </c>
      <c r="S378" s="1044" t="s">
        <v>61</v>
      </c>
      <c r="T378" s="515" t="s">
        <v>62</v>
      </c>
      <c r="U378" s="520" t="s">
        <v>115</v>
      </c>
      <c r="V378" s="520"/>
      <c r="W378" s="521" t="s">
        <v>70</v>
      </c>
      <c r="X378" s="120"/>
      <c r="Y378" s="120"/>
      <c r="Z378" s="120"/>
      <c r="AA378" s="120"/>
      <c r="AB378" s="120"/>
      <c r="AC378" s="186"/>
      <c r="AD378" s="330"/>
      <c r="AE378" s="330"/>
      <c r="AF378">
        <f t="shared" ca="1" si="23"/>
        <v>45308</v>
      </c>
      <c r="AG378"/>
    </row>
    <row r="379" spans="1:33" s="906" customFormat="1" ht="50">
      <c r="A379" s="1199"/>
      <c r="B379" s="960" t="s">
        <v>56</v>
      </c>
      <c r="C379" s="510" t="s">
        <v>60</v>
      </c>
      <c r="D379" s="611" t="s">
        <v>57</v>
      </c>
      <c r="E379" s="611"/>
      <c r="F379" s="611"/>
      <c r="G379" s="611"/>
      <c r="H379" s="511" t="s">
        <v>58</v>
      </c>
      <c r="I379" s="510" t="s">
        <v>47</v>
      </c>
      <c r="J379" s="1580" t="s">
        <v>1281</v>
      </c>
      <c r="K379" s="529"/>
      <c r="L379" s="511">
        <v>3</v>
      </c>
      <c r="M379" s="513" t="s">
        <v>60</v>
      </c>
      <c r="N379" s="514">
        <f t="shared" si="26"/>
        <v>44593</v>
      </c>
      <c r="O379" s="534">
        <v>44682</v>
      </c>
      <c r="P379" s="1011">
        <v>1</v>
      </c>
      <c r="Q379" s="684">
        <v>1</v>
      </c>
      <c r="R379" s="1034">
        <v>40000</v>
      </c>
      <c r="S379" s="1044" t="s">
        <v>61</v>
      </c>
      <c r="T379" s="515" t="s">
        <v>62</v>
      </c>
      <c r="U379" s="553" t="s">
        <v>115</v>
      </c>
      <c r="V379" s="553"/>
      <c r="W379" s="521" t="s">
        <v>70</v>
      </c>
      <c r="X379" s="120"/>
      <c r="Y379" s="120"/>
      <c r="Z379" s="120"/>
      <c r="AA379" s="120"/>
      <c r="AB379" s="120"/>
      <c r="AC379" s="186"/>
      <c r="AD379" s="330"/>
      <c r="AE379" s="330"/>
      <c r="AF379">
        <f t="shared" ca="1" si="23"/>
        <v>45308</v>
      </c>
      <c r="AG379"/>
    </row>
    <row r="380" spans="1:33" s="906" customFormat="1" ht="37.5">
      <c r="A380" s="1199"/>
      <c r="B380" s="960" t="s">
        <v>56</v>
      </c>
      <c r="C380" s="510" t="s">
        <v>60</v>
      </c>
      <c r="D380" s="611" t="s">
        <v>122</v>
      </c>
      <c r="E380" s="611"/>
      <c r="F380" s="611"/>
      <c r="G380" s="611"/>
      <c r="H380" s="511" t="s">
        <v>308</v>
      </c>
      <c r="I380" s="510" t="s">
        <v>47</v>
      </c>
      <c r="J380" s="1595" t="s">
        <v>1282</v>
      </c>
      <c r="K380" s="991"/>
      <c r="L380" s="511">
        <v>12</v>
      </c>
      <c r="M380" s="570" t="s">
        <v>60</v>
      </c>
      <c r="N380" s="514">
        <f t="shared" si="26"/>
        <v>44378</v>
      </c>
      <c r="O380" s="572">
        <v>44743</v>
      </c>
      <c r="P380" s="1011">
        <v>3</v>
      </c>
      <c r="Q380" s="684">
        <v>3</v>
      </c>
      <c r="R380" s="1032">
        <v>331727</v>
      </c>
      <c r="S380" s="1044" t="s">
        <v>75</v>
      </c>
      <c r="T380" s="515" t="s">
        <v>62</v>
      </c>
      <c r="U380" s="515" t="s">
        <v>60</v>
      </c>
      <c r="V380" s="515"/>
      <c r="W380" s="576" t="s">
        <v>70</v>
      </c>
      <c r="X380" s="120"/>
      <c r="Y380" s="120"/>
      <c r="Z380" s="120"/>
      <c r="AA380" s="120"/>
      <c r="AB380" s="120"/>
      <c r="AC380" s="186"/>
      <c r="AD380" s="330"/>
      <c r="AE380" s="330"/>
      <c r="AF380">
        <f t="shared" ca="1" si="23"/>
        <v>45308</v>
      </c>
      <c r="AG380"/>
    </row>
    <row r="381" spans="1:33" s="906" customFormat="1" ht="37.5">
      <c r="A381" s="1199"/>
      <c r="B381" s="960" t="s">
        <v>56</v>
      </c>
      <c r="C381" s="510" t="s">
        <v>60</v>
      </c>
      <c r="D381" s="611" t="s">
        <v>122</v>
      </c>
      <c r="E381" s="611"/>
      <c r="F381" s="611"/>
      <c r="G381" s="611"/>
      <c r="H381" s="511" t="s">
        <v>308</v>
      </c>
      <c r="I381" s="510" t="s">
        <v>47</v>
      </c>
      <c r="J381" s="1980" t="s">
        <v>1283</v>
      </c>
      <c r="K381" s="1727"/>
      <c r="L381" s="511">
        <v>12</v>
      </c>
      <c r="M381" s="513" t="s">
        <v>60</v>
      </c>
      <c r="N381" s="514">
        <f t="shared" si="26"/>
        <v>44378</v>
      </c>
      <c r="O381" s="534">
        <v>44743</v>
      </c>
      <c r="P381" s="1011">
        <v>3</v>
      </c>
      <c r="Q381" s="684">
        <v>3</v>
      </c>
      <c r="R381" s="1034">
        <v>331727</v>
      </c>
      <c r="S381" s="1044" t="s">
        <v>75</v>
      </c>
      <c r="T381" s="515" t="s">
        <v>62</v>
      </c>
      <c r="U381" s="515" t="s">
        <v>60</v>
      </c>
      <c r="V381" s="518"/>
      <c r="W381" s="692" t="s">
        <v>70</v>
      </c>
      <c r="X381" s="120"/>
      <c r="Y381" s="1078"/>
      <c r="Z381" s="120"/>
      <c r="AA381" s="120"/>
      <c r="AB381" s="120"/>
      <c r="AC381" s="186"/>
      <c r="AD381" s="330"/>
      <c r="AE381" s="330"/>
      <c r="AF381">
        <f t="shared" ca="1" si="23"/>
        <v>45308</v>
      </c>
      <c r="AG381"/>
    </row>
    <row r="382" spans="1:33" s="906" customFormat="1" ht="37.5">
      <c r="A382" s="1199"/>
      <c r="B382" s="960" t="s">
        <v>56</v>
      </c>
      <c r="C382" s="510" t="s">
        <v>60</v>
      </c>
      <c r="D382" s="611" t="s">
        <v>122</v>
      </c>
      <c r="E382" s="611"/>
      <c r="F382" s="611"/>
      <c r="G382" s="611"/>
      <c r="H382" s="511" t="s">
        <v>308</v>
      </c>
      <c r="I382" s="510" t="s">
        <v>47</v>
      </c>
      <c r="J382" s="1580" t="s">
        <v>1284</v>
      </c>
      <c r="K382" s="529"/>
      <c r="L382" s="511">
        <v>12</v>
      </c>
      <c r="M382" s="513" t="s">
        <v>60</v>
      </c>
      <c r="N382" s="514">
        <f t="shared" si="26"/>
        <v>44378</v>
      </c>
      <c r="O382" s="534">
        <v>44743</v>
      </c>
      <c r="P382" s="1011">
        <v>3</v>
      </c>
      <c r="Q382" s="684">
        <v>3</v>
      </c>
      <c r="R382" s="1034">
        <v>200000</v>
      </c>
      <c r="S382" s="515" t="s">
        <v>75</v>
      </c>
      <c r="T382" s="515" t="s">
        <v>62</v>
      </c>
      <c r="U382" s="520" t="s">
        <v>115</v>
      </c>
      <c r="V382" s="520"/>
      <c r="W382" s="521" t="s">
        <v>70</v>
      </c>
      <c r="X382" s="120"/>
      <c r="Y382" s="120"/>
      <c r="Z382" s="120"/>
      <c r="AA382" s="120"/>
      <c r="AB382" s="120"/>
      <c r="AC382" s="186"/>
      <c r="AD382" s="330"/>
      <c r="AE382" s="330"/>
      <c r="AF382">
        <f t="shared" ca="1" si="23"/>
        <v>45308</v>
      </c>
      <c r="AG382"/>
    </row>
    <row r="383" spans="1:33" s="906" customFormat="1" ht="39">
      <c r="A383" s="731"/>
      <c r="B383" s="737" t="s">
        <v>44</v>
      </c>
      <c r="C383" s="738">
        <v>56797</v>
      </c>
      <c r="D383" s="708" t="s">
        <v>32</v>
      </c>
      <c r="E383" s="708"/>
      <c r="F383" s="708"/>
      <c r="G383" s="708"/>
      <c r="H383" s="710" t="s">
        <v>46</v>
      </c>
      <c r="I383" s="710" t="s">
        <v>47</v>
      </c>
      <c r="J383" s="1608" t="s">
        <v>1285</v>
      </c>
      <c r="K383" s="710" t="s">
        <v>71</v>
      </c>
      <c r="L383" s="710"/>
      <c r="M383" s="947" t="s">
        <v>45</v>
      </c>
      <c r="N383" s="947" t="s">
        <v>45</v>
      </c>
      <c r="O383" s="769">
        <v>44818</v>
      </c>
      <c r="P383" s="750">
        <v>10</v>
      </c>
      <c r="Q383" s="766" t="s">
        <v>1286</v>
      </c>
      <c r="R383" s="937">
        <v>100000</v>
      </c>
      <c r="S383" s="711" t="s">
        <v>75</v>
      </c>
      <c r="T383" s="710" t="s">
        <v>45</v>
      </c>
      <c r="U383" s="738"/>
      <c r="V383" s="738"/>
      <c r="W383" s="710" t="s">
        <v>1287</v>
      </c>
      <c r="X383" s="730" t="s">
        <v>254</v>
      </c>
      <c r="Y383" s="710" t="s">
        <v>40</v>
      </c>
      <c r="Z383" s="710"/>
      <c r="AA383" s="710"/>
      <c r="AB383" s="769">
        <v>44865</v>
      </c>
      <c r="AC383" s="717" t="s">
        <v>225</v>
      </c>
      <c r="AD383" s="723"/>
      <c r="AE383" s="793"/>
      <c r="AF383">
        <f t="shared" ca="1" si="23"/>
        <v>443</v>
      </c>
    </row>
    <row r="384" spans="1:33" s="906" customFormat="1" ht="390">
      <c r="A384" s="749"/>
      <c r="B384" s="737" t="s">
        <v>44</v>
      </c>
      <c r="C384" s="710"/>
      <c r="D384" s="739" t="s">
        <v>709</v>
      </c>
      <c r="E384" s="727" t="s">
        <v>449</v>
      </c>
      <c r="F384" s="739" t="s">
        <v>361</v>
      </c>
      <c r="G384" s="739" t="s">
        <v>569</v>
      </c>
      <c r="H384" s="808" t="s">
        <v>33</v>
      </c>
      <c r="I384" s="1271" t="s">
        <v>47</v>
      </c>
      <c r="J384" s="1608" t="s">
        <v>1288</v>
      </c>
      <c r="K384" s="710"/>
      <c r="L384" s="710"/>
      <c r="M384" s="947" t="s">
        <v>45</v>
      </c>
      <c r="N384" s="947" t="s">
        <v>45</v>
      </c>
      <c r="O384" s="947">
        <v>44834</v>
      </c>
      <c r="P384" s="750">
        <v>8</v>
      </c>
      <c r="Q384" s="719">
        <v>8</v>
      </c>
      <c r="R384" s="742" t="s">
        <v>1289</v>
      </c>
      <c r="S384" s="708" t="s">
        <v>84</v>
      </c>
      <c r="T384" s="860" t="s">
        <v>70</v>
      </c>
      <c r="U384" s="855">
        <v>44919</v>
      </c>
      <c r="V384" s="855"/>
      <c r="W384" s="710" t="s">
        <v>1290</v>
      </c>
      <c r="X384" s="808" t="s">
        <v>77</v>
      </c>
      <c r="Y384" s="710" t="s">
        <v>40</v>
      </c>
      <c r="Z384" s="710"/>
      <c r="AA384" s="838"/>
      <c r="AB384" s="769">
        <v>44972</v>
      </c>
      <c r="AC384" s="717" t="s">
        <v>1291</v>
      </c>
      <c r="AD384" s="723" t="s">
        <v>806</v>
      </c>
      <c r="AE384" s="793"/>
      <c r="AF384">
        <f t="shared" ca="1" si="23"/>
        <v>336</v>
      </c>
    </row>
    <row r="385" spans="1:33" s="950" customFormat="1" ht="37.5">
      <c r="A385" s="1199"/>
      <c r="B385" s="960" t="s">
        <v>56</v>
      </c>
      <c r="C385" s="510" t="s">
        <v>60</v>
      </c>
      <c r="D385" s="611" t="s">
        <v>122</v>
      </c>
      <c r="E385" s="611"/>
      <c r="F385" s="611"/>
      <c r="G385" s="611"/>
      <c r="H385" s="511" t="s">
        <v>308</v>
      </c>
      <c r="I385" s="510" t="s">
        <v>47</v>
      </c>
      <c r="J385" s="1611" t="s">
        <v>1292</v>
      </c>
      <c r="K385" s="990"/>
      <c r="L385" s="511">
        <v>12</v>
      </c>
      <c r="M385" s="513" t="s">
        <v>60</v>
      </c>
      <c r="N385" s="514">
        <f>IF(O385="tbc","",(IFERROR(EDATE(O385,-L385),"Invalid procurement method or date entered")))</f>
        <v>44743</v>
      </c>
      <c r="O385" s="534">
        <v>45108</v>
      </c>
      <c r="P385" s="1011">
        <v>3</v>
      </c>
      <c r="Q385" s="684">
        <v>3</v>
      </c>
      <c r="R385" s="1034">
        <v>331727</v>
      </c>
      <c r="S385" s="1044" t="s">
        <v>75</v>
      </c>
      <c r="T385" s="515" t="s">
        <v>62</v>
      </c>
      <c r="U385" s="520" t="s">
        <v>115</v>
      </c>
      <c r="V385" s="520"/>
      <c r="W385" s="521" t="s">
        <v>70</v>
      </c>
      <c r="X385" s="120"/>
      <c r="Y385" s="120"/>
      <c r="Z385" s="120"/>
      <c r="AA385" s="120"/>
      <c r="AB385" s="120"/>
      <c r="AC385" s="186"/>
      <c r="AD385" s="330"/>
      <c r="AE385" s="330"/>
      <c r="AF385">
        <f t="shared" ca="1" si="23"/>
        <v>45308</v>
      </c>
      <c r="AG385"/>
    </row>
    <row r="386" spans="1:33" s="906" customFormat="1" ht="130">
      <c r="A386" s="749"/>
      <c r="B386" s="725" t="s">
        <v>56</v>
      </c>
      <c r="C386" s="726" t="s">
        <v>60</v>
      </c>
      <c r="D386" s="727" t="s">
        <v>122</v>
      </c>
      <c r="E386" s="727"/>
      <c r="F386" s="727"/>
      <c r="G386" s="727"/>
      <c r="H386" s="728" t="s">
        <v>308</v>
      </c>
      <c r="I386" s="851" t="s">
        <v>47</v>
      </c>
      <c r="J386" s="1604" t="s">
        <v>1293</v>
      </c>
      <c r="K386" s="729"/>
      <c r="L386" s="730">
        <v>12</v>
      </c>
      <c r="M386" s="731" t="s">
        <v>60</v>
      </c>
      <c r="N386" s="712">
        <f>IF(O386="tbc","",(IFERROR(EDATE(O386,-L386),"Invalid procurement method or date entered")))</f>
        <v>44743</v>
      </c>
      <c r="O386" s="759">
        <v>45108</v>
      </c>
      <c r="P386" s="760">
        <v>3</v>
      </c>
      <c r="Q386" s="761">
        <v>3</v>
      </c>
      <c r="R386" s="742">
        <v>331727</v>
      </c>
      <c r="S386" s="734" t="s">
        <v>75</v>
      </c>
      <c r="T386" s="711" t="s">
        <v>62</v>
      </c>
      <c r="U386" s="711" t="s">
        <v>60</v>
      </c>
      <c r="V386" s="711"/>
      <c r="W386" s="728" t="s">
        <v>714</v>
      </c>
      <c r="X386" s="730" t="s">
        <v>45</v>
      </c>
      <c r="Y386" s="762" t="s">
        <v>115</v>
      </c>
      <c r="Z386" s="1308" t="s">
        <v>69</v>
      </c>
      <c r="AA386" s="695" t="s">
        <v>70</v>
      </c>
      <c r="AB386" s="764">
        <v>44855</v>
      </c>
      <c r="AC386" s="1278" t="s">
        <v>1294</v>
      </c>
      <c r="AD386" s="924"/>
      <c r="AE386" s="924"/>
      <c r="AF386">
        <f t="shared" ref="AF386:AF435" ca="1" si="27">IFERROR(TODAY()-AB386,"N/A")</f>
        <v>453</v>
      </c>
    </row>
    <row r="387" spans="1:33" ht="117">
      <c r="A387" s="749"/>
      <c r="B387" s="725" t="s">
        <v>56</v>
      </c>
      <c r="C387" s="1952" t="s">
        <v>60</v>
      </c>
      <c r="D387" s="922" t="s">
        <v>32</v>
      </c>
      <c r="E387" s="922"/>
      <c r="F387" s="922"/>
      <c r="G387" s="922"/>
      <c r="H387" s="922" t="s">
        <v>308</v>
      </c>
      <c r="I387" s="710" t="s">
        <v>47</v>
      </c>
      <c r="J387" s="1624" t="s">
        <v>1295</v>
      </c>
      <c r="K387" s="915"/>
      <c r="L387" s="730">
        <v>14</v>
      </c>
      <c r="M387" s="731" t="s">
        <v>60</v>
      </c>
      <c r="N387" s="712">
        <f>IF(O387="tbc","",(IFERROR(EDATE(O387,-L387),"Invalid procurement method or date entered")))</f>
        <v>44896</v>
      </c>
      <c r="O387" s="711">
        <v>45323</v>
      </c>
      <c r="P387" s="893" t="s">
        <v>60</v>
      </c>
      <c r="Q387" s="732" t="s">
        <v>60</v>
      </c>
      <c r="R387" s="2059">
        <f>SUM(2851216*4)+SUM(77350*4)+SUM(105445*4)+SUM(211405*4)+SUM(299940*4)</f>
        <v>14181424</v>
      </c>
      <c r="S387" s="792" t="s">
        <v>366</v>
      </c>
      <c r="T387" s="792" t="s">
        <v>474</v>
      </c>
      <c r="U387" s="1165" t="s">
        <v>60</v>
      </c>
      <c r="V387" s="1165"/>
      <c r="W387" s="1165" t="s">
        <v>379</v>
      </c>
      <c r="X387" s="922" t="s">
        <v>45</v>
      </c>
      <c r="Y387" s="900" t="s">
        <v>115</v>
      </c>
      <c r="Z387" s="900" t="s">
        <v>69</v>
      </c>
      <c r="AA387" s="889" t="s">
        <v>70</v>
      </c>
      <c r="AB387" s="2130">
        <v>44942</v>
      </c>
      <c r="AC387" s="1516" t="s">
        <v>1296</v>
      </c>
      <c r="AD387" s="919"/>
      <c r="AE387" s="919"/>
      <c r="AF387">
        <f t="shared" ca="1" si="27"/>
        <v>366</v>
      </c>
      <c r="AG387" s="906"/>
    </row>
    <row r="388" spans="1:33" ht="91">
      <c r="A388" s="749"/>
      <c r="B388" s="890" t="s">
        <v>56</v>
      </c>
      <c r="C388" s="726" t="s">
        <v>60</v>
      </c>
      <c r="D388" s="730" t="s">
        <v>122</v>
      </c>
      <c r="E388" s="730"/>
      <c r="F388" s="730"/>
      <c r="G388" s="730"/>
      <c r="H388" s="728" t="s">
        <v>308</v>
      </c>
      <c r="I388" s="729" t="s">
        <v>47</v>
      </c>
      <c r="J388" s="1604" t="s">
        <v>1297</v>
      </c>
      <c r="K388" s="729"/>
      <c r="L388" s="730">
        <v>12</v>
      </c>
      <c r="M388" s="731" t="s">
        <v>60</v>
      </c>
      <c r="N388" s="712">
        <f>IF(O388="tbc","",(IFERROR(EDATE(O388,-L388),"Invalid procurement method or date entered")))</f>
        <v>45017</v>
      </c>
      <c r="O388" s="759">
        <v>45383</v>
      </c>
      <c r="P388" s="891" t="s">
        <v>60</v>
      </c>
      <c r="Q388" s="891" t="s">
        <v>60</v>
      </c>
      <c r="R388" s="2059">
        <v>4000000</v>
      </c>
      <c r="S388" s="792" t="s">
        <v>91</v>
      </c>
      <c r="T388" s="792" t="s">
        <v>310</v>
      </c>
      <c r="U388" s="792" t="s">
        <v>60</v>
      </c>
      <c r="V388" s="792"/>
      <c r="W388" s="851" t="s">
        <v>714</v>
      </c>
      <c r="X388" s="922" t="s">
        <v>45</v>
      </c>
      <c r="Y388" s="900" t="s">
        <v>115</v>
      </c>
      <c r="Z388" s="900" t="s">
        <v>69</v>
      </c>
      <c r="AA388" s="889" t="s">
        <v>70</v>
      </c>
      <c r="AB388" s="1103">
        <v>44855</v>
      </c>
      <c r="AC388" s="1515" t="s">
        <v>1298</v>
      </c>
      <c r="AD388" s="926"/>
      <c r="AE388" s="926"/>
      <c r="AF388">
        <f t="shared" ca="1" si="27"/>
        <v>453</v>
      </c>
      <c r="AG388" s="906"/>
    </row>
    <row r="389" spans="1:33" s="906" customFormat="1" ht="37.5">
      <c r="A389" s="1199"/>
      <c r="B389" s="960" t="s">
        <v>56</v>
      </c>
      <c r="C389" s="510" t="s">
        <v>60</v>
      </c>
      <c r="D389" s="611" t="s">
        <v>122</v>
      </c>
      <c r="E389" s="611"/>
      <c r="F389" s="611"/>
      <c r="G389" s="611"/>
      <c r="H389" s="611" t="s">
        <v>308</v>
      </c>
      <c r="I389" s="510" t="s">
        <v>47</v>
      </c>
      <c r="J389" s="1611" t="s">
        <v>1299</v>
      </c>
      <c r="K389" s="529"/>
      <c r="L389" s="511">
        <v>12</v>
      </c>
      <c r="M389" s="513" t="s">
        <v>60</v>
      </c>
      <c r="N389" s="514">
        <f>IF(O389="tbc","",(IFERROR(EDATE(O389,-L389),"Invalid procurement method or date entered")))</f>
        <v>45108</v>
      </c>
      <c r="O389" s="534">
        <v>45474</v>
      </c>
      <c r="P389" s="535">
        <v>3</v>
      </c>
      <c r="Q389" s="1011">
        <v>3</v>
      </c>
      <c r="R389" s="685">
        <v>331727</v>
      </c>
      <c r="S389" s="1044" t="s">
        <v>75</v>
      </c>
      <c r="T389" s="515" t="s">
        <v>62</v>
      </c>
      <c r="U389" s="520" t="s">
        <v>115</v>
      </c>
      <c r="V389" s="520"/>
      <c r="W389" s="521" t="s">
        <v>70</v>
      </c>
      <c r="X389" s="120"/>
      <c r="Y389" s="120"/>
      <c r="Z389" s="120"/>
      <c r="AA389" s="120"/>
      <c r="AB389" s="186"/>
      <c r="AC389" s="120"/>
      <c r="AD389" s="186"/>
      <c r="AE389" s="330"/>
      <c r="AF389">
        <f t="shared" ca="1" si="27"/>
        <v>45308</v>
      </c>
      <c r="AG389"/>
    </row>
    <row r="390" spans="1:33" s="906" customFormat="1" ht="65">
      <c r="A390" s="1389" t="s">
        <v>71</v>
      </c>
      <c r="B390" s="1950" t="s">
        <v>100</v>
      </c>
      <c r="C390" s="1954" t="s">
        <v>1300</v>
      </c>
      <c r="D390" s="1961" t="s">
        <v>122</v>
      </c>
      <c r="E390" s="1391"/>
      <c r="F390" s="1961"/>
      <c r="G390" s="1961"/>
      <c r="H390" s="1678" t="s">
        <v>103</v>
      </c>
      <c r="I390" s="1391" t="s">
        <v>34</v>
      </c>
      <c r="J390" s="1579" t="s">
        <v>1301</v>
      </c>
      <c r="K390" s="2003" t="s">
        <v>365</v>
      </c>
      <c r="L390" s="1391">
        <v>12</v>
      </c>
      <c r="M390" s="2017"/>
      <c r="N390" s="2019"/>
      <c r="O390" s="2022">
        <v>44652</v>
      </c>
      <c r="P390" s="2039">
        <v>60</v>
      </c>
      <c r="Q390" s="1390" t="s">
        <v>1302</v>
      </c>
      <c r="R390" s="2061">
        <v>112500</v>
      </c>
      <c r="S390" s="2072" t="s">
        <v>176</v>
      </c>
      <c r="T390" s="1391" t="s">
        <v>38</v>
      </c>
      <c r="U390" s="1391" t="s">
        <v>71</v>
      </c>
      <c r="V390" s="2003"/>
      <c r="W390" s="2003" t="s">
        <v>1303</v>
      </c>
      <c r="X390" s="1391"/>
      <c r="Y390" s="1391"/>
      <c r="Z390" s="1391" t="s">
        <v>69</v>
      </c>
      <c r="AA390" s="2118" t="s">
        <v>70</v>
      </c>
      <c r="AB390" s="2132">
        <v>44929</v>
      </c>
      <c r="AC390" s="1904" t="s">
        <v>1304</v>
      </c>
      <c r="AD390" s="2157"/>
      <c r="AE390" s="1391"/>
      <c r="AF390">
        <f t="shared" ca="1" si="27"/>
        <v>379</v>
      </c>
      <c r="AG390" s="1307"/>
    </row>
    <row r="391" spans="1:33" s="1" customFormat="1" ht="409.5">
      <c r="A391" s="695" t="s">
        <v>71</v>
      </c>
      <c r="B391" s="706" t="s">
        <v>100</v>
      </c>
      <c r="C391" s="707" t="s">
        <v>1305</v>
      </c>
      <c r="D391" s="708" t="s">
        <v>110</v>
      </c>
      <c r="E391" s="723"/>
      <c r="F391" s="698"/>
      <c r="G391" s="708"/>
      <c r="H391" s="710" t="s">
        <v>110</v>
      </c>
      <c r="I391" s="710" t="s">
        <v>103</v>
      </c>
      <c r="J391" s="1608" t="s">
        <v>103</v>
      </c>
      <c r="K391" s="710" t="s">
        <v>34</v>
      </c>
      <c r="L391" s="709" t="s">
        <v>1306</v>
      </c>
      <c r="M391" s="710"/>
      <c r="N391" s="710">
        <v>12</v>
      </c>
      <c r="O391" s="712">
        <f>IFERROR(EDATE(Q391,-N391),"Invalid procurement method or date entered")</f>
        <v>44652</v>
      </c>
      <c r="P391" s="1352"/>
      <c r="Q391" s="946">
        <v>45017</v>
      </c>
      <c r="R391" s="2067">
        <v>48</v>
      </c>
      <c r="S391" s="2075" t="s">
        <v>330</v>
      </c>
      <c r="T391" s="772">
        <v>2390599</v>
      </c>
      <c r="U391" s="758" t="s">
        <v>130</v>
      </c>
      <c r="V391" s="2354"/>
      <c r="W391" s="1505">
        <v>43630</v>
      </c>
      <c r="X391" s="914" t="s">
        <v>1307</v>
      </c>
      <c r="Y391" s="698" t="s">
        <v>1308</v>
      </c>
      <c r="Z391" s="700" t="s">
        <v>189</v>
      </c>
      <c r="AA391" s="710" t="s">
        <v>40</v>
      </c>
      <c r="AB391" s="710" t="s">
        <v>87</v>
      </c>
      <c r="AC391" s="754" t="s">
        <v>70</v>
      </c>
      <c r="AD391" s="1246">
        <v>44942</v>
      </c>
      <c r="AE391" s="1409" t="s">
        <v>1309</v>
      </c>
      <c r="AF391" t="str">
        <f t="shared" ca="1" si="27"/>
        <v>N/A</v>
      </c>
      <c r="AG391" s="1122" t="s">
        <v>1310</v>
      </c>
    </row>
    <row r="392" spans="1:33" s="1642" customFormat="1" ht="156">
      <c r="A392" s="749"/>
      <c r="B392" s="1404" t="s">
        <v>56</v>
      </c>
      <c r="C392" s="1406" t="s">
        <v>60</v>
      </c>
      <c r="D392" s="1385" t="s">
        <v>110</v>
      </c>
      <c r="E392" s="794" t="s">
        <v>449</v>
      </c>
      <c r="F392" s="1385" t="s">
        <v>110</v>
      </c>
      <c r="G392" s="2245" t="s">
        <v>1311</v>
      </c>
      <c r="H392" s="854" t="s">
        <v>103</v>
      </c>
      <c r="I392" s="723" t="s">
        <v>47</v>
      </c>
      <c r="J392" s="718" t="s">
        <v>1312</v>
      </c>
      <c r="K392" s="1179"/>
      <c r="L392" s="794">
        <v>14</v>
      </c>
      <c r="M392" s="1413">
        <f>IF(O392="tbc","",(IFERROR(EDATE($N392,-3),"Invalid procurement method or date entered")))</f>
        <v>44105</v>
      </c>
      <c r="N392" s="1161">
        <f>IF(O392="tbc","",(IFERROR(EDATE(O392,-L392),"Invalid procurement method or date entered")))</f>
        <v>44197</v>
      </c>
      <c r="O392" s="792">
        <v>44621</v>
      </c>
      <c r="P392" s="733">
        <v>48</v>
      </c>
      <c r="Q392" s="733" t="s">
        <v>60</v>
      </c>
      <c r="R392" s="1289">
        <v>1342270</v>
      </c>
      <c r="S392" s="792" t="s">
        <v>60</v>
      </c>
      <c r="T392" s="792" t="s">
        <v>310</v>
      </c>
      <c r="U392" s="792" t="s">
        <v>60</v>
      </c>
      <c r="V392" s="1168"/>
      <c r="W392" s="1179" t="s">
        <v>1313</v>
      </c>
      <c r="X392" s="1165" t="s">
        <v>561</v>
      </c>
      <c r="Y392" s="795" t="s">
        <v>115</v>
      </c>
      <c r="Z392" s="795" t="s">
        <v>69</v>
      </c>
      <c r="AA392" s="719" t="s">
        <v>70</v>
      </c>
      <c r="AB392" s="2246">
        <v>44973</v>
      </c>
      <c r="AC392" s="2208" t="s">
        <v>1314</v>
      </c>
      <c r="AD392" s="2247"/>
      <c r="AE392" s="1286"/>
      <c r="AF392">
        <f t="shared" ca="1" si="27"/>
        <v>335</v>
      </c>
      <c r="AG392" s="906"/>
    </row>
    <row r="393" spans="1:33" s="1642" customFormat="1" ht="247">
      <c r="A393" s="749"/>
      <c r="B393" s="1404" t="s">
        <v>56</v>
      </c>
      <c r="C393" s="1406" t="s">
        <v>60</v>
      </c>
      <c r="D393" s="1385" t="s">
        <v>57</v>
      </c>
      <c r="E393" s="794" t="s">
        <v>449</v>
      </c>
      <c r="F393" s="1385" t="s">
        <v>630</v>
      </c>
      <c r="G393" s="1489" t="s">
        <v>1315</v>
      </c>
      <c r="H393" s="854" t="s">
        <v>203</v>
      </c>
      <c r="I393" s="1165" t="s">
        <v>34</v>
      </c>
      <c r="J393" s="729" t="s">
        <v>1316</v>
      </c>
      <c r="K393" s="1456" t="s">
        <v>1317</v>
      </c>
      <c r="L393" s="794">
        <v>12</v>
      </c>
      <c r="M393" s="1413">
        <f>IF(O393="tbc","",(IFERROR(EDATE($N393,-3),"Invalid procurement method or date entered")))</f>
        <v>44197</v>
      </c>
      <c r="N393" s="1161">
        <f>IF(O393="tbc","",(IFERROR(EDATE(O393,-L393),"Invalid procurement method or date entered")))</f>
        <v>44287</v>
      </c>
      <c r="O393" s="1273">
        <v>44652</v>
      </c>
      <c r="P393" s="761" t="s">
        <v>60</v>
      </c>
      <c r="Q393" s="761" t="s">
        <v>60</v>
      </c>
      <c r="R393" s="1289">
        <v>5000</v>
      </c>
      <c r="S393" s="792" t="s">
        <v>84</v>
      </c>
      <c r="T393" s="792" t="s">
        <v>62</v>
      </c>
      <c r="U393" s="792" t="s">
        <v>60</v>
      </c>
      <c r="V393" s="1168"/>
      <c r="W393" s="1456" t="s">
        <v>205</v>
      </c>
      <c r="X393" s="795" t="s">
        <v>561</v>
      </c>
      <c r="Y393" s="795" t="s">
        <v>115</v>
      </c>
      <c r="Z393" s="795" t="s">
        <v>69</v>
      </c>
      <c r="AA393" s="719" t="s">
        <v>70</v>
      </c>
      <c r="AB393" s="2248">
        <v>44973</v>
      </c>
      <c r="AC393" s="1515" t="s">
        <v>1318</v>
      </c>
      <c r="AD393" s="1491"/>
      <c r="AE393" s="924"/>
      <c r="AF393">
        <f t="shared" ca="1" si="27"/>
        <v>335</v>
      </c>
      <c r="AG393" s="906"/>
    </row>
    <row r="394" spans="1:33" s="1642" customFormat="1" ht="312">
      <c r="A394" s="749"/>
      <c r="B394" s="1404" t="s">
        <v>56</v>
      </c>
      <c r="C394" s="1406" t="s">
        <v>60</v>
      </c>
      <c r="D394" s="1385" t="s">
        <v>57</v>
      </c>
      <c r="E394" s="794" t="s">
        <v>449</v>
      </c>
      <c r="F394" s="1311" t="s">
        <v>630</v>
      </c>
      <c r="G394" s="1489" t="s">
        <v>1319</v>
      </c>
      <c r="H394" s="854" t="s">
        <v>58</v>
      </c>
      <c r="I394" s="1165" t="s">
        <v>47</v>
      </c>
      <c r="J394" s="851" t="s">
        <v>1320</v>
      </c>
      <c r="K394" s="1456" t="s">
        <v>71</v>
      </c>
      <c r="L394" s="794">
        <v>12</v>
      </c>
      <c r="M394" s="1413">
        <v>44743</v>
      </c>
      <c r="N394" s="1161">
        <f>IF(O394="tbc","",(IFERROR(EDATE(O394,-L394),"Invalid procurement method or date entered")))</f>
        <v>44287</v>
      </c>
      <c r="O394" s="1273">
        <v>44652</v>
      </c>
      <c r="P394" s="761" t="s">
        <v>60</v>
      </c>
      <c r="Q394" s="761" t="s">
        <v>60</v>
      </c>
      <c r="R394" s="1289" t="s">
        <v>60</v>
      </c>
      <c r="S394" s="792" t="s">
        <v>84</v>
      </c>
      <c r="T394" s="792" t="s">
        <v>71</v>
      </c>
      <c r="U394" s="792" t="s">
        <v>38</v>
      </c>
      <c r="V394" s="792"/>
      <c r="W394" s="1165" t="s">
        <v>1044</v>
      </c>
      <c r="X394" s="794" t="s">
        <v>784</v>
      </c>
      <c r="Y394" s="795" t="s">
        <v>40</v>
      </c>
      <c r="Z394" s="795"/>
      <c r="AA394" s="719" t="s">
        <v>70</v>
      </c>
      <c r="AB394" s="2249">
        <v>44980</v>
      </c>
      <c r="AC394" s="1424" t="s">
        <v>1321</v>
      </c>
      <c r="AD394" s="1491"/>
      <c r="AE394" s="924"/>
      <c r="AF394">
        <f t="shared" ca="1" si="27"/>
        <v>328</v>
      </c>
      <c r="AG394" s="906"/>
    </row>
    <row r="395" spans="1:33" s="906" customFormat="1" ht="52">
      <c r="A395" s="749">
        <v>44868</v>
      </c>
      <c r="B395" s="696" t="s">
        <v>100</v>
      </c>
      <c r="C395" s="697" t="s">
        <v>1305</v>
      </c>
      <c r="D395" s="698" t="s">
        <v>110</v>
      </c>
      <c r="E395" s="794" t="s">
        <v>449</v>
      </c>
      <c r="F395" s="698" t="s">
        <v>110</v>
      </c>
      <c r="G395" s="2187" t="s">
        <v>1311</v>
      </c>
      <c r="H395" s="700" t="s">
        <v>103</v>
      </c>
      <c r="I395" s="723" t="s">
        <v>268</v>
      </c>
      <c r="J395" s="718" t="s">
        <v>1306</v>
      </c>
      <c r="K395" s="1411" t="s">
        <v>1322</v>
      </c>
      <c r="L395" s="723">
        <v>12</v>
      </c>
      <c r="M395" s="1364">
        <f>IFERROR(EDATE(N395,-3),"Invalid procurement method or date entered")</f>
        <v>44470</v>
      </c>
      <c r="N395" s="1161">
        <f>IFERROR(EDATE(O395,-L395),"Invalid procurement method or date entered")</f>
        <v>44562</v>
      </c>
      <c r="O395" s="946">
        <v>44927</v>
      </c>
      <c r="P395" s="776">
        <v>48</v>
      </c>
      <c r="Q395" s="773"/>
      <c r="R395" s="807">
        <v>2390599</v>
      </c>
      <c r="S395" s="723" t="s">
        <v>270</v>
      </c>
      <c r="T395" s="723" t="s">
        <v>45</v>
      </c>
      <c r="U395" s="792" t="s">
        <v>45</v>
      </c>
      <c r="V395" s="792"/>
      <c r="W395" s="723" t="s">
        <v>1308</v>
      </c>
      <c r="X395" s="723" t="s">
        <v>189</v>
      </c>
      <c r="Y395" s="888" t="s">
        <v>40</v>
      </c>
      <c r="Z395" s="723" t="s">
        <v>87</v>
      </c>
      <c r="AA395" s="1330" t="s">
        <v>70</v>
      </c>
      <c r="AB395" s="2222">
        <v>44986</v>
      </c>
      <c r="AC395" s="2208" t="s">
        <v>1323</v>
      </c>
      <c r="AD395" s="1375"/>
      <c r="AE395" s="794"/>
      <c r="AF395">
        <f t="shared" ca="1" si="27"/>
        <v>322</v>
      </c>
    </row>
    <row r="396" spans="1:33" s="1642" customFormat="1" ht="52">
      <c r="A396" s="749">
        <v>44799</v>
      </c>
      <c r="B396" s="1165" t="s">
        <v>56</v>
      </c>
      <c r="C396" s="726" t="s">
        <v>67</v>
      </c>
      <c r="D396" s="727" t="s">
        <v>32</v>
      </c>
      <c r="E396" s="794" t="s">
        <v>449</v>
      </c>
      <c r="F396" s="1431" t="s">
        <v>361</v>
      </c>
      <c r="G396" s="2250" t="s">
        <v>362</v>
      </c>
      <c r="H396" s="730" t="s">
        <v>308</v>
      </c>
      <c r="I396" s="710" t="s">
        <v>268</v>
      </c>
      <c r="J396" s="709" t="s">
        <v>1324</v>
      </c>
      <c r="K396" s="710"/>
      <c r="L396" s="730">
        <v>2</v>
      </c>
      <c r="M396" s="731">
        <v>44799</v>
      </c>
      <c r="N396" s="712">
        <f>IF(O396="tbc","",(IFERROR(EDATE(O396,-L396),"Invalid procurement method or date entered")))</f>
        <v>44742</v>
      </c>
      <c r="O396" s="711">
        <v>44804</v>
      </c>
      <c r="P396" s="893"/>
      <c r="Q396" s="893"/>
      <c r="R396" s="1030"/>
      <c r="S396" s="858" t="s">
        <v>270</v>
      </c>
      <c r="T396" s="711" t="s">
        <v>38</v>
      </c>
      <c r="U396" s="711" t="s">
        <v>67</v>
      </c>
      <c r="V396" s="711"/>
      <c r="W396" s="710" t="s">
        <v>961</v>
      </c>
      <c r="X396" s="810" t="s">
        <v>561</v>
      </c>
      <c r="Y396" s="795" t="s">
        <v>40</v>
      </c>
      <c r="Z396" s="1510" t="s">
        <v>69</v>
      </c>
      <c r="AA396" s="782" t="s">
        <v>38</v>
      </c>
      <c r="AB396" s="1340">
        <v>44973</v>
      </c>
      <c r="AC396" s="1293" t="s">
        <v>1325</v>
      </c>
      <c r="AD396" s="1286"/>
      <c r="AE396" s="1286"/>
      <c r="AF396">
        <f t="shared" ca="1" si="27"/>
        <v>335</v>
      </c>
      <c r="AG396" s="906"/>
    </row>
    <row r="397" spans="1:33" s="1642" customFormat="1" ht="377">
      <c r="A397" s="749"/>
      <c r="B397" s="725" t="s">
        <v>56</v>
      </c>
      <c r="C397" s="726" t="s">
        <v>60</v>
      </c>
      <c r="D397" s="727" t="s">
        <v>57</v>
      </c>
      <c r="E397" s="794" t="s">
        <v>449</v>
      </c>
      <c r="F397" s="739" t="s">
        <v>630</v>
      </c>
      <c r="G397" s="2245" t="s">
        <v>1319</v>
      </c>
      <c r="H397" s="730" t="s">
        <v>58</v>
      </c>
      <c r="I397" s="726" t="s">
        <v>47</v>
      </c>
      <c r="J397" s="729" t="s">
        <v>1326</v>
      </c>
      <c r="K397" s="726"/>
      <c r="L397" s="730">
        <v>3</v>
      </c>
      <c r="M397" s="731">
        <v>44778</v>
      </c>
      <c r="N397" s="712" t="str">
        <f ca="1">IF(P397="tbc","",(IFERROR(EDATE($N397,-3),"Invalid procurement method or date entered")))</f>
        <v>Invalid procurement method or date entered</v>
      </c>
      <c r="O397" s="759">
        <v>44805</v>
      </c>
      <c r="P397" s="760">
        <v>2</v>
      </c>
      <c r="Q397" s="761">
        <v>2</v>
      </c>
      <c r="R397" s="937">
        <v>110000</v>
      </c>
      <c r="S397" s="734" t="s">
        <v>61</v>
      </c>
      <c r="T397" s="711" t="s">
        <v>62</v>
      </c>
      <c r="U397" s="711" t="s">
        <v>60</v>
      </c>
      <c r="V397" s="757"/>
      <c r="W397" s="802" t="s">
        <v>855</v>
      </c>
      <c r="X397" s="794" t="s">
        <v>1013</v>
      </c>
      <c r="Y397" s="1443" t="s">
        <v>115</v>
      </c>
      <c r="Z397" s="762" t="s">
        <v>154</v>
      </c>
      <c r="AA397" s="695" t="s">
        <v>70</v>
      </c>
      <c r="AB397" s="2251">
        <v>44967</v>
      </c>
      <c r="AC397" s="1278" t="s">
        <v>1327</v>
      </c>
      <c r="AD397" s="924"/>
      <c r="AE397" s="924"/>
      <c r="AF397">
        <f t="shared" ca="1" si="27"/>
        <v>341</v>
      </c>
      <c r="AG397" s="906"/>
    </row>
    <row r="398" spans="1:33" s="1642" customFormat="1" ht="12.75" customHeight="1">
      <c r="A398" s="749" t="s">
        <v>71</v>
      </c>
      <c r="B398" s="841" t="s">
        <v>44</v>
      </c>
      <c r="C398" s="1277" t="s">
        <v>1102</v>
      </c>
      <c r="D398" s="698" t="s">
        <v>32</v>
      </c>
      <c r="E398" s="794" t="s">
        <v>449</v>
      </c>
      <c r="F398" s="698" t="s">
        <v>1103</v>
      </c>
      <c r="G398" s="1449" t="s">
        <v>569</v>
      </c>
      <c r="H398" s="700" t="s">
        <v>33</v>
      </c>
      <c r="I398" s="723" t="s">
        <v>34</v>
      </c>
      <c r="J398" s="718" t="s">
        <v>1328</v>
      </c>
      <c r="K398" s="1179" t="s">
        <v>548</v>
      </c>
      <c r="L398" s="723" t="e">
        <f>IF(OR(S398=#REF!,S398=#REF!,S398=#REF!,S398=#REF!,S398=#REF!,S398=#REF!,S398=#REF!,S398=#REF!),12,IF(OR(S398=#REF!,S398=#REF!,S398=#REF!,S398=#REF!,S398=#REF!,S398=#REF!,S398=#REF!),3,IF(S398=#REF!,1,IF(S398=#REF!,18,IF(OR(S398=#REF!,S398=#REF!,S398=#REF!,S398=#REF!,S398=#REF!),14,"Invalid proposed procurement method")))))</f>
        <v>#REF!</v>
      </c>
      <c r="M398" s="1383" t="str">
        <f>IFERROR(EDATE($N398,-3),"Invalid procurement method or date entered")</f>
        <v>Invalid procurement method or date entered</v>
      </c>
      <c r="N398" s="1246" t="str">
        <f>IFERROR(EDATE(O398,-L398),"Invalid procurement method or date entered")</f>
        <v>Invalid procurement method or date entered</v>
      </c>
      <c r="O398" s="1246">
        <v>44957</v>
      </c>
      <c r="P398" s="741">
        <v>56</v>
      </c>
      <c r="Q398" s="719" t="s">
        <v>1329</v>
      </c>
      <c r="R398" s="807">
        <v>55000</v>
      </c>
      <c r="S398" s="792" t="s">
        <v>130</v>
      </c>
      <c r="T398" s="723" t="s">
        <v>62</v>
      </c>
      <c r="U398" s="741" t="s">
        <v>67</v>
      </c>
      <c r="V398" s="741"/>
      <c r="W398" s="723" t="s">
        <v>1330</v>
      </c>
      <c r="X398" s="723" t="s">
        <v>189</v>
      </c>
      <c r="Y398" s="723" t="s">
        <v>40</v>
      </c>
      <c r="Z398" s="723" t="s">
        <v>154</v>
      </c>
      <c r="AA398" s="723" t="s">
        <v>70</v>
      </c>
      <c r="AB398" s="1246" t="s">
        <v>574</v>
      </c>
      <c r="AC398" s="1516" t="s">
        <v>1331</v>
      </c>
      <c r="AD398" s="1262" t="s">
        <v>164</v>
      </c>
      <c r="AE398" s="807"/>
      <c r="AF398" t="str">
        <f t="shared" ca="1" si="27"/>
        <v>N/A</v>
      </c>
      <c r="AG398" s="906"/>
    </row>
    <row r="399" spans="1:33" s="1642" customFormat="1" ht="189" customHeight="1">
      <c r="A399" s="749"/>
      <c r="B399" s="737" t="s">
        <v>44</v>
      </c>
      <c r="C399" s="738" t="s">
        <v>45</v>
      </c>
      <c r="D399" s="739" t="s">
        <v>32</v>
      </c>
      <c r="E399" s="794" t="s">
        <v>449</v>
      </c>
      <c r="F399" s="739" t="s">
        <v>361</v>
      </c>
      <c r="G399" s="2192" t="s">
        <v>569</v>
      </c>
      <c r="H399" s="710" t="s">
        <v>33</v>
      </c>
      <c r="I399" s="710" t="s">
        <v>34</v>
      </c>
      <c r="J399" s="931" t="s">
        <v>1332</v>
      </c>
      <c r="K399" s="710" t="s">
        <v>1333</v>
      </c>
      <c r="L399" s="710">
        <v>1</v>
      </c>
      <c r="M399" s="769">
        <f>IFERROR(EDATE($N399,-3),"Invalid procurement method or date entered")</f>
        <v>44835</v>
      </c>
      <c r="N399" s="769">
        <f>IFERROR(EDATE(O399,-L399),"Invalid procurement method or date entered")</f>
        <v>44927</v>
      </c>
      <c r="O399" s="769">
        <v>44958</v>
      </c>
      <c r="P399" s="750">
        <v>36</v>
      </c>
      <c r="Q399" s="719" t="s">
        <v>1091</v>
      </c>
      <c r="R399" s="937">
        <v>104016</v>
      </c>
      <c r="S399" s="708" t="s">
        <v>130</v>
      </c>
      <c r="T399" s="836" t="s">
        <v>62</v>
      </c>
      <c r="U399" s="837" t="s">
        <v>67</v>
      </c>
      <c r="V399" s="837"/>
      <c r="W399" s="710" t="s">
        <v>383</v>
      </c>
      <c r="X399" s="710" t="s">
        <v>1334</v>
      </c>
      <c r="Y399" s="710" t="s">
        <v>40</v>
      </c>
      <c r="Z399" s="710"/>
      <c r="AA399" s="750" t="s">
        <v>38</v>
      </c>
      <c r="AB399" s="1246" t="s">
        <v>574</v>
      </c>
      <c r="AC399" s="2210" t="s">
        <v>1335</v>
      </c>
      <c r="AD399" s="723" t="s">
        <v>443</v>
      </c>
      <c r="AE399" s="793">
        <v>34672</v>
      </c>
      <c r="AF399" t="str">
        <f t="shared" ca="1" si="27"/>
        <v>N/A</v>
      </c>
      <c r="AG399" s="906"/>
    </row>
    <row r="400" spans="1:33" s="2219" customFormat="1" ht="15" customHeight="1">
      <c r="A400" s="749">
        <v>44785</v>
      </c>
      <c r="B400" s="737" t="s">
        <v>44</v>
      </c>
      <c r="C400" s="2172">
        <v>64684</v>
      </c>
      <c r="D400" s="739" t="s">
        <v>32</v>
      </c>
      <c r="E400" s="794" t="s">
        <v>449</v>
      </c>
      <c r="F400" s="739" t="s">
        <v>361</v>
      </c>
      <c r="G400" s="1455" t="s">
        <v>569</v>
      </c>
      <c r="H400" s="710" t="s">
        <v>33</v>
      </c>
      <c r="I400" s="738" t="s">
        <v>47</v>
      </c>
      <c r="J400" s="931" t="s">
        <v>1336</v>
      </c>
      <c r="K400" s="710" t="s">
        <v>1337</v>
      </c>
      <c r="L400" s="710">
        <v>5</v>
      </c>
      <c r="M400" s="769">
        <f>IFERROR(EDATE($N400,-3),"Invalid procurement method or date entered")</f>
        <v>44774</v>
      </c>
      <c r="N400" s="769">
        <f>IFERROR(EDATE(O400,-L400),"Invalid procurement method or date entered")</f>
        <v>44866</v>
      </c>
      <c r="O400" s="769">
        <v>45017</v>
      </c>
      <c r="P400" s="740">
        <v>48</v>
      </c>
      <c r="Q400" s="2200" t="s">
        <v>258</v>
      </c>
      <c r="R400" s="2252">
        <v>121712.8</v>
      </c>
      <c r="S400" s="1312" t="s">
        <v>84</v>
      </c>
      <c r="T400" s="1325" t="s">
        <v>62</v>
      </c>
      <c r="U400" s="2204" t="s">
        <v>67</v>
      </c>
      <c r="V400" s="2204"/>
      <c r="W400" s="710" t="s">
        <v>142</v>
      </c>
      <c r="X400" s="710" t="s">
        <v>780</v>
      </c>
      <c r="Y400" s="710" t="s">
        <v>40</v>
      </c>
      <c r="Z400" s="710"/>
      <c r="AA400" s="710" t="s">
        <v>70</v>
      </c>
      <c r="AB400" s="1246" t="s">
        <v>574</v>
      </c>
      <c r="AC400" s="1283" t="s">
        <v>1338</v>
      </c>
      <c r="AD400" s="723" t="s">
        <v>145</v>
      </c>
      <c r="AE400" s="793">
        <v>27160</v>
      </c>
      <c r="AF400" t="str">
        <f t="shared" ca="1" si="27"/>
        <v>N/A</v>
      </c>
      <c r="AG400" s="906"/>
    </row>
    <row r="401" spans="1:33" s="906" customFormat="1" ht="26.5">
      <c r="A401" s="1444" t="s">
        <v>1170</v>
      </c>
      <c r="B401" s="1633" t="s">
        <v>44</v>
      </c>
      <c r="C401" s="1632" t="s">
        <v>1339</v>
      </c>
      <c r="D401" s="1632" t="s">
        <v>1340</v>
      </c>
      <c r="E401" s="1631" t="s">
        <v>1341</v>
      </c>
      <c r="F401" s="1632" t="s">
        <v>1103</v>
      </c>
      <c r="G401" s="940" t="s">
        <v>1342</v>
      </c>
      <c r="H401" s="1632" t="s">
        <v>1340</v>
      </c>
      <c r="I401" s="1632" t="s">
        <v>1343</v>
      </c>
      <c r="J401" s="1444" t="s">
        <v>1344</v>
      </c>
      <c r="K401" s="1632" t="s">
        <v>1170</v>
      </c>
      <c r="L401" s="1444" t="s">
        <v>1170</v>
      </c>
      <c r="M401" s="1444" t="s">
        <v>1170</v>
      </c>
      <c r="N401" s="1444" t="s">
        <v>1170</v>
      </c>
      <c r="O401" s="1637">
        <v>44562</v>
      </c>
      <c r="P401" s="1632">
        <v>24</v>
      </c>
      <c r="Q401" s="1632" t="s">
        <v>1345</v>
      </c>
      <c r="R401" s="1638">
        <v>40000</v>
      </c>
      <c r="S401" s="1632" t="s">
        <v>1346</v>
      </c>
      <c r="T401" s="1632" t="s">
        <v>1170</v>
      </c>
      <c r="U401" s="1632" t="s">
        <v>1170</v>
      </c>
      <c r="V401" s="1632"/>
      <c r="W401" s="1632" t="s">
        <v>1347</v>
      </c>
      <c r="X401" s="1632" t="s">
        <v>1170</v>
      </c>
      <c r="Y401" s="1632" t="s">
        <v>1348</v>
      </c>
      <c r="Z401" s="1634" t="s">
        <v>1170</v>
      </c>
      <c r="AA401" s="1632" t="s">
        <v>1170</v>
      </c>
      <c r="AB401" s="1246" t="s">
        <v>574</v>
      </c>
      <c r="AC401" s="2217" t="s">
        <v>1170</v>
      </c>
      <c r="AD401" s="1447" t="s">
        <v>1170</v>
      </c>
      <c r="AE401" s="1447" t="s">
        <v>1170</v>
      </c>
      <c r="AF401" t="str">
        <f t="shared" ca="1" si="27"/>
        <v>N/A</v>
      </c>
    </row>
    <row r="402" spans="1:33" s="906" customFormat="1" ht="91">
      <c r="A402" s="1444" t="s">
        <v>1170</v>
      </c>
      <c r="B402" s="1633" t="s">
        <v>56</v>
      </c>
      <c r="C402" s="1632" t="s">
        <v>1349</v>
      </c>
      <c r="D402" s="1632" t="s">
        <v>1350</v>
      </c>
      <c r="E402" s="1631" t="s">
        <v>1341</v>
      </c>
      <c r="F402" s="1631" t="s">
        <v>630</v>
      </c>
      <c r="G402" s="2194" t="s">
        <v>1121</v>
      </c>
      <c r="H402" s="1632" t="s">
        <v>1351</v>
      </c>
      <c r="I402" s="1632" t="s">
        <v>34</v>
      </c>
      <c r="J402" s="1444" t="s">
        <v>1352</v>
      </c>
      <c r="K402" s="1632" t="s">
        <v>1353</v>
      </c>
      <c r="L402" s="1444" t="s">
        <v>1170</v>
      </c>
      <c r="M402" s="1444" t="s">
        <v>1170</v>
      </c>
      <c r="N402" s="1444" t="s">
        <v>1170</v>
      </c>
      <c r="O402" s="1637">
        <v>44986</v>
      </c>
      <c r="P402" s="1632">
        <v>48</v>
      </c>
      <c r="Q402" s="1632" t="s">
        <v>1354</v>
      </c>
      <c r="R402" s="1638">
        <v>41000</v>
      </c>
      <c r="S402" s="1632" t="e">
        <v>#REF!</v>
      </c>
      <c r="T402" s="1632" t="s">
        <v>1170</v>
      </c>
      <c r="U402" s="1632" t="s">
        <v>1170</v>
      </c>
      <c r="V402" s="1632"/>
      <c r="W402" s="1632" t="s">
        <v>1355</v>
      </c>
      <c r="X402" s="1632" t="s">
        <v>1170</v>
      </c>
      <c r="Y402" s="1632" t="s">
        <v>1348</v>
      </c>
      <c r="Z402" s="1634" t="s">
        <v>1170</v>
      </c>
      <c r="AA402" s="1632" t="s">
        <v>1170</v>
      </c>
      <c r="AB402" s="1246" t="s">
        <v>574</v>
      </c>
      <c r="AC402" s="2217" t="s">
        <v>1170</v>
      </c>
      <c r="AD402" s="1447" t="s">
        <v>1170</v>
      </c>
      <c r="AE402" s="1447" t="s">
        <v>1170</v>
      </c>
      <c r="AF402" t="str">
        <f t="shared" ca="1" si="27"/>
        <v>N/A</v>
      </c>
    </row>
    <row r="403" spans="1:33" s="1642" customFormat="1" ht="189" customHeight="1">
      <c r="A403" s="749"/>
      <c r="B403" s="737" t="s">
        <v>44</v>
      </c>
      <c r="C403" s="695" t="s">
        <v>557</v>
      </c>
      <c r="D403" s="739" t="s">
        <v>709</v>
      </c>
      <c r="E403" s="794" t="s">
        <v>449</v>
      </c>
      <c r="F403" s="1311" t="s">
        <v>361</v>
      </c>
      <c r="G403" s="1449" t="s">
        <v>569</v>
      </c>
      <c r="H403" s="710" t="s">
        <v>33</v>
      </c>
      <c r="I403" s="838" t="s">
        <v>268</v>
      </c>
      <c r="J403" s="709" t="s">
        <v>1356</v>
      </c>
      <c r="K403" s="710" t="s">
        <v>1357</v>
      </c>
      <c r="L403" s="710">
        <v>5</v>
      </c>
      <c r="M403" s="769">
        <f>IFERROR(EDATE($N403,-3),"Invalid procurement method or date entered")</f>
        <v>44773</v>
      </c>
      <c r="N403" s="769">
        <f>IFERROR(EDATE(O403,-L403),"Invalid procurement method or date entered")</f>
        <v>44865</v>
      </c>
      <c r="O403" s="859">
        <v>45016</v>
      </c>
      <c r="P403" s="830">
        <v>96</v>
      </c>
      <c r="Q403" s="831" t="s">
        <v>560</v>
      </c>
      <c r="R403" s="937">
        <v>177098</v>
      </c>
      <c r="S403" s="708" t="s">
        <v>270</v>
      </c>
      <c r="T403" s="710" t="s">
        <v>612</v>
      </c>
      <c r="U403" s="738" t="s">
        <v>67</v>
      </c>
      <c r="V403" s="738"/>
      <c r="W403" s="808" t="s">
        <v>1358</v>
      </c>
      <c r="X403" s="808" t="s">
        <v>561</v>
      </c>
      <c r="Y403" s="710" t="s">
        <v>40</v>
      </c>
      <c r="Z403" s="710" t="s">
        <v>154</v>
      </c>
      <c r="AA403" s="710" t="s">
        <v>38</v>
      </c>
      <c r="AB403" s="1246" t="s">
        <v>574</v>
      </c>
      <c r="AC403" s="1298" t="s">
        <v>1359</v>
      </c>
      <c r="AD403" s="723" t="s">
        <v>164</v>
      </c>
      <c r="AE403" s="793">
        <v>13680</v>
      </c>
      <c r="AF403" t="str">
        <f t="shared" ca="1" si="27"/>
        <v>N/A</v>
      </c>
      <c r="AG403" s="908"/>
    </row>
    <row r="404" spans="1:33" s="906" customFormat="1" ht="85.5" customHeight="1">
      <c r="A404" s="749"/>
      <c r="B404" s="725" t="s">
        <v>56</v>
      </c>
      <c r="C404" s="726">
        <v>47834</v>
      </c>
      <c r="D404" s="727" t="s">
        <v>57</v>
      </c>
      <c r="E404" s="794" t="s">
        <v>449</v>
      </c>
      <c r="F404" s="1385" t="s">
        <v>630</v>
      </c>
      <c r="G404" s="1451" t="s">
        <v>1360</v>
      </c>
      <c r="H404" s="730" t="s">
        <v>58</v>
      </c>
      <c r="I404" s="1348" t="s">
        <v>47</v>
      </c>
      <c r="J404" s="709" t="s">
        <v>1361</v>
      </c>
      <c r="K404" s="710"/>
      <c r="L404" s="730">
        <v>12</v>
      </c>
      <c r="M404" s="731">
        <f>IF(O404="tbc","",(IFERROR(EDATE($N404,-3),"Invalid procurement method or date entered")))</f>
        <v>44727</v>
      </c>
      <c r="N404" s="712">
        <f>IF(O404="tbc","",(IFERROR(EDATE(O404,-L404),"Invalid procurement method or date entered")))</f>
        <v>44819</v>
      </c>
      <c r="O404" s="711">
        <v>45184</v>
      </c>
      <c r="P404" s="732">
        <v>18</v>
      </c>
      <c r="Q404" s="733">
        <v>18</v>
      </c>
      <c r="R404" s="742">
        <v>60349000</v>
      </c>
      <c r="S404" s="734" t="s">
        <v>158</v>
      </c>
      <c r="T404" s="711" t="s">
        <v>310</v>
      </c>
      <c r="U404" s="711" t="s">
        <v>60</v>
      </c>
      <c r="V404" s="711"/>
      <c r="W404" s="710" t="s">
        <v>1362</v>
      </c>
      <c r="X404" s="726" t="s">
        <v>312</v>
      </c>
      <c r="Y404" s="812" t="s">
        <v>40</v>
      </c>
      <c r="Z404" s="762" t="s">
        <v>69</v>
      </c>
      <c r="AA404" s="695" t="s">
        <v>70</v>
      </c>
      <c r="AB404" s="2222" t="s">
        <v>574</v>
      </c>
      <c r="AC404" s="1293" t="s">
        <v>1363</v>
      </c>
      <c r="AD404" s="1286"/>
      <c r="AE404" s="1286"/>
      <c r="AF404" t="str">
        <f t="shared" ca="1" si="27"/>
        <v>N/A</v>
      </c>
    </row>
    <row r="405" spans="1:33" s="906" customFormat="1" ht="52.5">
      <c r="A405" s="1444" t="s">
        <v>1170</v>
      </c>
      <c r="B405" s="1633" t="s">
        <v>56</v>
      </c>
      <c r="C405" s="1632" t="s">
        <v>1364</v>
      </c>
      <c r="D405" s="1632" t="s">
        <v>1365</v>
      </c>
      <c r="E405" s="1631" t="s">
        <v>1341</v>
      </c>
      <c r="F405" s="1630" t="s">
        <v>1270</v>
      </c>
      <c r="G405" s="1490" t="s">
        <v>1366</v>
      </c>
      <c r="H405" s="1632" t="s">
        <v>1367</v>
      </c>
      <c r="I405" s="1632" t="s">
        <v>34</v>
      </c>
      <c r="J405" s="1444" t="s">
        <v>1368</v>
      </c>
      <c r="K405" s="1632" t="s">
        <v>1369</v>
      </c>
      <c r="L405" s="1444" t="s">
        <v>1170</v>
      </c>
      <c r="M405" s="1444" t="s">
        <v>1170</v>
      </c>
      <c r="N405" s="1444" t="s">
        <v>1170</v>
      </c>
      <c r="O405" s="1637">
        <v>45017</v>
      </c>
      <c r="P405" s="1632">
        <v>84</v>
      </c>
      <c r="Q405" s="1632" t="s">
        <v>1370</v>
      </c>
      <c r="R405" s="1638">
        <v>8400000</v>
      </c>
      <c r="S405" s="1632" t="s">
        <v>1346</v>
      </c>
      <c r="T405" s="1632" t="s">
        <v>1170</v>
      </c>
      <c r="U405" s="1632" t="s">
        <v>1170</v>
      </c>
      <c r="V405" s="1632"/>
      <c r="W405" s="1632" t="s">
        <v>1371</v>
      </c>
      <c r="X405" s="1632" t="s">
        <v>1170</v>
      </c>
      <c r="Y405" s="1632" t="s">
        <v>1348</v>
      </c>
      <c r="Z405" s="1634" t="s">
        <v>1170</v>
      </c>
      <c r="AA405" s="1632" t="s">
        <v>1170</v>
      </c>
      <c r="AB405" s="2222" t="s">
        <v>574</v>
      </c>
      <c r="AC405" s="2217" t="s">
        <v>1372</v>
      </c>
      <c r="AD405" s="1447" t="s">
        <v>1170</v>
      </c>
      <c r="AE405" s="1447" t="s">
        <v>1170</v>
      </c>
      <c r="AF405" t="str">
        <f t="shared" ca="1" si="27"/>
        <v>N/A</v>
      </c>
    </row>
    <row r="406" spans="1:33" s="906" customFormat="1" ht="91">
      <c r="A406" s="749" t="s">
        <v>71</v>
      </c>
      <c r="B406" s="696" t="s">
        <v>100</v>
      </c>
      <c r="C406" s="2172">
        <v>52174</v>
      </c>
      <c r="D406" s="1169" t="s">
        <v>32</v>
      </c>
      <c r="E406" s="794" t="s">
        <v>449</v>
      </c>
      <c r="F406" s="698" t="s">
        <v>1373</v>
      </c>
      <c r="G406" s="2191" t="s">
        <v>1374</v>
      </c>
      <c r="H406" s="700" t="s">
        <v>103</v>
      </c>
      <c r="I406" s="914" t="s">
        <v>47</v>
      </c>
      <c r="J406" s="718" t="s">
        <v>1375</v>
      </c>
      <c r="K406" s="1179"/>
      <c r="L406" s="914">
        <v>12</v>
      </c>
      <c r="M406" s="1379">
        <f>IFERROR(EDATE(N406,-3),"Invalid procurement method or date entered")</f>
        <v>44378</v>
      </c>
      <c r="N406" s="1360">
        <f>IFERROR(EDATE(O406,-L406),"Invalid procurement method or date entered")</f>
        <v>44470</v>
      </c>
      <c r="O406" s="2197">
        <v>44835</v>
      </c>
      <c r="P406" s="1363">
        <v>36</v>
      </c>
      <c r="Q406" s="1363">
        <v>36</v>
      </c>
      <c r="R406" s="1313">
        <v>240000</v>
      </c>
      <c r="S406" s="2202" t="s">
        <v>176</v>
      </c>
      <c r="T406" s="723" t="s">
        <v>70</v>
      </c>
      <c r="U406" s="792">
        <v>44525</v>
      </c>
      <c r="V406" s="792"/>
      <c r="W406" s="723" t="s">
        <v>357</v>
      </c>
      <c r="X406" s="914" t="s">
        <v>125</v>
      </c>
      <c r="Y406" s="914" t="s">
        <v>40</v>
      </c>
      <c r="Z406" s="723" t="s">
        <v>69</v>
      </c>
      <c r="AA406" s="1380" t="s">
        <v>70</v>
      </c>
      <c r="AB406" s="2222" t="s">
        <v>574</v>
      </c>
      <c r="AC406" s="2208" t="s">
        <v>1376</v>
      </c>
      <c r="AD406" s="1375"/>
      <c r="AE406" s="794"/>
      <c r="AF406" t="str">
        <f t="shared" ca="1" si="27"/>
        <v>N/A</v>
      </c>
    </row>
    <row r="407" spans="1:33" s="906" customFormat="1" ht="52">
      <c r="A407" s="749">
        <v>44851</v>
      </c>
      <c r="B407" s="706" t="s">
        <v>44</v>
      </c>
      <c r="C407" s="707" t="s">
        <v>1377</v>
      </c>
      <c r="D407" s="708" t="s">
        <v>32</v>
      </c>
      <c r="E407" s="794" t="s">
        <v>449</v>
      </c>
      <c r="F407" s="698" t="s">
        <v>361</v>
      </c>
      <c r="G407" s="1455" t="s">
        <v>362</v>
      </c>
      <c r="H407" s="710" t="s">
        <v>403</v>
      </c>
      <c r="I407" s="710" t="s">
        <v>47</v>
      </c>
      <c r="J407" s="709" t="s">
        <v>1378</v>
      </c>
      <c r="K407" s="710" t="s">
        <v>1379</v>
      </c>
      <c r="L407" s="710">
        <v>3</v>
      </c>
      <c r="M407" s="711">
        <v>44851</v>
      </c>
      <c r="N407" s="712"/>
      <c r="O407" s="713">
        <v>45017</v>
      </c>
      <c r="P407" s="714">
        <v>3</v>
      </c>
      <c r="Q407" s="715">
        <v>3</v>
      </c>
      <c r="R407" s="742">
        <v>138044</v>
      </c>
      <c r="S407" s="716" t="s">
        <v>75</v>
      </c>
      <c r="T407" s="710" t="s">
        <v>62</v>
      </c>
      <c r="U407" s="711" t="s">
        <v>45</v>
      </c>
      <c r="V407" s="711"/>
      <c r="W407" s="710" t="s">
        <v>1380</v>
      </c>
      <c r="X407" s="710" t="s">
        <v>1013</v>
      </c>
      <c r="Y407" s="695" t="s">
        <v>40</v>
      </c>
      <c r="Z407" s="710"/>
      <c r="AA407" s="695" t="s">
        <v>70</v>
      </c>
      <c r="AB407" s="2222" t="s">
        <v>574</v>
      </c>
      <c r="AC407" s="1283" t="s">
        <v>1381</v>
      </c>
      <c r="AD407" s="723"/>
      <c r="AE407" s="723"/>
      <c r="AF407" t="str">
        <f t="shared" ca="1" si="27"/>
        <v>N/A</v>
      </c>
    </row>
    <row r="408" spans="1:33" s="906" customFormat="1" ht="52">
      <c r="A408" s="749">
        <v>44747</v>
      </c>
      <c r="B408" s="725" t="s">
        <v>56</v>
      </c>
      <c r="C408" s="726">
        <v>59506</v>
      </c>
      <c r="D408" s="727" t="s">
        <v>348</v>
      </c>
      <c r="E408" s="794" t="s">
        <v>449</v>
      </c>
      <c r="F408" s="1385" t="s">
        <v>630</v>
      </c>
      <c r="G408" s="1451" t="s">
        <v>362</v>
      </c>
      <c r="H408" s="730" t="s">
        <v>58</v>
      </c>
      <c r="I408" s="726" t="s">
        <v>47</v>
      </c>
      <c r="J408" s="729" t="s">
        <v>1382</v>
      </c>
      <c r="K408" s="726"/>
      <c r="L408" s="730">
        <v>3</v>
      </c>
      <c r="M408" s="731">
        <v>44805</v>
      </c>
      <c r="N408" s="712" t="s">
        <v>60</v>
      </c>
      <c r="O408" s="759">
        <v>44958</v>
      </c>
      <c r="P408" s="760">
        <v>2</v>
      </c>
      <c r="Q408" s="761">
        <v>2</v>
      </c>
      <c r="R408" s="742">
        <f>420782+181300+169994+57240</f>
        <v>829316</v>
      </c>
      <c r="S408" s="734" t="s">
        <v>61</v>
      </c>
      <c r="T408" s="711" t="s">
        <v>71</v>
      </c>
      <c r="U408" s="711" t="s">
        <v>589</v>
      </c>
      <c r="V408" s="711"/>
      <c r="W408" s="726" t="s">
        <v>943</v>
      </c>
      <c r="X408" s="730" t="s">
        <v>1013</v>
      </c>
      <c r="Y408" s="812" t="s">
        <v>40</v>
      </c>
      <c r="Z408" s="762" t="s">
        <v>69</v>
      </c>
      <c r="AA408" s="695" t="s">
        <v>70</v>
      </c>
      <c r="AB408" s="2222" t="s">
        <v>574</v>
      </c>
      <c r="AC408" s="1278" t="s">
        <v>1383</v>
      </c>
      <c r="AD408" s="1165"/>
      <c r="AE408" s="1165"/>
      <c r="AF408" t="str">
        <f t="shared" ca="1" si="27"/>
        <v>N/A</v>
      </c>
    </row>
    <row r="409" spans="1:33" s="906" customFormat="1" ht="39.5">
      <c r="A409" s="1444" t="s">
        <v>1170</v>
      </c>
      <c r="B409" s="1633" t="s">
        <v>56</v>
      </c>
      <c r="C409" s="1632" t="s">
        <v>1384</v>
      </c>
      <c r="D409" s="1632" t="s">
        <v>1350</v>
      </c>
      <c r="E409" s="1631" t="s">
        <v>1341</v>
      </c>
      <c r="F409" s="1631" t="s">
        <v>630</v>
      </c>
      <c r="G409" s="2194" t="s">
        <v>1170</v>
      </c>
      <c r="H409" s="1632" t="s">
        <v>1351</v>
      </c>
      <c r="I409" s="1632" t="s">
        <v>1343</v>
      </c>
      <c r="J409" s="1444" t="s">
        <v>1385</v>
      </c>
      <c r="K409" s="1632" t="s">
        <v>1170</v>
      </c>
      <c r="L409" s="1444" t="s">
        <v>1170</v>
      </c>
      <c r="M409" s="1444" t="s">
        <v>1170</v>
      </c>
      <c r="N409" s="1444" t="s">
        <v>1170</v>
      </c>
      <c r="O409" s="1637">
        <v>44835</v>
      </c>
      <c r="P409" s="1632" t="s">
        <v>1170</v>
      </c>
      <c r="Q409" s="1632" t="s">
        <v>1386</v>
      </c>
      <c r="R409" s="1638">
        <v>90000</v>
      </c>
      <c r="S409" s="1632" t="s">
        <v>1346</v>
      </c>
      <c r="T409" s="1632" t="s">
        <v>1170</v>
      </c>
      <c r="U409" s="1632" t="s">
        <v>1170</v>
      </c>
      <c r="V409" s="1632"/>
      <c r="W409" s="1632" t="s">
        <v>1387</v>
      </c>
      <c r="X409" s="1632" t="s">
        <v>1170</v>
      </c>
      <c r="Y409" s="1632" t="s">
        <v>1348</v>
      </c>
      <c r="Z409" s="1634" t="s">
        <v>1170</v>
      </c>
      <c r="AA409" s="1632" t="s">
        <v>1170</v>
      </c>
      <c r="AB409" s="2222" t="s">
        <v>574</v>
      </c>
      <c r="AC409" s="2217" t="s">
        <v>1388</v>
      </c>
      <c r="AD409" s="1447" t="s">
        <v>1170</v>
      </c>
      <c r="AE409" s="1447">
        <v>18000</v>
      </c>
      <c r="AF409" t="str">
        <f t="shared" ca="1" si="27"/>
        <v>N/A</v>
      </c>
    </row>
    <row r="410" spans="1:33" s="2259" customFormat="1" ht="26.5">
      <c r="A410" s="1444" t="s">
        <v>1170</v>
      </c>
      <c r="B410" s="1633" t="s">
        <v>56</v>
      </c>
      <c r="C410" s="1632" t="s">
        <v>1389</v>
      </c>
      <c r="D410" s="1632" t="s">
        <v>1390</v>
      </c>
      <c r="E410" s="1631" t="s">
        <v>1341</v>
      </c>
      <c r="F410" s="1631" t="s">
        <v>1270</v>
      </c>
      <c r="G410" s="2194" t="s">
        <v>1366</v>
      </c>
      <c r="H410" s="1632" t="s">
        <v>1390</v>
      </c>
      <c r="I410" s="1632" t="s">
        <v>34</v>
      </c>
      <c r="J410" s="1444" t="s">
        <v>1391</v>
      </c>
      <c r="K410" s="1632" t="s">
        <v>1392</v>
      </c>
      <c r="L410" s="1444" t="s">
        <v>1170</v>
      </c>
      <c r="M410" s="1444" t="s">
        <v>1170</v>
      </c>
      <c r="N410" s="1444" t="s">
        <v>1170</v>
      </c>
      <c r="O410" s="1637">
        <v>45017</v>
      </c>
      <c r="P410" s="1632">
        <v>48</v>
      </c>
      <c r="Q410" s="1632" t="s">
        <v>1354</v>
      </c>
      <c r="R410" s="1638">
        <v>640000</v>
      </c>
      <c r="S410" s="1632" t="s">
        <v>1346</v>
      </c>
      <c r="T410" s="1632" t="s">
        <v>1170</v>
      </c>
      <c r="U410" s="1632" t="s">
        <v>1170</v>
      </c>
      <c r="V410" s="1632"/>
      <c r="W410" s="1632" t="s">
        <v>1393</v>
      </c>
      <c r="X410" s="1632" t="s">
        <v>1170</v>
      </c>
      <c r="Y410" s="1632" t="s">
        <v>1170</v>
      </c>
      <c r="Z410" s="1634" t="s">
        <v>1170</v>
      </c>
      <c r="AA410" s="1632" t="s">
        <v>1170</v>
      </c>
      <c r="AB410" s="2222" t="s">
        <v>574</v>
      </c>
      <c r="AC410" s="2217" t="s">
        <v>1170</v>
      </c>
      <c r="AD410" s="1447" t="s">
        <v>1170</v>
      </c>
      <c r="AE410" s="1447" t="s">
        <v>1170</v>
      </c>
      <c r="AF410" t="str">
        <f t="shared" ca="1" si="27"/>
        <v>N/A</v>
      </c>
      <c r="AG410" s="906"/>
    </row>
    <row r="411" spans="1:33" s="906" customFormat="1" ht="39">
      <c r="A411" s="749" t="s">
        <v>71</v>
      </c>
      <c r="B411" s="737" t="s">
        <v>44</v>
      </c>
      <c r="C411" s="695" t="s">
        <v>660</v>
      </c>
      <c r="D411" s="782" t="s">
        <v>32</v>
      </c>
      <c r="E411" s="794" t="s">
        <v>449</v>
      </c>
      <c r="F411" s="1407" t="s">
        <v>1067</v>
      </c>
      <c r="G411" s="1517" t="s">
        <v>862</v>
      </c>
      <c r="H411" s="801" t="s">
        <v>661</v>
      </c>
      <c r="I411" s="695" t="s">
        <v>268</v>
      </c>
      <c r="J411" s="709" t="s">
        <v>662</v>
      </c>
      <c r="K411" s="710" t="s">
        <v>663</v>
      </c>
      <c r="L411" s="695">
        <v>3</v>
      </c>
      <c r="M411" s="1235">
        <v>44616</v>
      </c>
      <c r="N411" s="1235">
        <v>44858</v>
      </c>
      <c r="O411" s="1235">
        <v>45017</v>
      </c>
      <c r="P411" s="752">
        <v>48</v>
      </c>
      <c r="Q411" s="2195" t="s">
        <v>1394</v>
      </c>
      <c r="R411" s="742">
        <v>785250</v>
      </c>
      <c r="S411" s="801" t="s">
        <v>270</v>
      </c>
      <c r="T411" s="840" t="s">
        <v>310</v>
      </c>
      <c r="U411" s="2221">
        <v>44985</v>
      </c>
      <c r="V411" s="2221"/>
      <c r="W411" s="710" t="s">
        <v>664</v>
      </c>
      <c r="X411" s="801" t="s">
        <v>283</v>
      </c>
      <c r="Y411" s="695" t="s">
        <v>40</v>
      </c>
      <c r="Z411" s="695" t="s">
        <v>69</v>
      </c>
      <c r="AA411" s="752" t="s">
        <v>70</v>
      </c>
      <c r="AB411" s="2222" t="s">
        <v>574</v>
      </c>
      <c r="AC411" s="2212" t="s">
        <v>1395</v>
      </c>
      <c r="AD411" s="723" t="s">
        <v>506</v>
      </c>
      <c r="AE411" s="719"/>
      <c r="AF411" t="str">
        <f t="shared" ca="1" si="27"/>
        <v>N/A</v>
      </c>
    </row>
    <row r="412" spans="1:33" s="906" customFormat="1" ht="78">
      <c r="A412" s="749"/>
      <c r="B412" s="841" t="s">
        <v>44</v>
      </c>
      <c r="C412" s="1277">
        <v>67809</v>
      </c>
      <c r="D412" s="1311" t="s">
        <v>32</v>
      </c>
      <c r="E412" s="794" t="s">
        <v>449</v>
      </c>
      <c r="F412" s="1311" t="s">
        <v>122</v>
      </c>
      <c r="G412" s="1455" t="s">
        <v>569</v>
      </c>
      <c r="H412" s="700" t="s">
        <v>33</v>
      </c>
      <c r="I412" s="723" t="s">
        <v>47</v>
      </c>
      <c r="J412" s="718" t="s">
        <v>140</v>
      </c>
      <c r="K412" s="1179" t="s">
        <v>1396</v>
      </c>
      <c r="L412" s="723" t="e">
        <f>IF(OR(S412=#REF!,S412=#REF!,S412=#REF!,S412=#REF!,S412=#REF!,S412=#REF!,S412=#REF!,S412=#REF!),12,IF(OR(S412=#REF!,S412=#REF!,S412=#REF!,S412=#REF!,S412=#REF!,S412=#REF!,S412=#REF!),3,IF(S412=#REF!,1,IF(S412=#REF!,18,IF(OR(S412=#REF!,S412=#REF!,S412=#REF!,S412=#REF!,S412=#REF!),14,"Invalid proposed procurement method")))))</f>
        <v>#REF!</v>
      </c>
      <c r="M412" s="1383" t="str">
        <f>IFERROR(EDATE($N412,-3),"Invalid procurement method or date entered")</f>
        <v>Invalid procurement method or date entered</v>
      </c>
      <c r="N412" s="792" t="str">
        <f>IFERROR(EDATE(O412,-L412),"Invalid procurement method or date entered")</f>
        <v>Invalid procurement method or date entered</v>
      </c>
      <c r="O412" s="1246">
        <v>45017</v>
      </c>
      <c r="P412" s="723">
        <v>48</v>
      </c>
      <c r="Q412" s="766" t="s">
        <v>258</v>
      </c>
      <c r="R412" s="807">
        <v>150400</v>
      </c>
      <c r="S412" s="723" t="s">
        <v>84</v>
      </c>
      <c r="T412" s="723" t="s">
        <v>62</v>
      </c>
      <c r="U412" s="741" t="s">
        <v>67</v>
      </c>
      <c r="V412" s="741"/>
      <c r="W412" s="723" t="s">
        <v>142</v>
      </c>
      <c r="X412" s="723" t="s">
        <v>780</v>
      </c>
      <c r="Y412" s="723" t="s">
        <v>40</v>
      </c>
      <c r="Z412" s="723" t="s">
        <v>69</v>
      </c>
      <c r="AA412" s="723" t="s">
        <v>70</v>
      </c>
      <c r="AB412" s="2222" t="s">
        <v>574</v>
      </c>
      <c r="AC412" s="2209" t="s">
        <v>1397</v>
      </c>
      <c r="AD412" s="1262" t="s">
        <v>145</v>
      </c>
      <c r="AE412" s="793">
        <v>37600</v>
      </c>
      <c r="AF412" t="str">
        <f t="shared" ca="1" si="27"/>
        <v>N/A</v>
      </c>
    </row>
    <row r="413" spans="1:33" s="906" customFormat="1" ht="52">
      <c r="A413" s="749" t="s">
        <v>71</v>
      </c>
      <c r="B413" s="737" t="s">
        <v>44</v>
      </c>
      <c r="C413" s="738">
        <v>68239</v>
      </c>
      <c r="D413" s="739" t="s">
        <v>32</v>
      </c>
      <c r="E413" s="794" t="s">
        <v>449</v>
      </c>
      <c r="F413" s="739" t="s">
        <v>361</v>
      </c>
      <c r="G413" s="1429" t="s">
        <v>569</v>
      </c>
      <c r="H413" s="710" t="s">
        <v>33</v>
      </c>
      <c r="I413" s="710" t="s">
        <v>47</v>
      </c>
      <c r="J413" s="709" t="s">
        <v>493</v>
      </c>
      <c r="K413" s="710" t="s">
        <v>1398</v>
      </c>
      <c r="L413" s="710">
        <v>10</v>
      </c>
      <c r="M413" s="769">
        <f>IFERROR(EDATE($N413,-3),"Invalid procurement method or date entered")</f>
        <v>44621</v>
      </c>
      <c r="N413" s="711">
        <f>IFERROR(EDATE(O413,-L413),"Invalid procurement method or date entered")</f>
        <v>44713</v>
      </c>
      <c r="O413" s="947">
        <v>45017</v>
      </c>
      <c r="P413" s="740">
        <v>48</v>
      </c>
      <c r="Q413" s="741" t="s">
        <v>258</v>
      </c>
      <c r="R413" s="742">
        <v>132000</v>
      </c>
      <c r="S413" s="743" t="s">
        <v>84</v>
      </c>
      <c r="T413" s="710" t="s">
        <v>1399</v>
      </c>
      <c r="U413" s="738" t="s">
        <v>67</v>
      </c>
      <c r="V413" s="738"/>
      <c r="W413" s="710" t="s">
        <v>76</v>
      </c>
      <c r="X413" s="710" t="s">
        <v>780</v>
      </c>
      <c r="Y413" s="710" t="s">
        <v>40</v>
      </c>
      <c r="Z413" s="710" t="s">
        <v>69</v>
      </c>
      <c r="AA413" s="710" t="s">
        <v>70</v>
      </c>
      <c r="AB413" s="2222" t="s">
        <v>574</v>
      </c>
      <c r="AC413" s="1283" t="s">
        <v>1400</v>
      </c>
      <c r="AD413" s="741" t="s">
        <v>385</v>
      </c>
      <c r="AE413" s="850">
        <v>33000</v>
      </c>
      <c r="AF413" t="str">
        <f t="shared" ca="1" si="27"/>
        <v>N/A</v>
      </c>
    </row>
    <row r="414" spans="1:33" s="906" customFormat="1" ht="104">
      <c r="A414" s="749" t="s">
        <v>71</v>
      </c>
      <c r="B414" s="737" t="s">
        <v>44</v>
      </c>
      <c r="C414" s="738">
        <v>69353</v>
      </c>
      <c r="D414" s="708" t="s">
        <v>32</v>
      </c>
      <c r="E414" s="794" t="s">
        <v>449</v>
      </c>
      <c r="F414" s="1311" t="s">
        <v>122</v>
      </c>
      <c r="G414" s="1455" t="s">
        <v>569</v>
      </c>
      <c r="H414" s="710" t="s">
        <v>33</v>
      </c>
      <c r="I414" s="710" t="s">
        <v>47</v>
      </c>
      <c r="J414" s="709" t="s">
        <v>535</v>
      </c>
      <c r="K414" s="710" t="s">
        <v>1401</v>
      </c>
      <c r="L414" s="710">
        <v>8</v>
      </c>
      <c r="M414" s="769">
        <f>IFERROR(EDATE($N414,-3),"Invalid procurement method or date entered")</f>
        <v>44723</v>
      </c>
      <c r="N414" s="769">
        <f>IFERROR(EDATE(O414,-L414),"Invalid procurement method or date entered")</f>
        <v>44815</v>
      </c>
      <c r="O414" s="769">
        <v>45057</v>
      </c>
      <c r="P414" s="750">
        <v>12</v>
      </c>
      <c r="Q414" s="766" t="s">
        <v>50</v>
      </c>
      <c r="R414" s="742">
        <v>20000</v>
      </c>
      <c r="S414" s="708" t="s">
        <v>51</v>
      </c>
      <c r="T414" s="710" t="s">
        <v>38</v>
      </c>
      <c r="U414" s="738" t="s">
        <v>67</v>
      </c>
      <c r="V414" s="738"/>
      <c r="W414" s="710" t="s">
        <v>142</v>
      </c>
      <c r="X414" s="710" t="s">
        <v>780</v>
      </c>
      <c r="Y414" s="784" t="s">
        <v>40</v>
      </c>
      <c r="Z414" s="710" t="s">
        <v>69</v>
      </c>
      <c r="AA414" s="710" t="s">
        <v>70</v>
      </c>
      <c r="AB414" s="2222" t="s">
        <v>574</v>
      </c>
      <c r="AC414" s="1283" t="s">
        <v>1402</v>
      </c>
      <c r="AD414" s="723" t="s">
        <v>145</v>
      </c>
      <c r="AE414" s="1255">
        <v>20000</v>
      </c>
      <c r="AF414" t="str">
        <f t="shared" ca="1" si="27"/>
        <v>N/A</v>
      </c>
    </row>
    <row r="415" spans="1:33" s="906" customFormat="1" ht="42.75" customHeight="1">
      <c r="A415" s="749"/>
      <c r="B415" s="737" t="s">
        <v>44</v>
      </c>
      <c r="C415" s="738" t="s">
        <v>589</v>
      </c>
      <c r="D415" s="708" t="s">
        <v>32</v>
      </c>
      <c r="E415" s="794" t="s">
        <v>449</v>
      </c>
      <c r="F415" s="739" t="s">
        <v>110</v>
      </c>
      <c r="G415" s="2192" t="s">
        <v>569</v>
      </c>
      <c r="H415" s="710" t="s">
        <v>33</v>
      </c>
      <c r="I415" s="710" t="s">
        <v>47</v>
      </c>
      <c r="J415" s="709" t="s">
        <v>1403</v>
      </c>
      <c r="K415" s="710" t="s">
        <v>1404</v>
      </c>
      <c r="L415" s="710" t="e">
        <f>IF(OR(S415=#REF!,S415=#REF!,S415=#REF!,S415=#REF!,S415=#REF!,S415=#REF!,S415=#REF!,S415=#REF!),12,IF(OR(S415=#REF!,S415=#REF!,S415=#REF!,S415=#REF!,S415=#REF!,S415=#REF!,S415=#REF!),3,IF(S415=#REF!,1,IF(S415=#REF!,18,IF(OR(S415=#REF!,S415=#REF!,S415=#REF!,S415=#REF!,S415=#REF!),14,"Invalid proposed procurement method")))))</f>
        <v>#REF!</v>
      </c>
      <c r="M415" s="769" t="str">
        <f>IFERROR(EDATE($N415,-3),"Invalid procurement method or date entered")</f>
        <v>Invalid procurement method or date entered</v>
      </c>
      <c r="N415" s="769" t="str">
        <f>IFERROR(EDATE(O415,-L415),"Invalid procurement method or date entered")</f>
        <v>Invalid procurement method or date entered</v>
      </c>
      <c r="O415" s="947">
        <v>45017</v>
      </c>
      <c r="P415" s="740">
        <v>12</v>
      </c>
      <c r="Q415" s="766" t="s">
        <v>50</v>
      </c>
      <c r="R415" s="742">
        <v>3000</v>
      </c>
      <c r="S415" s="708" t="s">
        <v>37</v>
      </c>
      <c r="T415" s="710" t="s">
        <v>38</v>
      </c>
      <c r="U415" s="738" t="s">
        <v>67</v>
      </c>
      <c r="V415" s="738"/>
      <c r="W415" s="710" t="s">
        <v>937</v>
      </c>
      <c r="X415" s="710" t="s">
        <v>780</v>
      </c>
      <c r="Y415" s="710" t="s">
        <v>40</v>
      </c>
      <c r="Z415" s="710" t="s">
        <v>154</v>
      </c>
      <c r="AA415" s="710" t="s">
        <v>70</v>
      </c>
      <c r="AB415" s="2222" t="s">
        <v>574</v>
      </c>
      <c r="AC415" s="1283" t="s">
        <v>1405</v>
      </c>
      <c r="AD415" s="741" t="s">
        <v>96</v>
      </c>
      <c r="AE415" s="1255">
        <v>3000</v>
      </c>
      <c r="AF415" t="str">
        <f t="shared" ca="1" si="27"/>
        <v>N/A</v>
      </c>
      <c r="AG415" s="901"/>
    </row>
    <row r="416" spans="1:33" s="906" customFormat="1" ht="26">
      <c r="A416" s="749">
        <v>44565</v>
      </c>
      <c r="B416" s="737" t="s">
        <v>44</v>
      </c>
      <c r="C416" s="738">
        <v>66261</v>
      </c>
      <c r="D416" s="1369" t="s">
        <v>709</v>
      </c>
      <c r="E416" s="794" t="s">
        <v>449</v>
      </c>
      <c r="F416" s="708" t="s">
        <v>361</v>
      </c>
      <c r="G416" s="1497" t="s">
        <v>1406</v>
      </c>
      <c r="H416" s="710" t="s">
        <v>33</v>
      </c>
      <c r="I416" s="842" t="s">
        <v>47</v>
      </c>
      <c r="J416" s="709" t="s">
        <v>1407</v>
      </c>
      <c r="K416" s="710" t="s">
        <v>843</v>
      </c>
      <c r="L416" s="710"/>
      <c r="M416" s="769">
        <v>44931</v>
      </c>
      <c r="N416" s="769"/>
      <c r="O416" s="1240">
        <v>44979</v>
      </c>
      <c r="P416" s="845">
        <v>37</v>
      </c>
      <c r="Q416" s="797" t="s">
        <v>1408</v>
      </c>
      <c r="R416" s="937">
        <v>580374.46</v>
      </c>
      <c r="S416" s="700" t="s">
        <v>84</v>
      </c>
      <c r="T416" s="700" t="s">
        <v>310</v>
      </c>
      <c r="U416" s="1506">
        <v>44967</v>
      </c>
      <c r="V416" s="1506"/>
      <c r="W416" s="842" t="s">
        <v>1409</v>
      </c>
      <c r="X416" s="700" t="s">
        <v>254</v>
      </c>
      <c r="Y416" s="700" t="s">
        <v>40</v>
      </c>
      <c r="Z416" s="710" t="s">
        <v>154</v>
      </c>
      <c r="AA416" s="884" t="s">
        <v>38</v>
      </c>
      <c r="AB416" s="2222" t="s">
        <v>574</v>
      </c>
      <c r="AC416" s="2215" t="s">
        <v>1410</v>
      </c>
      <c r="AD416" s="723" t="s">
        <v>164</v>
      </c>
      <c r="AE416" s="1289"/>
      <c r="AF416" t="str">
        <f t="shared" ca="1" si="27"/>
        <v>N/A</v>
      </c>
    </row>
    <row r="417" spans="1:33" s="1401" customFormat="1">
      <c r="A417" s="2618"/>
      <c r="B417" s="2619" t="s">
        <v>44</v>
      </c>
      <c r="C417" s="2620">
        <v>53588</v>
      </c>
      <c r="D417" s="2621" t="s">
        <v>32</v>
      </c>
      <c r="E417" s="2622" t="s">
        <v>449</v>
      </c>
      <c r="F417" s="2621" t="s">
        <v>361</v>
      </c>
      <c r="G417" s="2623" t="s">
        <v>569</v>
      </c>
      <c r="H417" s="2621" t="s">
        <v>33</v>
      </c>
      <c r="I417" s="2620" t="s">
        <v>47</v>
      </c>
      <c r="J417" s="2623" t="s">
        <v>1411</v>
      </c>
      <c r="K417" s="2621" t="s">
        <v>1412</v>
      </c>
      <c r="L417" s="2621">
        <v>3</v>
      </c>
      <c r="M417" s="2624">
        <f>IFERROR(EDATE($N417,-3),"Invalid procurement method or date entered")</f>
        <v>44795</v>
      </c>
      <c r="N417" s="2624">
        <f>IFERROR(EDATE(O417,-L417),"Invalid procurement method or date entered")</f>
        <v>44887</v>
      </c>
      <c r="O417" s="2625">
        <v>44979</v>
      </c>
      <c r="P417" s="2620">
        <v>37</v>
      </c>
      <c r="Q417" s="2626" t="s">
        <v>1413</v>
      </c>
      <c r="R417" s="2452">
        <v>227399.5</v>
      </c>
      <c r="S417" s="2621" t="s">
        <v>84</v>
      </c>
      <c r="T417" s="2621" t="s">
        <v>38</v>
      </c>
      <c r="U417" s="2620" t="s">
        <v>67</v>
      </c>
      <c r="V417" s="2620"/>
      <c r="W417" s="2620" t="s">
        <v>1414</v>
      </c>
      <c r="X417" s="2621" t="s">
        <v>254</v>
      </c>
      <c r="Y417" s="2621" t="s">
        <v>40</v>
      </c>
      <c r="Z417" s="2621" t="s">
        <v>154</v>
      </c>
      <c r="AA417" s="2627" t="s">
        <v>38</v>
      </c>
      <c r="AB417" s="2628" t="s">
        <v>574</v>
      </c>
      <c r="AC417" s="2629" t="s">
        <v>1410</v>
      </c>
      <c r="AD417" s="2621" t="s">
        <v>164</v>
      </c>
      <c r="AE417" s="2452">
        <v>6500</v>
      </c>
      <c r="AF417" s="2630" t="str">
        <f t="shared" ca="1" si="27"/>
        <v>N/A</v>
      </c>
    </row>
    <row r="418" spans="1:33" s="906" customFormat="1" ht="91">
      <c r="A418" s="749"/>
      <c r="B418" s="841" t="s">
        <v>44</v>
      </c>
      <c r="C418" s="1277" t="s">
        <v>1415</v>
      </c>
      <c r="D418" s="698" t="s">
        <v>57</v>
      </c>
      <c r="E418" s="794" t="s">
        <v>449</v>
      </c>
      <c r="F418" s="1385" t="s">
        <v>630</v>
      </c>
      <c r="G418" s="1449" t="s">
        <v>1121</v>
      </c>
      <c r="H418" s="700" t="s">
        <v>165</v>
      </c>
      <c r="I418" s="723" t="s">
        <v>34</v>
      </c>
      <c r="J418" s="718" t="s">
        <v>1416</v>
      </c>
      <c r="K418" s="1179" t="s">
        <v>793</v>
      </c>
      <c r="L418" s="723" t="e">
        <f>IF(OR(S418=#REF!,S418=#REF!,S418=#REF!,S418=#REF!,S418=#REF!,S418=#REF!,S418=#REF!,S418=#REF!),12,IF(OR(S418=#REF!,S418=#REF!,S418=#REF!,S418=#REF!,S418=#REF!,S418=#REF!,S418=#REF!),3,IF(S418=#REF!,1,IF(S418=#REF!,18,IF(OR(S418=#REF!,S418=#REF!,S418=#REF!,S418=#REF!,S418=#REF!),14,"Invalid proposed procurement method")))))</f>
        <v>#REF!</v>
      </c>
      <c r="M418" s="1383" t="str">
        <f>IFERROR(EDATE($N418,-3),"Invalid procurement method or date entered")</f>
        <v>Invalid procurement method or date entered</v>
      </c>
      <c r="N418" s="1246" t="str">
        <f>IFERROR(EDATE(O418,-L418),"Invalid procurement method or date entered")</f>
        <v>Invalid procurement method or date entered</v>
      </c>
      <c r="O418" s="1246">
        <v>45017</v>
      </c>
      <c r="P418" s="741">
        <v>60</v>
      </c>
      <c r="Q418" s="1467" t="s">
        <v>1417</v>
      </c>
      <c r="R418" s="807">
        <v>20000000</v>
      </c>
      <c r="S418" s="751" t="s">
        <v>130</v>
      </c>
      <c r="T418" s="723" t="s">
        <v>38</v>
      </c>
      <c r="U418" s="2266" t="s">
        <v>71</v>
      </c>
      <c r="V418" s="2266"/>
      <c r="W418" s="723" t="s">
        <v>167</v>
      </c>
      <c r="X418" s="723" t="s">
        <v>283</v>
      </c>
      <c r="Y418" s="723" t="s">
        <v>40</v>
      </c>
      <c r="Z418" s="723" t="s">
        <v>87</v>
      </c>
      <c r="AA418" s="723" t="s">
        <v>70</v>
      </c>
      <c r="AB418" s="1335" t="s">
        <v>574</v>
      </c>
      <c r="AC418" s="2267" t="s">
        <v>1418</v>
      </c>
      <c r="AD418" s="1353" t="s">
        <v>165</v>
      </c>
      <c r="AE418" s="793">
        <v>29040</v>
      </c>
      <c r="AF418" t="str">
        <f t="shared" ca="1" si="27"/>
        <v>N/A</v>
      </c>
    </row>
    <row r="419" spans="1:33" s="906" customFormat="1" ht="49.4" customHeight="1">
      <c r="A419" s="1166">
        <v>44818</v>
      </c>
      <c r="B419" s="1407" t="s">
        <v>44</v>
      </c>
      <c r="C419" s="1277" t="s">
        <v>1419</v>
      </c>
      <c r="D419" s="698" t="s">
        <v>32</v>
      </c>
      <c r="E419" s="1385" t="s">
        <v>449</v>
      </c>
      <c r="F419" s="1311" t="s">
        <v>122</v>
      </c>
      <c r="G419" s="1455" t="s">
        <v>569</v>
      </c>
      <c r="H419" s="698" t="s">
        <v>33</v>
      </c>
      <c r="I419" s="698" t="s">
        <v>268</v>
      </c>
      <c r="J419" s="1449" t="s">
        <v>1420</v>
      </c>
      <c r="K419" s="698" t="s">
        <v>1421</v>
      </c>
      <c r="L419" s="698">
        <v>3</v>
      </c>
      <c r="M419" s="1457"/>
      <c r="N419" s="1457"/>
      <c r="O419" s="1457"/>
      <c r="P419" s="698">
        <v>60</v>
      </c>
      <c r="Q419" s="698" t="s">
        <v>171</v>
      </c>
      <c r="R419" s="930">
        <v>222250</v>
      </c>
      <c r="S419" s="698" t="s">
        <v>270</v>
      </c>
      <c r="T419" s="1457" t="s">
        <v>38</v>
      </c>
      <c r="U419" s="1457"/>
      <c r="V419" s="1457"/>
      <c r="W419" s="698" t="s">
        <v>1422</v>
      </c>
      <c r="X419" s="698" t="s">
        <v>1334</v>
      </c>
      <c r="Y419" s="1169" t="s">
        <v>40</v>
      </c>
      <c r="Z419" s="723"/>
      <c r="AA419" s="723"/>
      <c r="AB419" s="2222" t="s">
        <v>574</v>
      </c>
      <c r="AC419" s="2313" t="s">
        <v>1423</v>
      </c>
      <c r="AD419" s="1277" t="s">
        <v>145</v>
      </c>
      <c r="AE419" s="1941"/>
      <c r="AF419" t="str">
        <f t="shared" ca="1" si="27"/>
        <v>N/A</v>
      </c>
    </row>
    <row r="420" spans="1:33" s="906" customFormat="1" ht="26.5">
      <c r="A420" s="1444" t="s">
        <v>1170</v>
      </c>
      <c r="B420" s="1633" t="s">
        <v>56</v>
      </c>
      <c r="C420" s="1632" t="s">
        <v>1424</v>
      </c>
      <c r="D420" s="1632" t="s">
        <v>1390</v>
      </c>
      <c r="E420" s="1631" t="s">
        <v>1341</v>
      </c>
      <c r="F420" s="1631" t="s">
        <v>1270</v>
      </c>
      <c r="G420" s="2194" t="s">
        <v>1366</v>
      </c>
      <c r="H420" s="1632" t="s">
        <v>1390</v>
      </c>
      <c r="I420" s="1632" t="s">
        <v>34</v>
      </c>
      <c r="J420" s="1444" t="s">
        <v>1425</v>
      </c>
      <c r="K420" s="1632" t="s">
        <v>1426</v>
      </c>
      <c r="L420" s="1444" t="s">
        <v>1170</v>
      </c>
      <c r="M420" s="1444" t="s">
        <v>1170</v>
      </c>
      <c r="N420" s="1444" t="s">
        <v>1170</v>
      </c>
      <c r="O420" s="1637">
        <v>45139</v>
      </c>
      <c r="P420" s="1632">
        <v>48</v>
      </c>
      <c r="Q420" s="1632" t="s">
        <v>1427</v>
      </c>
      <c r="R420" s="1638">
        <v>600000</v>
      </c>
      <c r="S420" s="1632" t="s">
        <v>1346</v>
      </c>
      <c r="T420" s="1632" t="s">
        <v>1170</v>
      </c>
      <c r="U420" s="1632" t="s">
        <v>1170</v>
      </c>
      <c r="V420" s="1632"/>
      <c r="W420" s="1632" t="s">
        <v>1393</v>
      </c>
      <c r="X420" s="1632" t="s">
        <v>1170</v>
      </c>
      <c r="Y420" s="1632" t="s">
        <v>1348</v>
      </c>
      <c r="Z420" s="1634" t="s">
        <v>1170</v>
      </c>
      <c r="AA420" s="1632" t="s">
        <v>1170</v>
      </c>
      <c r="AB420" s="2222" t="s">
        <v>574</v>
      </c>
      <c r="AC420" s="2217" t="s">
        <v>1428</v>
      </c>
      <c r="AD420" s="1447" t="s">
        <v>1170</v>
      </c>
      <c r="AE420" s="1447" t="s">
        <v>1170</v>
      </c>
      <c r="AF420" t="str">
        <f t="shared" ca="1" si="27"/>
        <v>N/A</v>
      </c>
    </row>
    <row r="421" spans="1:33" s="906" customFormat="1">
      <c r="A421" s="749" t="s">
        <v>71</v>
      </c>
      <c r="B421" s="737" t="s">
        <v>44</v>
      </c>
      <c r="C421" s="695">
        <v>40655</v>
      </c>
      <c r="D421" s="739" t="s">
        <v>32</v>
      </c>
      <c r="E421" s="794" t="s">
        <v>449</v>
      </c>
      <c r="F421" s="739" t="s">
        <v>361</v>
      </c>
      <c r="G421" s="2192" t="s">
        <v>569</v>
      </c>
      <c r="H421" s="710" t="s">
        <v>33</v>
      </c>
      <c r="I421" s="695" t="s">
        <v>47</v>
      </c>
      <c r="J421" s="747" t="s">
        <v>1429</v>
      </c>
      <c r="K421" s="695" t="s">
        <v>1430</v>
      </c>
      <c r="L421" s="710">
        <v>6</v>
      </c>
      <c r="M421" s="769">
        <f>IFERROR(EDATE($N421,-3),"Invalid procurement method or date entered")</f>
        <v>44713</v>
      </c>
      <c r="N421" s="769">
        <f>IFERROR(EDATE(O421,-L421),"Invalid procurement method or date entered")</f>
        <v>44805</v>
      </c>
      <c r="O421" s="859">
        <v>44986</v>
      </c>
      <c r="P421" s="1367" t="s">
        <v>391</v>
      </c>
      <c r="Q421" s="831" t="s">
        <v>1345</v>
      </c>
      <c r="R421" s="742">
        <v>18000</v>
      </c>
      <c r="S421" s="708" t="s">
        <v>84</v>
      </c>
      <c r="T421" s="836" t="s">
        <v>612</v>
      </c>
      <c r="U421" s="837" t="s">
        <v>67</v>
      </c>
      <c r="V421" s="837"/>
      <c r="W421" s="710" t="s">
        <v>161</v>
      </c>
      <c r="X421" s="915" t="s">
        <v>94</v>
      </c>
      <c r="Y421" s="695" t="s">
        <v>40</v>
      </c>
      <c r="Z421" s="710" t="s">
        <v>154</v>
      </c>
      <c r="AA421" s="838" t="s">
        <v>38</v>
      </c>
      <c r="AB421" s="2222" t="s">
        <v>574</v>
      </c>
      <c r="AC421" s="2211" t="s">
        <v>1431</v>
      </c>
      <c r="AD421" s="723" t="s">
        <v>164</v>
      </c>
      <c r="AE421" s="1255">
        <v>9000</v>
      </c>
      <c r="AF421" t="str">
        <f t="shared" ca="1" si="27"/>
        <v>N/A</v>
      </c>
    </row>
    <row r="422" spans="1:33" s="906" customFormat="1" ht="26">
      <c r="A422" s="1166">
        <v>44965</v>
      </c>
      <c r="B422" s="1407" t="s">
        <v>44</v>
      </c>
      <c r="C422" s="1277">
        <v>41052</v>
      </c>
      <c r="D422" s="1311" t="s">
        <v>32</v>
      </c>
      <c r="E422" s="1385" t="s">
        <v>449</v>
      </c>
      <c r="F422" s="1408" t="s">
        <v>1270</v>
      </c>
      <c r="G422" s="2277" t="s">
        <v>1432</v>
      </c>
      <c r="H422" s="2278" t="s">
        <v>33</v>
      </c>
      <c r="I422" s="2278" t="s">
        <v>47</v>
      </c>
      <c r="J422" s="1449" t="s">
        <v>1433</v>
      </c>
      <c r="K422" s="698" t="s">
        <v>1434</v>
      </c>
      <c r="L422" s="698"/>
      <c r="M422" s="1457"/>
      <c r="N422" s="1457"/>
      <c r="O422" s="1457">
        <v>44986</v>
      </c>
      <c r="P422" s="698">
        <v>48</v>
      </c>
      <c r="Q422" s="1468" t="s">
        <v>258</v>
      </c>
      <c r="R422" s="930">
        <v>40000</v>
      </c>
      <c r="S422" s="698" t="s">
        <v>84</v>
      </c>
      <c r="T422" s="2203" t="s">
        <v>612</v>
      </c>
      <c r="U422" s="1480" t="s">
        <v>71</v>
      </c>
      <c r="V422" s="1480"/>
      <c r="W422" s="698" t="s">
        <v>1435</v>
      </c>
      <c r="X422" s="698" t="s">
        <v>94</v>
      </c>
      <c r="Y422" s="2278" t="s">
        <v>40</v>
      </c>
      <c r="Z422" s="698" t="s">
        <v>154</v>
      </c>
      <c r="AA422" s="698"/>
      <c r="AB422" s="2222" t="s">
        <v>574</v>
      </c>
      <c r="AC422" s="1453" t="s">
        <v>1436</v>
      </c>
      <c r="AD422" s="1277"/>
      <c r="AE422" s="1494"/>
      <c r="AF422" t="str">
        <f t="shared" ca="1" si="27"/>
        <v>N/A</v>
      </c>
    </row>
    <row r="423" spans="1:33" s="906" customFormat="1" ht="39">
      <c r="A423" s="749" t="s">
        <v>71</v>
      </c>
      <c r="B423" s="737" t="s">
        <v>44</v>
      </c>
      <c r="C423" s="738">
        <v>45168</v>
      </c>
      <c r="D423" s="708" t="s">
        <v>32</v>
      </c>
      <c r="E423" s="794" t="s">
        <v>449</v>
      </c>
      <c r="F423" s="739" t="s">
        <v>122</v>
      </c>
      <c r="G423" s="2188" t="s">
        <v>569</v>
      </c>
      <c r="H423" s="710" t="s">
        <v>33</v>
      </c>
      <c r="I423" s="710" t="s">
        <v>47</v>
      </c>
      <c r="J423" s="709" t="s">
        <v>1437</v>
      </c>
      <c r="K423" s="710" t="s">
        <v>1438</v>
      </c>
      <c r="L423" s="710">
        <v>10</v>
      </c>
      <c r="M423" s="769">
        <f>IFERROR(EDATE($N423,-3),"Invalid procurement method or date entered")</f>
        <v>44621</v>
      </c>
      <c r="N423" s="769">
        <f>IFERROR(EDATE(O423,-L423),"Invalid procurement method or date entered")</f>
        <v>44713</v>
      </c>
      <c r="O423" s="769">
        <v>45017</v>
      </c>
      <c r="P423" s="740">
        <v>12</v>
      </c>
      <c r="Q423" s="723">
        <v>12</v>
      </c>
      <c r="R423" s="742">
        <v>15500</v>
      </c>
      <c r="S423" s="708" t="s">
        <v>37</v>
      </c>
      <c r="T423" s="848" t="s">
        <v>612</v>
      </c>
      <c r="U423" s="837" t="s">
        <v>67</v>
      </c>
      <c r="V423" s="837"/>
      <c r="W423" s="710" t="s">
        <v>142</v>
      </c>
      <c r="X423" s="710" t="s">
        <v>94</v>
      </c>
      <c r="Y423" s="710" t="s">
        <v>40</v>
      </c>
      <c r="Z423" s="710" t="s">
        <v>154</v>
      </c>
      <c r="AA423" s="710" t="s">
        <v>38</v>
      </c>
      <c r="AB423" s="2222" t="s">
        <v>574</v>
      </c>
      <c r="AC423" s="1283" t="s">
        <v>1439</v>
      </c>
      <c r="AD423" s="723" t="s">
        <v>145</v>
      </c>
      <c r="AE423" s="807"/>
      <c r="AF423" t="str">
        <f t="shared" ca="1" si="27"/>
        <v>N/A</v>
      </c>
    </row>
    <row r="424" spans="1:33" s="906" customFormat="1" ht="39">
      <c r="A424" s="749">
        <v>44972</v>
      </c>
      <c r="B424" s="737" t="s">
        <v>44</v>
      </c>
      <c r="C424" s="738" t="s">
        <v>45</v>
      </c>
      <c r="D424" s="739" t="s">
        <v>32</v>
      </c>
      <c r="E424" s="794" t="s">
        <v>449</v>
      </c>
      <c r="F424" s="739" t="s">
        <v>361</v>
      </c>
      <c r="G424" s="2192" t="s">
        <v>1440</v>
      </c>
      <c r="H424" s="710" t="s">
        <v>304</v>
      </c>
      <c r="I424" s="710" t="s">
        <v>34</v>
      </c>
      <c r="J424" s="709" t="s">
        <v>1441</v>
      </c>
      <c r="K424" s="710" t="s">
        <v>1442</v>
      </c>
      <c r="L424" s="710">
        <v>1</v>
      </c>
      <c r="M424" s="769">
        <v>44972</v>
      </c>
      <c r="N424" s="769">
        <f>IFERROR(EDATE(O424,-L424),"Invalid procurement method or date entered")</f>
        <v>44986</v>
      </c>
      <c r="O424" s="769">
        <v>45017</v>
      </c>
      <c r="P424" s="750">
        <v>48</v>
      </c>
      <c r="Q424" s="723" t="s">
        <v>1443</v>
      </c>
      <c r="R424" s="742">
        <v>100000</v>
      </c>
      <c r="S424" s="708" t="s">
        <v>130</v>
      </c>
      <c r="T424" s="882" t="s">
        <v>38</v>
      </c>
      <c r="U424" s="882" t="s">
        <v>67</v>
      </c>
      <c r="V424" s="882"/>
      <c r="W424" s="710" t="s">
        <v>1444</v>
      </c>
      <c r="X424" s="915" t="s">
        <v>1445</v>
      </c>
      <c r="Y424" s="710" t="s">
        <v>40</v>
      </c>
      <c r="Z424" s="710"/>
      <c r="AA424" s="710"/>
      <c r="AB424" s="2222" t="s">
        <v>574</v>
      </c>
      <c r="AC424" s="1283" t="s">
        <v>1446</v>
      </c>
      <c r="AD424" s="741" t="s">
        <v>127</v>
      </c>
      <c r="AE424" s="793">
        <v>25000</v>
      </c>
      <c r="AF424" t="str">
        <f t="shared" ca="1" si="27"/>
        <v>N/A</v>
      </c>
    </row>
    <row r="425" spans="1:33" s="901" customFormat="1" ht="91">
      <c r="A425" s="2281" t="s">
        <v>1170</v>
      </c>
      <c r="B425" s="2171" t="s">
        <v>56</v>
      </c>
      <c r="C425" s="2172" t="s">
        <v>1447</v>
      </c>
      <c r="D425" s="2172" t="s">
        <v>1350</v>
      </c>
      <c r="E425" s="2280" t="s">
        <v>1341</v>
      </c>
      <c r="F425" s="2280" t="s">
        <v>630</v>
      </c>
      <c r="G425" s="2194" t="s">
        <v>1121</v>
      </c>
      <c r="H425" s="2172" t="s">
        <v>1351</v>
      </c>
      <c r="I425" s="2172" t="s">
        <v>34</v>
      </c>
      <c r="J425" s="2281" t="s">
        <v>1448</v>
      </c>
      <c r="K425" s="2172" t="s">
        <v>1449</v>
      </c>
      <c r="L425" s="2281" t="s">
        <v>1170</v>
      </c>
      <c r="M425" s="2281" t="s">
        <v>1170</v>
      </c>
      <c r="N425" s="2281" t="s">
        <v>1170</v>
      </c>
      <c r="O425" s="2174">
        <v>45005</v>
      </c>
      <c r="P425" s="2172">
        <v>60</v>
      </c>
      <c r="Q425" s="2172" t="s">
        <v>1450</v>
      </c>
      <c r="R425" s="2282">
        <v>5000</v>
      </c>
      <c r="S425" s="2172" t="s">
        <v>1200</v>
      </c>
      <c r="T425" s="2172" t="s">
        <v>1170</v>
      </c>
      <c r="U425" s="2172" t="s">
        <v>1170</v>
      </c>
      <c r="V425" s="2172"/>
      <c r="W425" s="2172" t="s">
        <v>1387</v>
      </c>
      <c r="X425" s="2172" t="s">
        <v>1170</v>
      </c>
      <c r="Y425" s="710" t="s">
        <v>40</v>
      </c>
      <c r="Z425" s="2283" t="s">
        <v>1170</v>
      </c>
      <c r="AA425" s="2172" t="s">
        <v>1170</v>
      </c>
      <c r="AB425" s="2222" t="s">
        <v>574</v>
      </c>
      <c r="AC425" s="2284" t="s">
        <v>1451</v>
      </c>
      <c r="AD425" s="2285" t="s">
        <v>1170</v>
      </c>
      <c r="AE425" s="2285" t="s">
        <v>1170</v>
      </c>
      <c r="AF425" t="str">
        <f t="shared" ca="1" si="27"/>
        <v>N/A</v>
      </c>
    </row>
    <row r="426" spans="1:33" s="906" customFormat="1" ht="26">
      <c r="A426" s="1403">
        <v>44824</v>
      </c>
      <c r="B426" s="2268" t="s">
        <v>100</v>
      </c>
      <c r="C426" s="2289" t="s">
        <v>45</v>
      </c>
      <c r="D426" s="1279" t="s">
        <v>110</v>
      </c>
      <c r="E426" s="899" t="s">
        <v>449</v>
      </c>
      <c r="F426" s="1279" t="s">
        <v>110</v>
      </c>
      <c r="G426" s="2290" t="s">
        <v>1452</v>
      </c>
      <c r="H426" s="705" t="s">
        <v>100</v>
      </c>
      <c r="I426" s="888" t="s">
        <v>268</v>
      </c>
      <c r="J426" s="2291" t="s">
        <v>1453</v>
      </c>
      <c r="K426" s="1350" t="s">
        <v>1454</v>
      </c>
      <c r="L426" s="888">
        <v>12</v>
      </c>
      <c r="M426" s="2292">
        <f>IFERROR(EDATE($N426,-3),"Invalid procurement method or date entered")</f>
        <v>44409</v>
      </c>
      <c r="N426" s="2293">
        <f>IFERROR(EDATE(O426,-L426),"Invalid procurement method or date entered")</f>
        <v>44501</v>
      </c>
      <c r="O426" s="2293">
        <v>44866</v>
      </c>
      <c r="P426" s="888">
        <v>84</v>
      </c>
      <c r="Q426" s="1442" t="s">
        <v>1455</v>
      </c>
      <c r="R426" s="2294">
        <v>131250000</v>
      </c>
      <c r="S426" s="888" t="s">
        <v>270</v>
      </c>
      <c r="T426" s="888" t="s">
        <v>45</v>
      </c>
      <c r="U426" s="1432" t="s">
        <v>45</v>
      </c>
      <c r="V426" s="2309"/>
      <c r="W426" s="1350" t="s">
        <v>1456</v>
      </c>
      <c r="X426" s="888" t="s">
        <v>470</v>
      </c>
      <c r="Y426" s="888" t="s">
        <v>40</v>
      </c>
      <c r="Z426" s="888" t="s">
        <v>87</v>
      </c>
      <c r="AA426" s="2295" t="s">
        <v>70</v>
      </c>
      <c r="AB426" s="2222" t="s">
        <v>574</v>
      </c>
      <c r="AC426" s="2207" t="s">
        <v>1457</v>
      </c>
      <c r="AD426" s="1262"/>
      <c r="AE426" s="793"/>
      <c r="AF426" t="str">
        <f t="shared" ca="1" si="27"/>
        <v>N/A</v>
      </c>
    </row>
    <row r="427" spans="1:33" s="2259" customFormat="1" ht="78">
      <c r="A427" s="2314" t="s">
        <v>71</v>
      </c>
      <c r="B427" s="722" t="s">
        <v>100</v>
      </c>
      <c r="C427" s="722" t="s">
        <v>45</v>
      </c>
      <c r="D427" s="723" t="s">
        <v>415</v>
      </c>
      <c r="E427" s="794" t="s">
        <v>449</v>
      </c>
      <c r="F427" s="723" t="s">
        <v>1270</v>
      </c>
      <c r="G427" s="718" t="s">
        <v>1271</v>
      </c>
      <c r="H427" s="723" t="s">
        <v>103</v>
      </c>
      <c r="I427" s="723" t="s">
        <v>34</v>
      </c>
      <c r="J427" s="718" t="s">
        <v>1458</v>
      </c>
      <c r="K427" s="723" t="s">
        <v>1459</v>
      </c>
      <c r="L427" s="723">
        <v>12</v>
      </c>
      <c r="M427" s="792">
        <f>IFERROR(EDATE(N427,-3),"Invalid procurement method or date entered")</f>
        <v>44197</v>
      </c>
      <c r="N427" s="1161">
        <f>IFERROR(EDATE(O427,-L427),"Invalid procurement method or date entered")</f>
        <v>44287</v>
      </c>
      <c r="O427" s="946">
        <v>44652</v>
      </c>
      <c r="P427" s="776">
        <v>60</v>
      </c>
      <c r="Q427" s="776" t="s">
        <v>1460</v>
      </c>
      <c r="R427" s="1289">
        <v>400000</v>
      </c>
      <c r="S427" s="723" t="s">
        <v>130</v>
      </c>
      <c r="T427" s="723" t="s">
        <v>70</v>
      </c>
      <c r="U427" s="723" t="s">
        <v>45</v>
      </c>
      <c r="V427" s="723"/>
      <c r="W427" s="723" t="s">
        <v>1461</v>
      </c>
      <c r="X427" s="723" t="s">
        <v>120</v>
      </c>
      <c r="Y427" s="723" t="s">
        <v>40</v>
      </c>
      <c r="Z427" s="723" t="s">
        <v>69</v>
      </c>
      <c r="AA427" s="722" t="s">
        <v>70</v>
      </c>
      <c r="AB427" s="2315" t="s">
        <v>574</v>
      </c>
      <c r="AC427" s="1402" t="s">
        <v>225</v>
      </c>
      <c r="AD427" s="1262"/>
      <c r="AE427" s="723"/>
      <c r="AF427" t="str">
        <f t="shared" ca="1" si="27"/>
        <v>N/A</v>
      </c>
      <c r="AG427" s="906"/>
    </row>
    <row r="428" spans="1:33" s="2259" customFormat="1" ht="52">
      <c r="A428" s="749">
        <v>44824</v>
      </c>
      <c r="B428" s="706" t="s">
        <v>100</v>
      </c>
      <c r="C428" s="707" t="s">
        <v>45</v>
      </c>
      <c r="D428" s="755" t="s">
        <v>110</v>
      </c>
      <c r="E428" s="794" t="s">
        <v>449</v>
      </c>
      <c r="F428" s="708" t="s">
        <v>110</v>
      </c>
      <c r="G428" s="2190" t="s">
        <v>1311</v>
      </c>
      <c r="H428" s="710" t="s">
        <v>103</v>
      </c>
      <c r="I428" s="710" t="s">
        <v>731</v>
      </c>
      <c r="J428" s="709" t="s">
        <v>1462</v>
      </c>
      <c r="K428" s="710"/>
      <c r="L428" s="710">
        <v>1</v>
      </c>
      <c r="M428" s="711">
        <f>IFERROR(EDATE(N428,-3),"Invalid procurement method or date entered")</f>
        <v>44774</v>
      </c>
      <c r="N428" s="712">
        <f>IFERROR(EDATE(O428,-L428),"Invalid procurement method or date entered")</f>
        <v>44866</v>
      </c>
      <c r="O428" s="711">
        <v>44896</v>
      </c>
      <c r="P428" s="750">
        <v>3</v>
      </c>
      <c r="Q428" s="722">
        <v>3</v>
      </c>
      <c r="R428" s="937">
        <v>25000</v>
      </c>
      <c r="S428" s="716" t="s">
        <v>37</v>
      </c>
      <c r="T428" s="710" t="s">
        <v>38</v>
      </c>
      <c r="U428" s="710" t="s">
        <v>71</v>
      </c>
      <c r="V428" s="710"/>
      <c r="W428" s="710" t="s">
        <v>1463</v>
      </c>
      <c r="X428" s="750" t="s">
        <v>413</v>
      </c>
      <c r="Y428" s="723" t="s">
        <v>40</v>
      </c>
      <c r="Z428" s="708" t="s">
        <v>45</v>
      </c>
      <c r="AA428" s="724" t="s">
        <v>70</v>
      </c>
      <c r="AB428" s="2315" t="s">
        <v>574</v>
      </c>
      <c r="AC428" s="1283" t="s">
        <v>1464</v>
      </c>
      <c r="AD428" s="723"/>
      <c r="AE428" s="723"/>
      <c r="AF428" t="str">
        <f t="shared" ca="1" si="27"/>
        <v>N/A</v>
      </c>
      <c r="AG428" s="906"/>
    </row>
    <row r="429" spans="1:33" s="2259" customFormat="1" ht="91">
      <c r="A429" s="749">
        <v>44770</v>
      </c>
      <c r="B429" s="706" t="s">
        <v>100</v>
      </c>
      <c r="C429" s="707" t="s">
        <v>45</v>
      </c>
      <c r="D429" s="708" t="s">
        <v>110</v>
      </c>
      <c r="E429" s="794" t="s">
        <v>449</v>
      </c>
      <c r="F429" s="708" t="s">
        <v>110</v>
      </c>
      <c r="G429" s="1451" t="s">
        <v>1311</v>
      </c>
      <c r="H429" s="710" t="s">
        <v>103</v>
      </c>
      <c r="I429" s="710" t="s">
        <v>268</v>
      </c>
      <c r="J429" s="709" t="s">
        <v>1465</v>
      </c>
      <c r="K429" s="710" t="s">
        <v>1466</v>
      </c>
      <c r="L429" s="710">
        <v>3</v>
      </c>
      <c r="M429" s="711">
        <f>IFERROR(EDATE(N429,-3),"Invalid procurement method or date entered")</f>
        <v>44835</v>
      </c>
      <c r="N429" s="702">
        <f>IFERROR(EDATE(O429,-L429),"Invalid procurement method or date entered")</f>
        <v>44927</v>
      </c>
      <c r="O429" s="713">
        <v>45017</v>
      </c>
      <c r="P429" s="714">
        <v>60</v>
      </c>
      <c r="Q429" s="715" t="s">
        <v>187</v>
      </c>
      <c r="R429" s="937">
        <v>968000</v>
      </c>
      <c r="S429" s="708" t="s">
        <v>270</v>
      </c>
      <c r="T429" s="710" t="s">
        <v>70</v>
      </c>
      <c r="U429" s="711" t="s">
        <v>45</v>
      </c>
      <c r="V429" s="711"/>
      <c r="W429" s="710" t="s">
        <v>1467</v>
      </c>
      <c r="X429" s="710" t="s">
        <v>120</v>
      </c>
      <c r="Y429" s="710" t="s">
        <v>40</v>
      </c>
      <c r="Z429" s="710" t="s">
        <v>87</v>
      </c>
      <c r="AA429" s="724" t="s">
        <v>70</v>
      </c>
      <c r="AB429" s="2315" t="s">
        <v>574</v>
      </c>
      <c r="AC429" s="1283" t="s">
        <v>225</v>
      </c>
      <c r="AD429" s="723"/>
      <c r="AE429" s="723"/>
      <c r="AF429" t="str">
        <f t="shared" ca="1" si="27"/>
        <v>N/A</v>
      </c>
      <c r="AG429" s="906"/>
    </row>
    <row r="430" spans="1:33" s="906" customFormat="1" ht="39">
      <c r="A430" s="749" t="s">
        <v>71</v>
      </c>
      <c r="B430" s="737" t="s">
        <v>44</v>
      </c>
      <c r="C430" s="738">
        <v>48751</v>
      </c>
      <c r="D430" s="739" t="s">
        <v>32</v>
      </c>
      <c r="E430" s="794" t="s">
        <v>449</v>
      </c>
      <c r="F430" s="739" t="s">
        <v>361</v>
      </c>
      <c r="G430" s="2188" t="s">
        <v>569</v>
      </c>
      <c r="H430" s="710" t="s">
        <v>33</v>
      </c>
      <c r="I430" s="710" t="s">
        <v>47</v>
      </c>
      <c r="J430" s="709" t="s">
        <v>1468</v>
      </c>
      <c r="K430" s="710" t="s">
        <v>1469</v>
      </c>
      <c r="L430" s="710" t="e">
        <f>IF(OR(S430=#REF!,S430=#REF!,S430=#REF!,S430=#REF!,S430=#REF!,S430=#REF!,S430=#REF!,S430=#REF!),12,IF(OR(S430=#REF!,S430=#REF!,S430=#REF!,S430=#REF!,S430=#REF!,S430=#REF!,S430=#REF!),3,IF(S430=#REF!,1,IF(S430=#REF!,18,IF(OR(S430=#REF!,S430=#REF!,S430=#REF!,S430=#REF!,S430=#REF!),14,"Invalid proposed procurement method")))))</f>
        <v>#REF!</v>
      </c>
      <c r="M430" s="769">
        <v>44958</v>
      </c>
      <c r="N430" s="769">
        <v>44593</v>
      </c>
      <c r="O430" s="769">
        <v>44728</v>
      </c>
      <c r="P430" s="750"/>
      <c r="Q430" s="766"/>
      <c r="R430" s="742"/>
      <c r="S430" s="708" t="s">
        <v>51</v>
      </c>
      <c r="T430" s="846" t="s">
        <v>38</v>
      </c>
      <c r="U430" s="837" t="s">
        <v>67</v>
      </c>
      <c r="V430" s="837"/>
      <c r="W430" s="710" t="s">
        <v>388</v>
      </c>
      <c r="X430" s="710" t="s">
        <v>94</v>
      </c>
      <c r="Y430" s="710" t="s">
        <v>40</v>
      </c>
      <c r="Z430" s="710" t="s">
        <v>154</v>
      </c>
      <c r="AA430" s="710" t="s">
        <v>70</v>
      </c>
      <c r="AB430" s="2315" t="s">
        <v>574</v>
      </c>
      <c r="AC430" s="1283" t="s">
        <v>1470</v>
      </c>
      <c r="AD430" s="741" t="s">
        <v>79</v>
      </c>
      <c r="AE430" s="1255">
        <v>14891</v>
      </c>
      <c r="AF430" t="str">
        <f t="shared" ca="1" si="27"/>
        <v>N/A</v>
      </c>
    </row>
    <row r="431" spans="1:33" s="906" customFormat="1" ht="78">
      <c r="A431" s="1566">
        <v>44974</v>
      </c>
      <c r="B431" s="1571" t="s">
        <v>56</v>
      </c>
      <c r="C431" s="1571" t="s">
        <v>45</v>
      </c>
      <c r="D431" s="1630" t="s">
        <v>1192</v>
      </c>
      <c r="E431" s="1571" t="s">
        <v>1168</v>
      </c>
      <c r="F431" s="1571" t="s">
        <v>630</v>
      </c>
      <c r="G431" s="1490" t="s">
        <v>1319</v>
      </c>
      <c r="H431" s="1630" t="s">
        <v>1471</v>
      </c>
      <c r="I431" s="1571" t="s">
        <v>1170</v>
      </c>
      <c r="J431" s="1567" t="s">
        <v>1472</v>
      </c>
      <c r="K431" s="1571" t="s">
        <v>1473</v>
      </c>
      <c r="L431" s="1567" t="s">
        <v>1170</v>
      </c>
      <c r="M431" s="1567" t="s">
        <v>1170</v>
      </c>
      <c r="N431" s="1567" t="s">
        <v>1170</v>
      </c>
      <c r="O431" s="1573">
        <v>47157</v>
      </c>
      <c r="P431" s="1575">
        <v>120</v>
      </c>
      <c r="Q431" s="1571">
        <v>10</v>
      </c>
      <c r="R431" s="1641">
        <v>56415</v>
      </c>
      <c r="S431" s="1572" t="s">
        <v>45</v>
      </c>
      <c r="T431" s="1571" t="s">
        <v>1170</v>
      </c>
      <c r="U431" s="1571" t="s">
        <v>1170</v>
      </c>
      <c r="V431" s="1571"/>
      <c r="W431" s="1571" t="s">
        <v>1236</v>
      </c>
      <c r="X431" s="1571" t="s">
        <v>1170</v>
      </c>
      <c r="Y431" s="1571" t="s">
        <v>40</v>
      </c>
      <c r="Z431" s="1571" t="s">
        <v>1170</v>
      </c>
      <c r="AA431" s="1571" t="s">
        <v>1170</v>
      </c>
      <c r="AB431" s="2222">
        <v>43956</v>
      </c>
      <c r="AC431" s="2216" t="s">
        <v>1474</v>
      </c>
      <c r="AD431" s="1567" t="s">
        <v>1170</v>
      </c>
      <c r="AE431" s="1567" t="s">
        <v>1170</v>
      </c>
      <c r="AF431">
        <f t="shared" ca="1" si="27"/>
        <v>1352</v>
      </c>
    </row>
    <row r="432" spans="1:33" s="906" customFormat="1" ht="26">
      <c r="A432" s="749" t="s">
        <v>71</v>
      </c>
      <c r="B432" s="737" t="s">
        <v>44</v>
      </c>
      <c r="C432" s="741">
        <v>48445</v>
      </c>
      <c r="D432" s="1271" t="s">
        <v>32</v>
      </c>
      <c r="E432" s="794" t="s">
        <v>449</v>
      </c>
      <c r="F432" s="1271" t="s">
        <v>630</v>
      </c>
      <c r="G432" s="1455" t="s">
        <v>569</v>
      </c>
      <c r="H432" s="1271" t="s">
        <v>33</v>
      </c>
      <c r="I432" s="1331" t="s">
        <v>47</v>
      </c>
      <c r="J432" s="2365" t="s">
        <v>1475</v>
      </c>
      <c r="K432" s="723" t="s">
        <v>1476</v>
      </c>
      <c r="L432" s="723">
        <v>3</v>
      </c>
      <c r="M432" s="1246">
        <f>IFERROR(EDATE($N432,-3),"Invalid procurement method or date entered")</f>
        <v>44866</v>
      </c>
      <c r="N432" s="1246">
        <f>IFERROR(EDATE(O432,-L432),"Invalid procurement method or date entered")</f>
        <v>44958</v>
      </c>
      <c r="O432" s="2307">
        <v>45047</v>
      </c>
      <c r="P432" s="2310" t="s">
        <v>1477</v>
      </c>
      <c r="Q432" s="831" t="s">
        <v>1478</v>
      </c>
      <c r="R432" s="742">
        <v>115000</v>
      </c>
      <c r="S432" s="723" t="s">
        <v>529</v>
      </c>
      <c r="T432" s="723" t="s">
        <v>62</v>
      </c>
      <c r="U432" s="741" t="s">
        <v>71</v>
      </c>
      <c r="V432" s="741"/>
      <c r="W432" s="723" t="s">
        <v>1479</v>
      </c>
      <c r="X432" s="710" t="s">
        <v>94</v>
      </c>
      <c r="Y432" s="723" t="s">
        <v>40</v>
      </c>
      <c r="Z432" s="723" t="s">
        <v>154</v>
      </c>
      <c r="AA432" s="1331" t="s">
        <v>38</v>
      </c>
      <c r="AB432" s="2222">
        <v>45016</v>
      </c>
      <c r="AC432" s="2214" t="s">
        <v>251</v>
      </c>
      <c r="AD432" s="723" t="s">
        <v>96</v>
      </c>
      <c r="AE432" s="1255">
        <v>17640</v>
      </c>
      <c r="AF432" s="1376">
        <f t="shared" ca="1" si="27"/>
        <v>292</v>
      </c>
    </row>
    <row r="433" spans="1:32" s="906" customFormat="1" ht="27" customHeight="1">
      <c r="A433" s="749" t="s">
        <v>71</v>
      </c>
      <c r="B433" s="755" t="s">
        <v>100</v>
      </c>
      <c r="C433" s="707" t="s">
        <v>45</v>
      </c>
      <c r="D433" s="710" t="s">
        <v>110</v>
      </c>
      <c r="E433" s="794" t="s">
        <v>449</v>
      </c>
      <c r="F433" s="698" t="s">
        <v>110</v>
      </c>
      <c r="G433" s="1449" t="s">
        <v>1452</v>
      </c>
      <c r="H433" s="710" t="s">
        <v>103</v>
      </c>
      <c r="I433" s="710" t="s">
        <v>958</v>
      </c>
      <c r="J433" s="709" t="s">
        <v>1453</v>
      </c>
      <c r="K433" s="710" t="s">
        <v>1454</v>
      </c>
      <c r="L433" s="710">
        <v>12</v>
      </c>
      <c r="M433" s="711">
        <f>IFERROR(EDATE(N433,-3),"Invalid procurement method or date entered")</f>
        <v>44500</v>
      </c>
      <c r="N433" s="712">
        <f>IFERROR(EDATE(O433,-L433),"Invalid procurement method or date entered")</f>
        <v>44592</v>
      </c>
      <c r="O433" s="713">
        <v>44957</v>
      </c>
      <c r="P433" s="707">
        <v>84</v>
      </c>
      <c r="Q433" s="777" t="s">
        <v>1455</v>
      </c>
      <c r="R433" s="742">
        <v>131250000</v>
      </c>
      <c r="S433" s="758" t="s">
        <v>1480</v>
      </c>
      <c r="T433" s="710" t="s">
        <v>38</v>
      </c>
      <c r="U433" s="711" t="s">
        <v>1481</v>
      </c>
      <c r="V433" s="711"/>
      <c r="W433" s="710" t="s">
        <v>1456</v>
      </c>
      <c r="X433" s="710" t="s">
        <v>470</v>
      </c>
      <c r="Y433" s="710" t="s">
        <v>40</v>
      </c>
      <c r="Z433" s="750" t="s">
        <v>87</v>
      </c>
      <c r="AA433" s="724" t="s">
        <v>70</v>
      </c>
      <c r="AB433" s="1335" t="s">
        <v>1482</v>
      </c>
      <c r="AC433" s="1283" t="s">
        <v>1483</v>
      </c>
      <c r="AD433" s="794"/>
      <c r="AE433" s="794"/>
      <c r="AF433" s="1376" t="str">
        <f t="shared" ca="1" si="27"/>
        <v>N/A</v>
      </c>
    </row>
    <row r="434" spans="1:32" s="906" customFormat="1" ht="27" customHeight="1">
      <c r="A434" s="749" t="s">
        <v>71</v>
      </c>
      <c r="B434" s="706" t="s">
        <v>100</v>
      </c>
      <c r="C434" s="707" t="s">
        <v>45</v>
      </c>
      <c r="D434" s="708" t="s">
        <v>110</v>
      </c>
      <c r="E434" s="794" t="s">
        <v>449</v>
      </c>
      <c r="F434" s="698" t="s">
        <v>110</v>
      </c>
      <c r="G434" s="1451" t="s">
        <v>1311</v>
      </c>
      <c r="H434" s="710" t="s">
        <v>103</v>
      </c>
      <c r="I434" s="723" t="s">
        <v>268</v>
      </c>
      <c r="J434" s="709" t="s">
        <v>186</v>
      </c>
      <c r="K434" s="710" t="s">
        <v>1484</v>
      </c>
      <c r="L434" s="710">
        <v>12</v>
      </c>
      <c r="M434" s="711">
        <f>IFERROR(EDATE(N434,-3),"Invalid procurement method or date entered")</f>
        <v>44927</v>
      </c>
      <c r="N434" s="712">
        <f>IFERROR(EDATE(O434,-L434),"Invalid procurement method or date entered")</f>
        <v>45017</v>
      </c>
      <c r="O434" s="713">
        <v>45383</v>
      </c>
      <c r="P434" s="721">
        <v>60</v>
      </c>
      <c r="Q434" s="722" t="s">
        <v>187</v>
      </c>
      <c r="R434" s="742">
        <v>351800</v>
      </c>
      <c r="S434" s="716" t="s">
        <v>270</v>
      </c>
      <c r="T434" s="710" t="s">
        <v>45</v>
      </c>
      <c r="U434" s="710" t="s">
        <v>45</v>
      </c>
      <c r="V434" s="710"/>
      <c r="W434" s="710" t="s">
        <v>188</v>
      </c>
      <c r="X434" s="710" t="s">
        <v>470</v>
      </c>
      <c r="Y434" s="710" t="s">
        <v>40</v>
      </c>
      <c r="Z434" s="710" t="s">
        <v>69</v>
      </c>
      <c r="AA434" s="724" t="s">
        <v>70</v>
      </c>
      <c r="AB434" s="1335" t="s">
        <v>1482</v>
      </c>
      <c r="AC434" s="1293" t="s">
        <v>1485</v>
      </c>
      <c r="AD434" s="723"/>
      <c r="AE434" s="723"/>
      <c r="AF434" s="1376" t="str">
        <f t="shared" ca="1" si="27"/>
        <v>N/A</v>
      </c>
    </row>
    <row r="435" spans="1:32" s="906" customFormat="1" ht="351">
      <c r="A435" s="749" t="s">
        <v>71</v>
      </c>
      <c r="B435" s="737" t="s">
        <v>56</v>
      </c>
      <c r="C435" s="738">
        <v>56062</v>
      </c>
      <c r="D435" s="739" t="s">
        <v>57</v>
      </c>
      <c r="E435" s="794" t="s">
        <v>449</v>
      </c>
      <c r="F435" s="727" t="s">
        <v>630</v>
      </c>
      <c r="G435" s="2192" t="s">
        <v>1121</v>
      </c>
      <c r="H435" s="710" t="s">
        <v>1486</v>
      </c>
      <c r="I435" s="710" t="s">
        <v>47</v>
      </c>
      <c r="J435" s="709" t="s">
        <v>235</v>
      </c>
      <c r="K435" s="710" t="s">
        <v>793</v>
      </c>
      <c r="L435" s="710">
        <v>9</v>
      </c>
      <c r="M435" s="769">
        <f>IFERROR(EDATE($N435,-3),"Invalid procurement method or date entered")</f>
        <v>44676</v>
      </c>
      <c r="N435" s="769">
        <f>IFERROR(EDATE(O435,-L435),"Invalid procurement method or date entered")</f>
        <v>44767</v>
      </c>
      <c r="O435" s="769">
        <v>45041</v>
      </c>
      <c r="P435" s="750" t="s">
        <v>1487</v>
      </c>
      <c r="Q435" s="723" t="s">
        <v>1487</v>
      </c>
      <c r="R435" s="793">
        <v>2542515</v>
      </c>
      <c r="S435" s="850" t="s">
        <v>1488</v>
      </c>
      <c r="T435" s="708" t="s">
        <v>91</v>
      </c>
      <c r="U435" s="744" t="s">
        <v>70</v>
      </c>
      <c r="V435" s="770">
        <v>44656</v>
      </c>
      <c r="W435" s="770"/>
      <c r="X435" s="710" t="s">
        <v>167</v>
      </c>
      <c r="Y435" s="808" t="s">
        <v>77</v>
      </c>
      <c r="Z435" s="705" t="s">
        <v>115</v>
      </c>
      <c r="AA435" s="710" t="s">
        <v>87</v>
      </c>
      <c r="AB435" s="710" t="s">
        <v>70</v>
      </c>
      <c r="AC435" s="2222">
        <v>45063</v>
      </c>
      <c r="AD435" s="2533" t="s">
        <v>1489</v>
      </c>
      <c r="AE435" s="741" t="s">
        <v>165</v>
      </c>
      <c r="AF435" s="1376" t="str">
        <f t="shared" ca="1" si="27"/>
        <v>N/A</v>
      </c>
    </row>
  </sheetData>
  <autoFilter ref="A1:AG435" xr:uid="{00000000-0001-0000-0200-000000000000}"/>
  <customSheetViews>
    <customSheetView guid="{03AD2AFE-2DDD-4D37-8F9F-D1CAD93AE394}" scale="70" showPageBreaks="1">
      <pane xSplit="5" ySplit="1" topLeftCell="V622" activePane="bottomRight" state="frozen"/>
      <selection pane="bottomRight" activeCell="W626" sqref="W626"/>
      <pageMargins left="0" right="0" top="0" bottom="0" header="0" footer="0"/>
      <pageSetup paperSize="9" orientation="portrait" r:id="rId1"/>
      <headerFooter>
        <oddFooter>&amp;C&amp;1#&amp;"Calibri"&amp;10&amp;KFF0000OFFICIAL</oddFooter>
      </headerFooter>
    </customSheetView>
    <customSheetView guid="{72F95FA9-AFFF-408B-84D5-C75A1D3CC966}" scale="60" filter="1" showAutoFilter="1" topLeftCell="A253">
      <selection activeCell="D642" sqref="D642"/>
      <pageMargins left="0" right="0" top="0" bottom="0" header="0" footer="0"/>
      <pageSetup paperSize="9" orientation="portrait" r:id="rId2"/>
      <headerFooter>
        <oddFooter>&amp;C&amp;1#&amp;"Calibri"&amp;10&amp;KFF0000OFFICIAL</oddFooter>
      </headerFooter>
      <autoFilter ref="A1:AK627" xr:uid="{C42BEC1A-936E-464E-8CBB-4B06F0E7C5A1}">
        <filterColumn colId="18">
          <filters>
            <filter val="Rebecca Shenton"/>
          </filters>
        </filterColumn>
      </autoFilter>
    </customSheetView>
    <customSheetView guid="{D94B7CCD-4AA3-4F35-A1EC-06B789B9F348}" scale="70" hiddenRows="1" topLeftCell="G1">
      <selection activeCell="S1" sqref="S1"/>
      <pageMargins left="0" right="0" top="0" bottom="0" header="0" footer="0"/>
      <pageSetup paperSize="9" orientation="portrait" r:id="rId3"/>
      <headerFooter>
        <oddFooter>&amp;C&amp;1#&amp;"Calibri"&amp;10&amp;KFF0000OFFICIAL</oddFooter>
      </headerFooter>
    </customSheetView>
    <customSheetView guid="{E2C38D4C-A246-439C-8E43-A1D322E960FD}" scale="70" hiddenRows="1" topLeftCell="A530">
      <selection activeCell="A536" sqref="A536"/>
      <pageMargins left="0" right="0" top="0" bottom="0" header="0" footer="0"/>
      <pageSetup paperSize="9" orientation="portrait" r:id="rId4"/>
      <headerFooter>
        <oddFooter>&amp;C&amp;1#&amp;"Calibri"&amp;10&amp;KFF0000OFFICIAL</oddFooter>
      </headerFooter>
    </customSheetView>
    <customSheetView guid="{C4CA1DDF-3AFE-43A6-8BB5-B707D5EB70E1}" scale="70" topLeftCell="A621">
      <selection activeCell="A623" sqref="A623:XFD623"/>
      <pageMargins left="0" right="0" top="0" bottom="0" header="0" footer="0"/>
      <pageSetup paperSize="9" orientation="portrait" r:id="rId5"/>
      <headerFooter>
        <oddFooter>&amp;C&amp;1#&amp;"Calibri"&amp;10&amp;KFF0000OFFICIAL</oddFooter>
      </headerFooter>
    </customSheetView>
    <customSheetView guid="{75DC90F1-9A33-4736-80DE-C58B8C19925D}" scale="70" hiddenRows="1" topLeftCell="A588">
      <selection activeCell="A592" sqref="A592"/>
      <pageMargins left="0" right="0" top="0" bottom="0" header="0" footer="0"/>
      <pageSetup paperSize="9" orientation="portrait" r:id="rId6"/>
      <headerFooter>
        <oddFooter>&amp;C&amp;1#&amp;"Calibri"&amp;10&amp;KFF0000OFFICIAL</oddFooter>
      </headerFooter>
    </customSheetView>
    <customSheetView guid="{C50ED91D-25E4-46FC-8E07-25A27A03203F}" scale="70" hiddenRows="1" topLeftCell="K494">
      <selection activeCell="K498" sqref="A498:XFD498"/>
      <pageMargins left="0" right="0" top="0" bottom="0" header="0" footer="0"/>
      <pageSetup paperSize="9" orientation="portrait" r:id="rId7"/>
      <headerFooter>
        <oddFooter>&amp;C&amp;1#&amp;"Calibri"&amp;10&amp;KFF0000OFFICIAL</oddFooter>
      </headerFooter>
    </customSheetView>
    <customSheetView guid="{B0C47159-7A10-4CD0-9C42-4D9C3E367478}" scale="70" hiddenRows="1" topLeftCell="D599">
      <selection activeCell="N606" sqref="N606"/>
      <pageMargins left="0" right="0" top="0" bottom="0" header="0" footer="0"/>
      <pageSetup paperSize="9" orientation="portrait" r:id="rId8"/>
      <headerFooter>
        <oddFooter>&amp;C&amp;1#&amp;"Calibri"&amp;10&amp;KFF0000OFFICIAL</oddFooter>
      </headerFooter>
    </customSheetView>
    <customSheetView guid="{93640DF0-8C30-49B3-9AEE-B443879E2D06}" scale="70" hiddenRows="1" topLeftCell="D1">
      <pane ySplit="1" topLeftCell="A583" activePane="bottomLeft" state="frozen"/>
      <selection pane="bottomLeft" activeCell="E587" sqref="E587"/>
      <pageMargins left="0" right="0" top="0" bottom="0" header="0" footer="0"/>
      <pageSetup paperSize="9" orientation="portrait" r:id="rId9"/>
      <headerFooter>
        <oddFooter>&amp;C&amp;1#&amp;"Calibri"&amp;10&amp;KFF0000OFFICIAL</oddFooter>
      </headerFooter>
    </customSheetView>
    <customSheetView guid="{2B13F76B-25C3-4174-A739-40F22F721CD1}" scale="70" topLeftCell="B545">
      <selection activeCell="B554" sqref="B554"/>
      <pageMargins left="0" right="0" top="0" bottom="0" header="0" footer="0"/>
      <pageSetup paperSize="9" orientation="portrait" r:id="rId10"/>
      <headerFooter>
        <oddFooter>&amp;C&amp;1#&amp;"Calibri"&amp;10&amp;KFF0000OFFICIAL</oddFooter>
      </headerFooter>
    </customSheetView>
    <customSheetView guid="{D3FBC512-40E9-4DA3-B67A-E2456DB39E9B}" scale="70" hiddenRows="1" topLeftCell="A483">
      <selection activeCell="A526" sqref="A526:XFD526"/>
      <pageMargins left="0" right="0" top="0" bottom="0" header="0" footer="0"/>
      <pageSetup paperSize="9" orientation="portrait" r:id="rId11"/>
      <headerFooter>
        <oddFooter>&amp;C&amp;1#&amp;"Calibri"&amp;10&amp;KFF0000OFFICIAL</oddFooter>
      </headerFooter>
    </customSheetView>
    <customSheetView guid="{AADBAA3C-4A28-4138-8AFD-382151AB0505}" scale="80" showAutoFilter="1">
      <pane xSplit="5" ySplit="1" topLeftCell="F472" activePane="bottomRight" state="frozen"/>
      <selection pane="bottomRight" activeCell="AC477" sqref="AC477"/>
      <pageMargins left="0" right="0" top="0" bottom="0" header="0" footer="0"/>
      <pageSetup paperSize="9" orientation="portrait" r:id="rId12"/>
      <headerFooter>
        <oddFooter>&amp;C&amp;1#&amp;"Calibri"&amp;10&amp;KFF0000OFFICIAL</oddFooter>
      </headerFooter>
      <autoFilter ref="A1:AE476" xr:uid="{1028BE91-0D92-408F-9268-E3B205F524CE}"/>
    </customSheetView>
    <customSheetView guid="{111E1D8A-D793-4E39-8420-A0C5178E038A}" scale="80">
      <pane xSplit="5" ySplit="1" topLeftCell="R454" activePane="bottomRight" state="frozen"/>
      <selection pane="bottomRight" activeCell="A459" sqref="A459"/>
      <pageMargins left="0" right="0" top="0" bottom="0" header="0" footer="0"/>
      <pageSetup paperSize="9" orientation="portrait" r:id="rId13"/>
    </customSheetView>
    <customSheetView guid="{E8A71C07-35BC-410C-B8FF-F60CE1C03368}" scale="80">
      <selection activeCell="E81" sqref="E81"/>
      <pageMargins left="0" right="0" top="0" bottom="0" header="0" footer="0"/>
      <pageSetup paperSize="9" orientation="portrait" r:id="rId14"/>
    </customSheetView>
    <customSheetView guid="{55F42AF0-96B4-4083-9714-DAA8B604590B}" scale="80">
      <pane ySplit="1" topLeftCell="A187" activePane="bottomLeft" state="frozen"/>
      <selection pane="bottomLeft" activeCell="A192" sqref="A192:XFD192"/>
      <pageMargins left="0" right="0" top="0" bottom="0" header="0" footer="0"/>
      <pageSetup paperSize="9" orientation="portrait" r:id="rId15"/>
    </customSheetView>
    <customSheetView guid="{948D2E33-B086-46ED-A908-ACF03A36FD59}" scale="80">
      <pane xSplit="5" ySplit="1" topLeftCell="F711" activePane="bottomRight" state="frozen"/>
      <selection pane="bottomRight" activeCell="C319" sqref="C319"/>
      <pageMargins left="0" right="0" top="0" bottom="0" header="0" footer="0"/>
      <pageSetup paperSize="9" orientation="portrait" r:id="rId16"/>
    </customSheetView>
    <customSheetView guid="{0075AE26-7AAE-449B-B498-05D3C89595DA}" scale="80" showAutoFilter="1">
      <pane xSplit="5" ySplit="1" topLeftCell="AD504" activePane="bottomRight" state="frozen"/>
      <selection pane="bottomRight" activeCell="A507" sqref="A507:AD507"/>
      <pageMargins left="0" right="0" top="0" bottom="0" header="0" footer="0"/>
      <pageSetup paperSize="9" orientation="portrait" r:id="rId17"/>
      <headerFooter>
        <oddFooter>&amp;C&amp;1#&amp;"Calibri"&amp;10&amp;KFF0000OFFICIAL</oddFooter>
      </headerFooter>
      <autoFilter ref="A1:AG507" xr:uid="{29747607-3550-46AB-971F-46DED8974EA1}"/>
    </customSheetView>
    <customSheetView guid="{DC499C24-673D-41B7-8539-2D48464FEE75}" scale="70">
      <pane xSplit="5" ySplit="1" topLeftCell="V622" activePane="bottomRight" state="frozen"/>
      <selection pane="bottomRight" activeCell="W626" sqref="W626"/>
      <pageMargins left="0" right="0" top="0" bottom="0" header="0" footer="0"/>
      <pageSetup paperSize="9" orientation="portrait" r:id="rId18"/>
      <headerFooter>
        <oddFooter>&amp;C&amp;1#&amp;"Calibri"&amp;10&amp;KFF0000OFFICIAL</oddFooter>
      </headerFooter>
    </customSheetView>
    <customSheetView guid="{60598B7A-9956-4AF7-BFA4-C4E2EC2FF791}" scale="70" showAutoFilter="1" topLeftCell="A538">
      <selection activeCell="C549" sqref="C549"/>
      <pageMargins left="0" right="0" top="0" bottom="0" header="0" footer="0"/>
      <pageSetup paperSize="9" orientation="portrait" r:id="rId19"/>
      <headerFooter>
        <oddFooter>&amp;C&amp;1#&amp;"Calibri"&amp;10&amp;KFF0000OFFICIAL</oddFooter>
      </headerFooter>
      <autoFilter ref="A1:AK628" xr:uid="{46EA924F-10FB-4253-973E-77D1E81EC9EE}"/>
    </customSheetView>
    <customSheetView guid="{9E076E2C-7493-4447-AF1A-1D294B765C0C}" scale="70" hiddenRows="1" topLeftCell="K172">
      <selection activeCell="AA182" sqref="AA182"/>
      <pageMargins left="0" right="0" top="0" bottom="0" header="0" footer="0"/>
      <pageSetup paperSize="9" orientation="portrait" r:id="rId20"/>
      <headerFooter>
        <oddFooter>&amp;C&amp;1#&amp;"Calibri"&amp;10&amp;KFF0000OFFICIAL</oddFooter>
      </headerFooter>
    </customSheetView>
  </customSheetViews>
  <conditionalFormatting sqref="O2 D234:K234 H331:I331 D355:K356 D360:K364 D368:K369 D357:J357 D358:K358 H359:I359 S234:X234 W331 W355:X356 S364:X364 S356:V357 W363 S361:X361 S362:W362 W357:W358 S368:X369">
    <cfRule type="cellIs" dxfId="1116" priority="2055" operator="equal">
      <formula>"Quotation"</formula>
    </cfRule>
  </conditionalFormatting>
  <conditionalFormatting sqref="D2:G2 R2">
    <cfRule type="cellIs" dxfId="1115" priority="2056" operator="equal">
      <formula>"Quotation"</formula>
    </cfRule>
  </conditionalFormatting>
  <conditionalFormatting sqref="AB285 AB417:AB425">
    <cfRule type="timePeriod" dxfId="1114" priority="1818" timePeriod="last7Days">
      <formula>AND(TODAY()-FLOOR(AB285,1)&lt;=6,FLOOR(AB285,1)&lt;=TODAY())</formula>
    </cfRule>
  </conditionalFormatting>
  <conditionalFormatting sqref="U139:V139">
    <cfRule type="cellIs" dxfId="1113" priority="833" operator="equal">
      <formula>"Active"</formula>
    </cfRule>
    <cfRule type="cellIs" dxfId="1112" priority="834" operator="equal">
      <formula>"Non Active"</formula>
    </cfRule>
  </conditionalFormatting>
  <conditionalFormatting sqref="U139:V139">
    <cfRule type="cellIs" dxfId="1111" priority="832" operator="equal">
      <formula>"Ad-hoc"</formula>
    </cfRule>
  </conditionalFormatting>
  <conditionalFormatting sqref="U140:V140">
    <cfRule type="cellIs" dxfId="1110" priority="827" operator="equal">
      <formula>"Active"</formula>
    </cfRule>
    <cfRule type="cellIs" dxfId="1109" priority="828" operator="equal">
      <formula>"Non Active"</formula>
    </cfRule>
  </conditionalFormatting>
  <conditionalFormatting sqref="U140:V140">
    <cfRule type="cellIs" dxfId="1108" priority="826" operator="equal">
      <formula>"Ad-hoc"</formula>
    </cfRule>
  </conditionalFormatting>
  <conditionalFormatting sqref="U141:V141">
    <cfRule type="cellIs" dxfId="1107" priority="821" operator="equal">
      <formula>"Active"</formula>
    </cfRule>
    <cfRule type="cellIs" dxfId="1106" priority="822" operator="equal">
      <formula>"Non Active"</formula>
    </cfRule>
  </conditionalFormatting>
  <conditionalFormatting sqref="U141:V141">
    <cfRule type="cellIs" dxfId="1105" priority="820" operator="equal">
      <formula>"Ad-hoc"</formula>
    </cfRule>
  </conditionalFormatting>
  <conditionalFormatting sqref="U142:V142">
    <cfRule type="cellIs" dxfId="1104" priority="815" operator="equal">
      <formula>"Active"</formula>
    </cfRule>
    <cfRule type="cellIs" dxfId="1103" priority="816" operator="equal">
      <formula>"Non Active"</formula>
    </cfRule>
  </conditionalFormatting>
  <conditionalFormatting sqref="U142:V142">
    <cfRule type="cellIs" dxfId="1102" priority="814" operator="equal">
      <formula>"Ad-hoc"</formula>
    </cfRule>
  </conditionalFormatting>
  <conditionalFormatting sqref="U143:V143">
    <cfRule type="cellIs" dxfId="1101" priority="809" operator="equal">
      <formula>"Active"</formula>
    </cfRule>
    <cfRule type="cellIs" dxfId="1100" priority="810" operator="equal">
      <formula>"Non Active"</formula>
    </cfRule>
  </conditionalFormatting>
  <conditionalFormatting sqref="U143:V143">
    <cfRule type="cellIs" dxfId="1099" priority="808" operator="equal">
      <formula>"Ad-hoc"</formula>
    </cfRule>
  </conditionalFormatting>
  <conditionalFormatting sqref="U144:V144">
    <cfRule type="cellIs" dxfId="1098" priority="803" operator="equal">
      <formula>"Active"</formula>
    </cfRule>
    <cfRule type="cellIs" dxfId="1097" priority="804" operator="equal">
      <formula>"Non Active"</formula>
    </cfRule>
  </conditionalFormatting>
  <conditionalFormatting sqref="U144:V144">
    <cfRule type="cellIs" dxfId="1096" priority="802" operator="equal">
      <formula>"Ad-hoc"</formula>
    </cfRule>
  </conditionalFormatting>
  <conditionalFormatting sqref="U145:V145">
    <cfRule type="cellIs" dxfId="1095" priority="797" operator="equal">
      <formula>"Active"</formula>
    </cfRule>
    <cfRule type="cellIs" dxfId="1094" priority="798" operator="equal">
      <formula>"Non Active"</formula>
    </cfRule>
  </conditionalFormatting>
  <conditionalFormatting sqref="U145:V145">
    <cfRule type="cellIs" dxfId="1093" priority="796" operator="equal">
      <formula>"Ad-hoc"</formula>
    </cfRule>
  </conditionalFormatting>
  <conditionalFormatting sqref="U146:V146">
    <cfRule type="cellIs" dxfId="1092" priority="791" operator="equal">
      <formula>"Active"</formula>
    </cfRule>
    <cfRule type="cellIs" dxfId="1091" priority="792" operator="equal">
      <formula>"Non Active"</formula>
    </cfRule>
  </conditionalFormatting>
  <conditionalFormatting sqref="U146:V146">
    <cfRule type="cellIs" dxfId="1090" priority="790" operator="equal">
      <formula>"Ad-hoc"</formula>
    </cfRule>
  </conditionalFormatting>
  <conditionalFormatting sqref="U147:V147">
    <cfRule type="cellIs" dxfId="1089" priority="785" operator="equal">
      <formula>"Active"</formula>
    </cfRule>
    <cfRule type="cellIs" dxfId="1088" priority="786" operator="equal">
      <formula>"Non Active"</formula>
    </cfRule>
  </conditionalFormatting>
  <conditionalFormatting sqref="U147:V147">
    <cfRule type="cellIs" dxfId="1087" priority="784" operator="equal">
      <formula>"Ad-hoc"</formula>
    </cfRule>
  </conditionalFormatting>
  <conditionalFormatting sqref="U148:V148">
    <cfRule type="cellIs" dxfId="1086" priority="779" operator="equal">
      <formula>"Active"</formula>
    </cfRule>
    <cfRule type="cellIs" dxfId="1085" priority="780" operator="equal">
      <formula>"Non Active"</formula>
    </cfRule>
  </conditionalFormatting>
  <conditionalFormatting sqref="U148:V148">
    <cfRule type="cellIs" dxfId="1084" priority="778" operator="equal">
      <formula>"Ad-hoc"</formula>
    </cfRule>
  </conditionalFormatting>
  <conditionalFormatting sqref="U149:V149">
    <cfRule type="cellIs" dxfId="1083" priority="773" operator="equal">
      <formula>"Active"</formula>
    </cfRule>
    <cfRule type="cellIs" dxfId="1082" priority="774" operator="equal">
      <formula>"Non Active"</formula>
    </cfRule>
  </conditionalFormatting>
  <conditionalFormatting sqref="U149:V149">
    <cfRule type="cellIs" dxfId="1081" priority="772" operator="equal">
      <formula>"Ad-hoc"</formula>
    </cfRule>
  </conditionalFormatting>
  <conditionalFormatting sqref="U150:V150">
    <cfRule type="cellIs" dxfId="1080" priority="767" operator="equal">
      <formula>"Active"</formula>
    </cfRule>
    <cfRule type="cellIs" dxfId="1079" priority="768" operator="equal">
      <formula>"Non Active"</formula>
    </cfRule>
  </conditionalFormatting>
  <conditionalFormatting sqref="U150:V150">
    <cfRule type="cellIs" dxfId="1078" priority="766" operator="equal">
      <formula>"Ad-hoc"</formula>
    </cfRule>
  </conditionalFormatting>
  <conditionalFormatting sqref="U152:V152">
    <cfRule type="cellIs" dxfId="1077" priority="755" operator="equal">
      <formula>"Active"</formula>
    </cfRule>
    <cfRule type="cellIs" dxfId="1076" priority="756" operator="equal">
      <formula>"Non Active"</formula>
    </cfRule>
  </conditionalFormatting>
  <conditionalFormatting sqref="U152:V152">
    <cfRule type="cellIs" dxfId="1075" priority="754" operator="equal">
      <formula>"Ad-hoc"</formula>
    </cfRule>
  </conditionalFormatting>
  <conditionalFormatting sqref="U153:V153">
    <cfRule type="cellIs" dxfId="1074" priority="749" operator="equal">
      <formula>"Active"</formula>
    </cfRule>
    <cfRule type="cellIs" dxfId="1073" priority="750" operator="equal">
      <formula>"Non Active"</formula>
    </cfRule>
  </conditionalFormatting>
  <conditionalFormatting sqref="U153:V153">
    <cfRule type="cellIs" dxfId="1072" priority="748" operator="equal">
      <formula>"Ad-hoc"</formula>
    </cfRule>
  </conditionalFormatting>
  <conditionalFormatting sqref="U154:V154">
    <cfRule type="cellIs" dxfId="1071" priority="743" operator="equal">
      <formula>"Active"</formula>
    </cfRule>
    <cfRule type="cellIs" dxfId="1070" priority="744" operator="equal">
      <formula>"Non Active"</formula>
    </cfRule>
  </conditionalFormatting>
  <conditionalFormatting sqref="U154:V154">
    <cfRule type="cellIs" dxfId="1069" priority="742" operator="equal">
      <formula>"Ad-hoc"</formula>
    </cfRule>
  </conditionalFormatting>
  <conditionalFormatting sqref="U155:V155">
    <cfRule type="cellIs" dxfId="1068" priority="737" operator="equal">
      <formula>"Active"</formula>
    </cfRule>
    <cfRule type="cellIs" dxfId="1067" priority="738" operator="equal">
      <formula>"Non Active"</formula>
    </cfRule>
  </conditionalFormatting>
  <conditionalFormatting sqref="U155:V155">
    <cfRule type="cellIs" dxfId="1066" priority="736" operator="equal">
      <formula>"Ad-hoc"</formula>
    </cfRule>
  </conditionalFormatting>
  <conditionalFormatting sqref="U156:V156">
    <cfRule type="cellIs" dxfId="1065" priority="728" operator="equal">
      <formula>"Active"</formula>
    </cfRule>
    <cfRule type="cellIs" dxfId="1064" priority="729" operator="equal">
      <formula>"Non Active"</formula>
    </cfRule>
  </conditionalFormatting>
  <conditionalFormatting sqref="U156:V156">
    <cfRule type="cellIs" dxfId="1063" priority="727" operator="equal">
      <formula>"Ad-hoc"</formula>
    </cfRule>
  </conditionalFormatting>
  <conditionalFormatting sqref="P157">
    <cfRule type="cellIs" dxfId="1062" priority="725" operator="equal">
      <formula>"Active"</formula>
    </cfRule>
    <cfRule type="cellIs" dxfId="1061" priority="726" operator="equal">
      <formula>"Non Active"</formula>
    </cfRule>
  </conditionalFormatting>
  <conditionalFormatting sqref="P157">
    <cfRule type="cellIs" dxfId="1060" priority="724" operator="equal">
      <formula>"Ad-hoc"</formula>
    </cfRule>
  </conditionalFormatting>
  <conditionalFormatting sqref="U158:V158">
    <cfRule type="cellIs" dxfId="1059" priority="719" operator="equal">
      <formula>"Active"</formula>
    </cfRule>
    <cfRule type="cellIs" dxfId="1058" priority="720" operator="equal">
      <formula>"Non Active"</formula>
    </cfRule>
  </conditionalFormatting>
  <conditionalFormatting sqref="U158:V158">
    <cfRule type="cellIs" dxfId="1057" priority="718" operator="equal">
      <formula>"Ad-hoc"</formula>
    </cfRule>
  </conditionalFormatting>
  <conditionalFormatting sqref="U159:V159">
    <cfRule type="cellIs" dxfId="1056" priority="713" operator="equal">
      <formula>"Active"</formula>
    </cfRule>
    <cfRule type="cellIs" dxfId="1055" priority="714" operator="equal">
      <formula>"Non Active"</formula>
    </cfRule>
  </conditionalFormatting>
  <conditionalFormatting sqref="U159:V159">
    <cfRule type="cellIs" dxfId="1054" priority="712" operator="equal">
      <formula>"Ad-hoc"</formula>
    </cfRule>
  </conditionalFormatting>
  <conditionalFormatting sqref="U160:V160">
    <cfRule type="cellIs" dxfId="1053" priority="707" operator="equal">
      <formula>"Active"</formula>
    </cfRule>
    <cfRule type="cellIs" dxfId="1052" priority="708" operator="equal">
      <formula>"Non Active"</formula>
    </cfRule>
  </conditionalFormatting>
  <conditionalFormatting sqref="U160:V160">
    <cfRule type="cellIs" dxfId="1051" priority="706" operator="equal">
      <formula>"Ad-hoc"</formula>
    </cfRule>
  </conditionalFormatting>
  <conditionalFormatting sqref="U161:V161">
    <cfRule type="cellIs" dxfId="1050" priority="701" operator="equal">
      <formula>"Active"</formula>
    </cfRule>
    <cfRule type="cellIs" dxfId="1049" priority="702" operator="equal">
      <formula>"Non Active"</formula>
    </cfRule>
  </conditionalFormatting>
  <conditionalFormatting sqref="U161:V161">
    <cfRule type="cellIs" dxfId="1048" priority="700" operator="equal">
      <formula>"Ad-hoc"</formula>
    </cfRule>
  </conditionalFormatting>
  <conditionalFormatting sqref="U162:V162">
    <cfRule type="cellIs" dxfId="1047" priority="695" operator="equal">
      <formula>"Active"</formula>
    </cfRule>
    <cfRule type="cellIs" dxfId="1046" priority="696" operator="equal">
      <formula>"Non Active"</formula>
    </cfRule>
  </conditionalFormatting>
  <conditionalFormatting sqref="U162:V162">
    <cfRule type="cellIs" dxfId="1045" priority="694" operator="equal">
      <formula>"Ad-hoc"</formula>
    </cfRule>
  </conditionalFormatting>
  <conditionalFormatting sqref="U163:V163">
    <cfRule type="cellIs" dxfId="1044" priority="689" operator="equal">
      <formula>"Active"</formula>
    </cfRule>
    <cfRule type="cellIs" dxfId="1043" priority="690" operator="equal">
      <formula>"Non Active"</formula>
    </cfRule>
  </conditionalFormatting>
  <conditionalFormatting sqref="U163:V163">
    <cfRule type="cellIs" dxfId="1042" priority="688" operator="equal">
      <formula>"Ad-hoc"</formula>
    </cfRule>
  </conditionalFormatting>
  <conditionalFormatting sqref="U164:V164">
    <cfRule type="cellIs" dxfId="1041" priority="683" operator="equal">
      <formula>"Active"</formula>
    </cfRule>
    <cfRule type="cellIs" dxfId="1040" priority="684" operator="equal">
      <formula>"Non Active"</formula>
    </cfRule>
  </conditionalFormatting>
  <conditionalFormatting sqref="U164:V164">
    <cfRule type="cellIs" dxfId="1039" priority="682" operator="equal">
      <formula>"Ad-hoc"</formula>
    </cfRule>
  </conditionalFormatting>
  <conditionalFormatting sqref="U165:V165">
    <cfRule type="cellIs" dxfId="1038" priority="677" operator="equal">
      <formula>"Active"</formula>
    </cfRule>
    <cfRule type="cellIs" dxfId="1037" priority="678" operator="equal">
      <formula>"Non Active"</formula>
    </cfRule>
  </conditionalFormatting>
  <conditionalFormatting sqref="U165:V165">
    <cfRule type="cellIs" dxfId="1036" priority="676" operator="equal">
      <formula>"Ad-hoc"</formula>
    </cfRule>
  </conditionalFormatting>
  <conditionalFormatting sqref="U166:V166">
    <cfRule type="cellIs" dxfId="1035" priority="671" operator="equal">
      <formula>"Active"</formula>
    </cfRule>
    <cfRule type="cellIs" dxfId="1034" priority="672" operator="equal">
      <formula>"Non Active"</formula>
    </cfRule>
  </conditionalFormatting>
  <conditionalFormatting sqref="U166:V166">
    <cfRule type="cellIs" dxfId="1033" priority="670" operator="equal">
      <formula>"Ad-hoc"</formula>
    </cfRule>
  </conditionalFormatting>
  <conditionalFormatting sqref="U167:V167">
    <cfRule type="cellIs" dxfId="1032" priority="665" operator="equal">
      <formula>"Active"</formula>
    </cfRule>
    <cfRule type="cellIs" dxfId="1031" priority="666" operator="equal">
      <formula>"Non Active"</formula>
    </cfRule>
  </conditionalFormatting>
  <conditionalFormatting sqref="U167:V167">
    <cfRule type="cellIs" dxfId="1030" priority="664" operator="equal">
      <formula>"Ad-hoc"</formula>
    </cfRule>
  </conditionalFormatting>
  <conditionalFormatting sqref="U168:V168">
    <cfRule type="cellIs" dxfId="1029" priority="659" operator="equal">
      <formula>"Active"</formula>
    </cfRule>
    <cfRule type="cellIs" dxfId="1028" priority="660" operator="equal">
      <formula>"Non Active"</formula>
    </cfRule>
  </conditionalFormatting>
  <conditionalFormatting sqref="U168:V168">
    <cfRule type="cellIs" dxfId="1027" priority="658" operator="equal">
      <formula>"Ad-hoc"</formula>
    </cfRule>
  </conditionalFormatting>
  <conditionalFormatting sqref="U169:V169">
    <cfRule type="cellIs" dxfId="1026" priority="653" operator="equal">
      <formula>"Active"</formula>
    </cfRule>
    <cfRule type="cellIs" dxfId="1025" priority="654" operator="equal">
      <formula>"Non Active"</formula>
    </cfRule>
  </conditionalFormatting>
  <conditionalFormatting sqref="U169:V169">
    <cfRule type="cellIs" dxfId="1024" priority="652" operator="equal">
      <formula>"Ad-hoc"</formula>
    </cfRule>
  </conditionalFormatting>
  <conditionalFormatting sqref="U170:V170">
    <cfRule type="cellIs" dxfId="1023" priority="647" operator="equal">
      <formula>"Active"</formula>
    </cfRule>
    <cfRule type="cellIs" dxfId="1022" priority="648" operator="equal">
      <formula>"Non Active"</formula>
    </cfRule>
  </conditionalFormatting>
  <conditionalFormatting sqref="U170:V170">
    <cfRule type="cellIs" dxfId="1021" priority="646" operator="equal">
      <formula>"Ad-hoc"</formula>
    </cfRule>
  </conditionalFormatting>
  <conditionalFormatting sqref="U171:V171">
    <cfRule type="cellIs" dxfId="1020" priority="641" operator="equal">
      <formula>"Active"</formula>
    </cfRule>
    <cfRule type="cellIs" dxfId="1019" priority="642" operator="equal">
      <formula>"Non Active"</formula>
    </cfRule>
  </conditionalFormatting>
  <conditionalFormatting sqref="U171:V171">
    <cfRule type="cellIs" dxfId="1018" priority="640" operator="equal">
      <formula>"Ad-hoc"</formula>
    </cfRule>
  </conditionalFormatting>
  <conditionalFormatting sqref="U172:V172">
    <cfRule type="cellIs" dxfId="1017" priority="635" operator="equal">
      <formula>"Active"</formula>
    </cfRule>
    <cfRule type="cellIs" dxfId="1016" priority="636" operator="equal">
      <formula>"Non Active"</formula>
    </cfRule>
  </conditionalFormatting>
  <conditionalFormatting sqref="U172:V172">
    <cfRule type="cellIs" dxfId="1015" priority="634" operator="equal">
      <formula>"Ad-hoc"</formula>
    </cfRule>
  </conditionalFormatting>
  <conditionalFormatting sqref="U173:V173">
    <cfRule type="cellIs" dxfId="1014" priority="629" operator="equal">
      <formula>"Active"</formula>
    </cfRule>
    <cfRule type="cellIs" dxfId="1013" priority="630" operator="equal">
      <formula>"Non Active"</formula>
    </cfRule>
  </conditionalFormatting>
  <conditionalFormatting sqref="U173:V173">
    <cfRule type="cellIs" dxfId="1012" priority="628" operator="equal">
      <formula>"Ad-hoc"</formula>
    </cfRule>
  </conditionalFormatting>
  <conditionalFormatting sqref="U174:V174">
    <cfRule type="cellIs" dxfId="1011" priority="623" operator="equal">
      <formula>"Active"</formula>
    </cfRule>
    <cfRule type="cellIs" dxfId="1010" priority="624" operator="equal">
      <formula>"Non Active"</formula>
    </cfRule>
  </conditionalFormatting>
  <conditionalFormatting sqref="U174:V174">
    <cfRule type="cellIs" dxfId="1009" priority="622" operator="equal">
      <formula>"Ad-hoc"</formula>
    </cfRule>
  </conditionalFormatting>
  <conditionalFormatting sqref="U175:V183">
    <cfRule type="cellIs" dxfId="1008" priority="617" operator="equal">
      <formula>"Active"</formula>
    </cfRule>
    <cfRule type="cellIs" dxfId="1007" priority="618" operator="equal">
      <formula>"Non Active"</formula>
    </cfRule>
  </conditionalFormatting>
  <conditionalFormatting sqref="U175:V183">
    <cfRule type="cellIs" dxfId="1006" priority="616" operator="equal">
      <formula>"Ad-hoc"</formula>
    </cfRule>
  </conditionalFormatting>
  <conditionalFormatting sqref="U184:V184">
    <cfRule type="cellIs" dxfId="1005" priority="611" operator="equal">
      <formula>"Active"</formula>
    </cfRule>
    <cfRule type="cellIs" dxfId="1004" priority="612" operator="equal">
      <formula>"Non Active"</formula>
    </cfRule>
  </conditionalFormatting>
  <conditionalFormatting sqref="U184:V184">
    <cfRule type="cellIs" dxfId="1003" priority="610" operator="equal">
      <formula>"Ad-hoc"</formula>
    </cfRule>
  </conditionalFormatting>
  <conditionalFormatting sqref="U185:V185">
    <cfRule type="cellIs" dxfId="1002" priority="605" operator="equal">
      <formula>"Active"</formula>
    </cfRule>
    <cfRule type="cellIs" dxfId="1001" priority="606" operator="equal">
      <formula>"Non Active"</formula>
    </cfRule>
  </conditionalFormatting>
  <conditionalFormatting sqref="U185:V185">
    <cfRule type="cellIs" dxfId="1000" priority="604" operator="equal">
      <formula>"Ad-hoc"</formula>
    </cfRule>
  </conditionalFormatting>
  <conditionalFormatting sqref="U186:V186">
    <cfRule type="cellIs" dxfId="999" priority="599" operator="equal">
      <formula>"Active"</formula>
    </cfRule>
    <cfRule type="cellIs" dxfId="998" priority="600" operator="equal">
      <formula>"Non Active"</formula>
    </cfRule>
  </conditionalFormatting>
  <conditionalFormatting sqref="U186:V186">
    <cfRule type="cellIs" dxfId="997" priority="598" operator="equal">
      <formula>"Ad-hoc"</formula>
    </cfRule>
  </conditionalFormatting>
  <conditionalFormatting sqref="U187:V187">
    <cfRule type="cellIs" dxfId="996" priority="593" operator="equal">
      <formula>"Active"</formula>
    </cfRule>
    <cfRule type="cellIs" dxfId="995" priority="594" operator="equal">
      <formula>"Non Active"</formula>
    </cfRule>
  </conditionalFormatting>
  <conditionalFormatting sqref="U187:V187">
    <cfRule type="cellIs" dxfId="994" priority="592" operator="equal">
      <formula>"Ad-hoc"</formula>
    </cfRule>
  </conditionalFormatting>
  <conditionalFormatting sqref="U188:V188">
    <cfRule type="cellIs" dxfId="993" priority="587" operator="equal">
      <formula>"Active"</formula>
    </cfRule>
    <cfRule type="cellIs" dxfId="992" priority="588" operator="equal">
      <formula>"Non Active"</formula>
    </cfRule>
  </conditionalFormatting>
  <conditionalFormatting sqref="U188:V188">
    <cfRule type="cellIs" dxfId="991" priority="586" operator="equal">
      <formula>"Ad-hoc"</formula>
    </cfRule>
  </conditionalFormatting>
  <conditionalFormatting sqref="U189:V189">
    <cfRule type="cellIs" dxfId="990" priority="581" operator="equal">
      <formula>"Active"</formula>
    </cfRule>
    <cfRule type="cellIs" dxfId="989" priority="582" operator="equal">
      <formula>"Non Active"</formula>
    </cfRule>
  </conditionalFormatting>
  <conditionalFormatting sqref="U189:V189">
    <cfRule type="cellIs" dxfId="988" priority="580" operator="equal">
      <formula>"Ad-hoc"</formula>
    </cfRule>
  </conditionalFormatting>
  <conditionalFormatting sqref="U190:V190">
    <cfRule type="cellIs" dxfId="987" priority="572" operator="equal">
      <formula>"Active"</formula>
    </cfRule>
    <cfRule type="cellIs" dxfId="986" priority="573" operator="equal">
      <formula>"Non Active"</formula>
    </cfRule>
  </conditionalFormatting>
  <conditionalFormatting sqref="U190:V190">
    <cfRule type="cellIs" dxfId="985" priority="571" operator="equal">
      <formula>"Ad-hoc"</formula>
    </cfRule>
  </conditionalFormatting>
  <conditionalFormatting sqref="U191:V191">
    <cfRule type="cellIs" dxfId="984" priority="569" operator="equal">
      <formula>"Active"</formula>
    </cfRule>
    <cfRule type="cellIs" dxfId="983" priority="570" operator="equal">
      <formula>"Non Active"</formula>
    </cfRule>
  </conditionalFormatting>
  <conditionalFormatting sqref="U191:V191">
    <cfRule type="cellIs" dxfId="982" priority="568" operator="equal">
      <formula>"Ad-hoc"</formula>
    </cfRule>
  </conditionalFormatting>
  <conditionalFormatting sqref="U192:V192">
    <cfRule type="cellIs" dxfId="981" priority="563" operator="equal">
      <formula>"Active"</formula>
    </cfRule>
    <cfRule type="cellIs" dxfId="980" priority="564" operator="equal">
      <formula>"Non Active"</formula>
    </cfRule>
  </conditionalFormatting>
  <conditionalFormatting sqref="U192:V192">
    <cfRule type="cellIs" dxfId="979" priority="562" operator="equal">
      <formula>"Ad-hoc"</formula>
    </cfRule>
  </conditionalFormatting>
  <conditionalFormatting sqref="U193:V193">
    <cfRule type="cellIs" dxfId="978" priority="557" operator="equal">
      <formula>"Active"</formula>
    </cfRule>
    <cfRule type="cellIs" dxfId="977" priority="558" operator="equal">
      <formula>"Non Active"</formula>
    </cfRule>
  </conditionalFormatting>
  <conditionalFormatting sqref="U193:V193">
    <cfRule type="cellIs" dxfId="976" priority="556" operator="equal">
      <formula>"Ad-hoc"</formula>
    </cfRule>
  </conditionalFormatting>
  <conditionalFormatting sqref="U194:V194">
    <cfRule type="cellIs" dxfId="975" priority="551" operator="equal">
      <formula>"Active"</formula>
    </cfRule>
    <cfRule type="cellIs" dxfId="974" priority="552" operator="equal">
      <formula>"Non Active"</formula>
    </cfRule>
  </conditionalFormatting>
  <conditionalFormatting sqref="U194:V194">
    <cfRule type="cellIs" dxfId="973" priority="550" operator="equal">
      <formula>"Ad-hoc"</formula>
    </cfRule>
  </conditionalFormatting>
  <conditionalFormatting sqref="U195:V195">
    <cfRule type="cellIs" dxfId="972" priority="545" operator="equal">
      <formula>"Active"</formula>
    </cfRule>
    <cfRule type="cellIs" dxfId="971" priority="546" operator="equal">
      <formula>"Non Active"</formula>
    </cfRule>
  </conditionalFormatting>
  <conditionalFormatting sqref="U195:V195">
    <cfRule type="cellIs" dxfId="970" priority="544" operator="equal">
      <formula>"Ad-hoc"</formula>
    </cfRule>
  </conditionalFormatting>
  <conditionalFormatting sqref="U196:V196">
    <cfRule type="cellIs" dxfId="969" priority="539" operator="equal">
      <formula>"Active"</formula>
    </cfRule>
    <cfRule type="cellIs" dxfId="968" priority="540" operator="equal">
      <formula>"Non Active"</formula>
    </cfRule>
  </conditionalFormatting>
  <conditionalFormatting sqref="U196:V196">
    <cfRule type="cellIs" dxfId="967" priority="538" operator="equal">
      <formula>"Ad-hoc"</formula>
    </cfRule>
  </conditionalFormatting>
  <conditionalFormatting sqref="U197:V197">
    <cfRule type="cellIs" dxfId="966" priority="533" operator="equal">
      <formula>"Active"</formula>
    </cfRule>
    <cfRule type="cellIs" dxfId="965" priority="534" operator="equal">
      <formula>"Non Active"</formula>
    </cfRule>
  </conditionalFormatting>
  <conditionalFormatting sqref="U197:V197">
    <cfRule type="cellIs" dxfId="964" priority="532" operator="equal">
      <formula>"Ad-hoc"</formula>
    </cfRule>
  </conditionalFormatting>
  <conditionalFormatting sqref="U198:V198">
    <cfRule type="cellIs" dxfId="963" priority="527" operator="equal">
      <formula>"Active"</formula>
    </cfRule>
    <cfRule type="cellIs" dxfId="962" priority="528" operator="equal">
      <formula>"Non Active"</formula>
    </cfRule>
  </conditionalFormatting>
  <conditionalFormatting sqref="U198:V198">
    <cfRule type="cellIs" dxfId="961" priority="526" operator="equal">
      <formula>"Ad-hoc"</formula>
    </cfRule>
  </conditionalFormatting>
  <conditionalFormatting sqref="U199:V199">
    <cfRule type="cellIs" dxfId="960" priority="521" operator="equal">
      <formula>"Active"</formula>
    </cfRule>
    <cfRule type="cellIs" dxfId="959" priority="522" operator="equal">
      <formula>"Non Active"</formula>
    </cfRule>
  </conditionalFormatting>
  <conditionalFormatting sqref="U199:V199">
    <cfRule type="cellIs" dxfId="958" priority="520" operator="equal">
      <formula>"Ad-hoc"</formula>
    </cfRule>
  </conditionalFormatting>
  <conditionalFormatting sqref="U200:V200">
    <cfRule type="cellIs" dxfId="957" priority="515" operator="equal">
      <formula>"Active"</formula>
    </cfRule>
    <cfRule type="cellIs" dxfId="956" priority="516" operator="equal">
      <formula>"Non Active"</formula>
    </cfRule>
  </conditionalFormatting>
  <conditionalFormatting sqref="U200:V200">
    <cfRule type="cellIs" dxfId="955" priority="514" operator="equal">
      <formula>"Ad-hoc"</formula>
    </cfRule>
  </conditionalFormatting>
  <conditionalFormatting sqref="U201:V201">
    <cfRule type="cellIs" dxfId="954" priority="506" operator="equal">
      <formula>"Active"</formula>
    </cfRule>
    <cfRule type="cellIs" dxfId="953" priority="507" operator="equal">
      <formula>"Non Active"</formula>
    </cfRule>
  </conditionalFormatting>
  <conditionalFormatting sqref="U201:V201">
    <cfRule type="cellIs" dxfId="952" priority="505" operator="equal">
      <formula>"Ad-hoc"</formula>
    </cfRule>
  </conditionalFormatting>
  <conditionalFormatting sqref="U202:V202">
    <cfRule type="cellIs" dxfId="951" priority="503" operator="equal">
      <formula>"Active"</formula>
    </cfRule>
    <cfRule type="cellIs" dxfId="950" priority="504" operator="equal">
      <formula>"Non Active"</formula>
    </cfRule>
  </conditionalFormatting>
  <conditionalFormatting sqref="U202:V202">
    <cfRule type="cellIs" dxfId="949" priority="502" operator="equal">
      <formula>"Ad-hoc"</formula>
    </cfRule>
  </conditionalFormatting>
  <conditionalFormatting sqref="U203:V203">
    <cfRule type="cellIs" dxfId="948" priority="497" operator="equal">
      <formula>"Active"</formula>
    </cfRule>
    <cfRule type="cellIs" dxfId="947" priority="498" operator="equal">
      <formula>"Non Active"</formula>
    </cfRule>
  </conditionalFormatting>
  <conditionalFormatting sqref="U203:V203">
    <cfRule type="cellIs" dxfId="946" priority="496" operator="equal">
      <formula>"Ad-hoc"</formula>
    </cfRule>
  </conditionalFormatting>
  <conditionalFormatting sqref="U204:V204">
    <cfRule type="cellIs" dxfId="945" priority="491" operator="equal">
      <formula>"Active"</formula>
    </cfRule>
    <cfRule type="cellIs" dxfId="944" priority="492" operator="equal">
      <formula>"Non Active"</formula>
    </cfRule>
  </conditionalFormatting>
  <conditionalFormatting sqref="U204:V204">
    <cfRule type="cellIs" dxfId="943" priority="490" operator="equal">
      <formula>"Ad-hoc"</formula>
    </cfRule>
  </conditionalFormatting>
  <conditionalFormatting sqref="U205:V205">
    <cfRule type="cellIs" dxfId="942" priority="485" operator="equal">
      <formula>"Active"</formula>
    </cfRule>
    <cfRule type="cellIs" dxfId="941" priority="486" operator="equal">
      <formula>"Non Active"</formula>
    </cfRule>
  </conditionalFormatting>
  <conditionalFormatting sqref="U205:V205">
    <cfRule type="cellIs" dxfId="940" priority="484" operator="equal">
      <formula>"Ad-hoc"</formula>
    </cfRule>
  </conditionalFormatting>
  <conditionalFormatting sqref="U206:V206">
    <cfRule type="cellIs" dxfId="939" priority="479" operator="equal">
      <formula>"Active"</formula>
    </cfRule>
    <cfRule type="cellIs" dxfId="938" priority="480" operator="equal">
      <formula>"Non Active"</formula>
    </cfRule>
  </conditionalFormatting>
  <conditionalFormatting sqref="U206:V206">
    <cfRule type="cellIs" dxfId="937" priority="478" operator="equal">
      <formula>"Ad-hoc"</formula>
    </cfRule>
  </conditionalFormatting>
  <conditionalFormatting sqref="U207:V207">
    <cfRule type="cellIs" dxfId="936" priority="473" operator="equal">
      <formula>"Active"</formula>
    </cfRule>
    <cfRule type="cellIs" dxfId="935" priority="474" operator="equal">
      <formula>"Non Active"</formula>
    </cfRule>
  </conditionalFormatting>
  <conditionalFormatting sqref="U207:V207">
    <cfRule type="cellIs" dxfId="934" priority="472" operator="equal">
      <formula>"Ad-hoc"</formula>
    </cfRule>
  </conditionalFormatting>
  <conditionalFormatting sqref="U208:V208">
    <cfRule type="cellIs" dxfId="933" priority="467" operator="equal">
      <formula>"Active"</formula>
    </cfRule>
    <cfRule type="cellIs" dxfId="932" priority="468" operator="equal">
      <formula>"Non Active"</formula>
    </cfRule>
  </conditionalFormatting>
  <conditionalFormatting sqref="U208:V208">
    <cfRule type="cellIs" dxfId="931" priority="466" operator="equal">
      <formula>"Ad-hoc"</formula>
    </cfRule>
  </conditionalFormatting>
  <conditionalFormatting sqref="AB209">
    <cfRule type="timePeriod" dxfId="930" priority="462" timePeriod="last7Days">
      <formula>AND(TODAY()-FLOOR(AB209,1)&lt;=6,FLOOR(AB209,1)&lt;=TODAY())</formula>
    </cfRule>
  </conditionalFormatting>
  <conditionalFormatting sqref="AB210">
    <cfRule type="timePeriod" dxfId="929" priority="461" timePeriod="last7Days">
      <formula>AND(TODAY()-FLOOR(AB210,1)&lt;=6,FLOOR(AB210,1)&lt;=TODAY())</formula>
    </cfRule>
  </conditionalFormatting>
  <conditionalFormatting sqref="AB211">
    <cfRule type="timePeriod" dxfId="928" priority="460" timePeriod="last7Days">
      <formula>AND(TODAY()-FLOOR(AB211,1)&lt;=6,FLOOR(AB211,1)&lt;=TODAY())</formula>
    </cfRule>
  </conditionalFormatting>
  <conditionalFormatting sqref="AB212">
    <cfRule type="timePeriod" dxfId="927" priority="459" timePeriod="last7Days">
      <formula>AND(TODAY()-FLOOR(AB212,1)&lt;=6,FLOOR(AB212,1)&lt;=TODAY())</formula>
    </cfRule>
  </conditionalFormatting>
  <conditionalFormatting sqref="AB213">
    <cfRule type="timePeriod" dxfId="926" priority="457" timePeriod="last7Days">
      <formula>AND(TODAY()-FLOOR(AB213,1)&lt;=6,FLOOR(AB213,1)&lt;=TODAY())</formula>
    </cfRule>
  </conditionalFormatting>
  <conditionalFormatting sqref="AB214">
    <cfRule type="timePeriod" dxfId="925" priority="456" timePeriod="last7Days">
      <formula>AND(TODAY()-FLOOR(AB214,1)&lt;=6,FLOOR(AB214,1)&lt;=TODAY())</formula>
    </cfRule>
  </conditionalFormatting>
  <conditionalFormatting sqref="AB215">
    <cfRule type="timePeriod" dxfId="924" priority="455" timePeriod="last7Days">
      <formula>AND(TODAY()-FLOOR(AB215,1)&lt;=6,FLOOR(AB215,1)&lt;=TODAY())</formula>
    </cfRule>
  </conditionalFormatting>
  <conditionalFormatting sqref="AB216">
    <cfRule type="timePeriod" dxfId="923" priority="454" timePeriod="last7Days">
      <formula>AND(TODAY()-FLOOR(AB216,1)&lt;=6,FLOOR(AB216,1)&lt;=TODAY())</formula>
    </cfRule>
  </conditionalFormatting>
  <conditionalFormatting sqref="AB217">
    <cfRule type="timePeriod" dxfId="922" priority="453" timePeriod="last7Days">
      <formula>AND(TODAY()-FLOOR(AB217,1)&lt;=6,FLOOR(AB217,1)&lt;=TODAY())</formula>
    </cfRule>
  </conditionalFormatting>
  <conditionalFormatting sqref="AB218">
    <cfRule type="timePeriod" dxfId="921" priority="452" timePeriod="last7Days">
      <formula>AND(TODAY()-FLOOR(AB218,1)&lt;=6,FLOOR(AB218,1)&lt;=TODAY())</formula>
    </cfRule>
  </conditionalFormatting>
  <conditionalFormatting sqref="AB218">
    <cfRule type="timePeriod" dxfId="920" priority="451" timePeriod="last7Days">
      <formula>AND(TODAY()-FLOOR(AB218,1)&lt;=6,FLOOR(AB218,1)&lt;=TODAY())</formula>
    </cfRule>
  </conditionalFormatting>
  <conditionalFormatting sqref="AB219">
    <cfRule type="timePeriod" dxfId="919" priority="450" timePeriod="last7Days">
      <formula>AND(TODAY()-FLOOR(AB219,1)&lt;=6,FLOOR(AB219,1)&lt;=TODAY())</formula>
    </cfRule>
  </conditionalFormatting>
  <conditionalFormatting sqref="AB220:AB227">
    <cfRule type="timePeriod" dxfId="918" priority="449" timePeriod="last7Days">
      <formula>AND(TODAY()-FLOOR(AB220,1)&lt;=6,FLOOR(AB220,1)&lt;=TODAY())</formula>
    </cfRule>
  </conditionalFormatting>
  <conditionalFormatting sqref="AB220:AB227">
    <cfRule type="timePeriod" dxfId="917" priority="447" timePeriod="last7Days">
      <formula>AND(TODAY()-FLOOR(AB220,1)&lt;=6,FLOOR(AB220,1)&lt;=TODAY())</formula>
    </cfRule>
  </conditionalFormatting>
  <conditionalFormatting sqref="AB228">
    <cfRule type="timePeriod" dxfId="916" priority="441" timePeriod="last7Days">
      <formula>AND(TODAY()-FLOOR(AB228,1)&lt;=6,FLOOR(AB228,1)&lt;=TODAY())</formula>
    </cfRule>
  </conditionalFormatting>
  <conditionalFormatting sqref="AB229">
    <cfRule type="timePeriod" dxfId="915" priority="440" timePeriod="last7Days">
      <formula>AND(TODAY()-FLOOR(AB229,1)&lt;=6,FLOOR(AB229,1)&lt;=TODAY())</formula>
    </cfRule>
  </conditionalFormatting>
  <conditionalFormatting sqref="AB230">
    <cfRule type="timePeriod" dxfId="914" priority="439" timePeriod="last7Days">
      <formula>AND(TODAY()-FLOOR(AB230,1)&lt;=6,FLOOR(AB230,1)&lt;=TODAY())</formula>
    </cfRule>
  </conditionalFormatting>
  <conditionalFormatting sqref="AB231">
    <cfRule type="timePeriod" dxfId="913" priority="438" timePeriod="last7Days">
      <formula>AND(TODAY()-FLOOR(AB231,1)&lt;=6,FLOOR(AB231,1)&lt;=TODAY())</formula>
    </cfRule>
  </conditionalFormatting>
  <conditionalFormatting sqref="AB232">
    <cfRule type="timePeriod" dxfId="912" priority="437" timePeriod="last7Days">
      <formula>AND(TODAY()-FLOOR(AB232,1)&lt;=6,FLOOR(AB232,1)&lt;=TODAY())</formula>
    </cfRule>
  </conditionalFormatting>
  <conditionalFormatting sqref="AB233">
    <cfRule type="timePeriod" dxfId="911" priority="436" timePeriod="last7Days">
      <formula>AND(TODAY()-FLOOR(AB233,1)&lt;=6,FLOOR(AB233,1)&lt;=TODAY())</formula>
    </cfRule>
  </conditionalFormatting>
  <conditionalFormatting sqref="AB234">
    <cfRule type="timePeriod" dxfId="910" priority="435" timePeriod="last7Days">
      <formula>AND(TODAY()-FLOOR(AB234,1)&lt;=6,FLOOR(AB234,1)&lt;=TODAY())</formula>
    </cfRule>
  </conditionalFormatting>
  <conditionalFormatting sqref="AB235">
    <cfRule type="timePeriod" dxfId="909" priority="432" timePeriod="last7Days">
      <formula>AND(TODAY()-FLOOR(AB235,1)&lt;=6,FLOOR(AB235,1)&lt;=TODAY())</formula>
    </cfRule>
  </conditionalFormatting>
  <conditionalFormatting sqref="AB236">
    <cfRule type="timePeriod" dxfId="908" priority="431" timePeriod="last7Days">
      <formula>AND(TODAY()-FLOOR(AB236,1)&lt;=6,FLOOR(AB236,1)&lt;=TODAY())</formula>
    </cfRule>
  </conditionalFormatting>
  <conditionalFormatting sqref="AB237">
    <cfRule type="timePeriod" dxfId="907" priority="430" timePeriod="last7Days">
      <formula>AND(TODAY()-FLOOR(AB237,1)&lt;=6,FLOOR(AB237,1)&lt;=TODAY())</formula>
    </cfRule>
  </conditionalFormatting>
  <conditionalFormatting sqref="AB238">
    <cfRule type="timePeriod" dxfId="906" priority="429" timePeriod="last7Days">
      <formula>AND(TODAY()-FLOOR(AB238,1)&lt;=6,FLOOR(AB238,1)&lt;=TODAY())</formula>
    </cfRule>
  </conditionalFormatting>
  <conditionalFormatting sqref="AB239">
    <cfRule type="timePeriod" dxfId="905" priority="428" timePeriod="last7Days">
      <formula>AND(TODAY()-FLOOR(AB239,1)&lt;=6,FLOOR(AB239,1)&lt;=TODAY())</formula>
    </cfRule>
  </conditionalFormatting>
  <conditionalFormatting sqref="AB240">
    <cfRule type="timePeriod" dxfId="904" priority="427" timePeriod="last7Days">
      <formula>AND(TODAY()-FLOOR(AB240,1)&lt;=6,FLOOR(AB240,1)&lt;=TODAY())</formula>
    </cfRule>
  </conditionalFormatting>
  <conditionalFormatting sqref="AB241">
    <cfRule type="timePeriod" dxfId="903" priority="426" timePeriod="last7Days">
      <formula>AND(TODAY()-FLOOR(AB241,1)&lt;=6,FLOOR(AB241,1)&lt;=TODAY())</formula>
    </cfRule>
  </conditionalFormatting>
  <conditionalFormatting sqref="AB242">
    <cfRule type="timePeriod" dxfId="902" priority="425" timePeriod="last7Days">
      <formula>AND(TODAY()-FLOOR(AB242,1)&lt;=6,FLOOR(AB242,1)&lt;=TODAY())</formula>
    </cfRule>
  </conditionalFormatting>
  <conditionalFormatting sqref="AB243">
    <cfRule type="timePeriod" dxfId="901" priority="424" timePeriod="last7Days">
      <formula>AND(TODAY()-FLOOR(AB243,1)&lt;=6,FLOOR(AB243,1)&lt;=TODAY())</formula>
    </cfRule>
  </conditionalFormatting>
  <conditionalFormatting sqref="AB244">
    <cfRule type="timePeriod" dxfId="900" priority="423" timePeriod="last7Days">
      <formula>AND(TODAY()-FLOOR(AB244,1)&lt;=6,FLOOR(AB244,1)&lt;=TODAY())</formula>
    </cfRule>
  </conditionalFormatting>
  <conditionalFormatting sqref="AB245:AB247">
    <cfRule type="timePeriod" dxfId="899" priority="420" timePeriod="last7Days">
      <formula>AND(TODAY()-FLOOR(AB245,1)&lt;=6,FLOOR(AB245,1)&lt;=TODAY())</formula>
    </cfRule>
  </conditionalFormatting>
  <conditionalFormatting sqref="AB248:AB250">
    <cfRule type="timePeriod" dxfId="898" priority="419" timePeriod="last7Days">
      <formula>AND(TODAY()-FLOOR(AB248,1)&lt;=6,FLOOR(AB248,1)&lt;=TODAY())</formula>
    </cfRule>
  </conditionalFormatting>
  <conditionalFormatting sqref="AB249">
    <cfRule type="timePeriod" dxfId="897" priority="418" timePeriod="last7Days">
      <formula>AND(TODAY()-FLOOR(AB249,1)&lt;=6,FLOOR(AB249,1)&lt;=TODAY())</formula>
    </cfRule>
  </conditionalFormatting>
  <conditionalFormatting sqref="AB251:AB253">
    <cfRule type="timePeriod" dxfId="896" priority="417" timePeriod="last7Days">
      <formula>AND(TODAY()-FLOOR(AB251,1)&lt;=6,FLOOR(AB251,1)&lt;=TODAY())</formula>
    </cfRule>
  </conditionalFormatting>
  <conditionalFormatting sqref="AB252">
    <cfRule type="timePeriod" dxfId="895" priority="416" timePeriod="last7Days">
      <formula>AND(TODAY()-FLOOR(AB252,1)&lt;=6,FLOOR(AB252,1)&lt;=TODAY())</formula>
    </cfRule>
  </conditionalFormatting>
  <conditionalFormatting sqref="AB254:AB255">
    <cfRule type="timePeriod" dxfId="894" priority="415" timePeriod="last7Days">
      <formula>AND(TODAY()-FLOOR(AB254,1)&lt;=6,FLOOR(AB254,1)&lt;=TODAY())</formula>
    </cfRule>
  </conditionalFormatting>
  <conditionalFormatting sqref="AB256">
    <cfRule type="timePeriod" dxfId="893" priority="414" timePeriod="last7Days">
      <formula>AND(TODAY()-FLOOR(AB256,1)&lt;=6,FLOOR(AB256,1)&lt;=TODAY())</formula>
    </cfRule>
  </conditionalFormatting>
  <conditionalFormatting sqref="AB257">
    <cfRule type="timePeriod" dxfId="892" priority="413" timePeriod="last7Days">
      <formula>AND(TODAY()-FLOOR(AB257,1)&lt;=6,FLOOR(AB257,1)&lt;=TODAY())</formula>
    </cfRule>
  </conditionalFormatting>
  <conditionalFormatting sqref="AB258">
    <cfRule type="timePeriod" dxfId="891" priority="412" timePeriod="last7Days">
      <formula>AND(TODAY()-FLOOR(AB258,1)&lt;=6,FLOOR(AB258,1)&lt;=TODAY())</formula>
    </cfRule>
  </conditionalFormatting>
  <conditionalFormatting sqref="AB259:AB260">
    <cfRule type="timePeriod" dxfId="890" priority="411" timePeriod="last7Days">
      <formula>AND(TODAY()-FLOOR(AB259,1)&lt;=6,FLOOR(AB259,1)&lt;=TODAY())</formula>
    </cfRule>
  </conditionalFormatting>
  <conditionalFormatting sqref="AB261">
    <cfRule type="timePeriod" dxfId="889" priority="410" timePeriod="last7Days">
      <formula>AND(TODAY()-FLOOR(AB261,1)&lt;=6,FLOOR(AB261,1)&lt;=TODAY())</formula>
    </cfRule>
  </conditionalFormatting>
  <conditionalFormatting sqref="AB262">
    <cfRule type="timePeriod" dxfId="888" priority="409" timePeriod="last7Days">
      <formula>AND(TODAY()-FLOOR(AB262,1)&lt;=6,FLOOR(AB262,1)&lt;=TODAY())</formula>
    </cfRule>
  </conditionalFormatting>
  <conditionalFormatting sqref="AB263">
    <cfRule type="timePeriod" dxfId="887" priority="408" timePeriod="last7Days">
      <formula>AND(TODAY()-FLOOR(AB263,1)&lt;=6,FLOOR(AB263,1)&lt;=TODAY())</formula>
    </cfRule>
  </conditionalFormatting>
  <conditionalFormatting sqref="AB265">
    <cfRule type="timePeriod" dxfId="886" priority="395" timePeriod="last7Days">
      <formula>AND(TODAY()-FLOOR(AB265,1)&lt;=6,FLOOR(AB265,1)&lt;=TODAY())</formula>
    </cfRule>
  </conditionalFormatting>
  <conditionalFormatting sqref="AB266">
    <cfRule type="timePeriod" dxfId="885" priority="394" timePeriod="last7Days">
      <formula>AND(TODAY()-FLOOR(AB266,1)&lt;=6,FLOOR(AB266,1)&lt;=TODAY())</formula>
    </cfRule>
  </conditionalFormatting>
  <conditionalFormatting sqref="AB267">
    <cfRule type="timePeriod" dxfId="884" priority="393" timePeriod="last7Days">
      <formula>AND(TODAY()-FLOOR(AB267,1)&lt;=6,FLOOR(AB267,1)&lt;=TODAY())</formula>
    </cfRule>
  </conditionalFormatting>
  <conditionalFormatting sqref="AB268">
    <cfRule type="timePeriod" dxfId="883" priority="392" timePeriod="last7Days">
      <formula>AND(TODAY()-FLOOR(AB268,1)&lt;=6,FLOOR(AB268,1)&lt;=TODAY())</formula>
    </cfRule>
  </conditionalFormatting>
  <conditionalFormatting sqref="AB269">
    <cfRule type="timePeriod" dxfId="882" priority="391" timePeriod="last7Days">
      <formula>AND(TODAY()-FLOOR(AB269,1)&lt;=6,FLOOR(AB269,1)&lt;=TODAY())</formula>
    </cfRule>
  </conditionalFormatting>
  <conditionalFormatting sqref="AB269">
    <cfRule type="timePeriod" dxfId="881" priority="390" timePeriod="last7Days">
      <formula>AND(TODAY()-FLOOR(AB269,1)&lt;=6,FLOOR(AB269,1)&lt;=TODAY())</formula>
    </cfRule>
  </conditionalFormatting>
  <conditionalFormatting sqref="AB270">
    <cfRule type="timePeriod" dxfId="880" priority="388" timePeriod="last7Days">
      <formula>AND(TODAY()-FLOOR(AB270,1)&lt;=6,FLOOR(AB270,1)&lt;=TODAY())</formula>
    </cfRule>
  </conditionalFormatting>
  <conditionalFormatting sqref="AB271">
    <cfRule type="timePeriod" dxfId="879" priority="387" timePeriod="last7Days">
      <formula>AND(TODAY()-FLOOR(AB271,1)&lt;=6,FLOOR(AB271,1)&lt;=TODAY())</formula>
    </cfRule>
  </conditionalFormatting>
  <conditionalFormatting sqref="AB272">
    <cfRule type="timePeriod" dxfId="878" priority="386" timePeriod="last7Days">
      <formula>AND(TODAY()-FLOOR(AB272,1)&lt;=6,FLOOR(AB272,1)&lt;=TODAY())</formula>
    </cfRule>
  </conditionalFormatting>
  <conditionalFormatting sqref="AB273">
    <cfRule type="timePeriod" dxfId="877" priority="385" timePeriod="last7Days">
      <formula>AND(TODAY()-FLOOR(AB273,1)&lt;=6,FLOOR(AB273,1)&lt;=TODAY())</formula>
    </cfRule>
  </conditionalFormatting>
  <conditionalFormatting sqref="AB274">
    <cfRule type="timePeriod" dxfId="876" priority="384" timePeriod="last7Days">
      <formula>AND(TODAY()-FLOOR(AB274,1)&lt;=6,FLOOR(AB274,1)&lt;=TODAY())</formula>
    </cfRule>
  </conditionalFormatting>
  <conditionalFormatting sqref="AB275">
    <cfRule type="timePeriod" dxfId="875" priority="383" timePeriod="last7Days">
      <formula>AND(TODAY()-FLOOR(AB275,1)&lt;=6,FLOOR(AB275,1)&lt;=TODAY())</formula>
    </cfRule>
  </conditionalFormatting>
  <conditionalFormatting sqref="AB276">
    <cfRule type="timePeriod" dxfId="874" priority="382" timePeriod="last7Days">
      <formula>AND(TODAY()-FLOOR(AB276,1)&lt;=6,FLOOR(AB276,1)&lt;=TODAY())</formula>
    </cfRule>
  </conditionalFormatting>
  <conditionalFormatting sqref="AB277">
    <cfRule type="timePeriod" dxfId="873" priority="381" timePeriod="last7Days">
      <formula>AND(TODAY()-FLOOR(AB277,1)&lt;=6,FLOOR(AB277,1)&lt;=TODAY())</formula>
    </cfRule>
  </conditionalFormatting>
  <conditionalFormatting sqref="AB278">
    <cfRule type="timePeriod" dxfId="872" priority="380" timePeriod="last7Days">
      <formula>AND(TODAY()-FLOOR(AB278,1)&lt;=6,FLOOR(AB278,1)&lt;=TODAY())</formula>
    </cfRule>
  </conditionalFormatting>
  <conditionalFormatting sqref="AB279">
    <cfRule type="timePeriod" dxfId="871" priority="379" timePeriod="last7Days">
      <formula>AND(TODAY()-FLOOR(AB279,1)&lt;=6,FLOOR(AB279,1)&lt;=TODAY())</formula>
    </cfRule>
  </conditionalFormatting>
  <conditionalFormatting sqref="AB280">
    <cfRule type="timePeriod" dxfId="870" priority="378" timePeriod="last7Days">
      <formula>AND(TODAY()-FLOOR(AB280,1)&lt;=6,FLOOR(AB280,1)&lt;=TODAY())</formula>
    </cfRule>
  </conditionalFormatting>
  <conditionalFormatting sqref="AB281">
    <cfRule type="timePeriod" dxfId="869" priority="377" timePeriod="last7Days">
      <formula>AND(TODAY()-FLOOR(AB281,1)&lt;=6,FLOOR(AB281,1)&lt;=TODAY())</formula>
    </cfRule>
  </conditionalFormatting>
  <conditionalFormatting sqref="AB282">
    <cfRule type="timePeriod" dxfId="868" priority="376" timePeriod="last7Days">
      <formula>AND(TODAY()-FLOOR(AB282,1)&lt;=6,FLOOR(AB282,1)&lt;=TODAY())</formula>
    </cfRule>
  </conditionalFormatting>
  <conditionalFormatting sqref="AB283">
    <cfRule type="timePeriod" dxfId="867" priority="375" timePeriod="last7Days">
      <formula>AND(TODAY()-FLOOR(AB283,1)&lt;=6,FLOOR(AB283,1)&lt;=TODAY())</formula>
    </cfRule>
  </conditionalFormatting>
  <conditionalFormatting sqref="AB284">
    <cfRule type="timePeriod" dxfId="866" priority="374" timePeriod="last7Days">
      <formula>AND(TODAY()-FLOOR(AB284,1)&lt;=6,FLOOR(AB284,1)&lt;=TODAY())</formula>
    </cfRule>
  </conditionalFormatting>
  <conditionalFormatting sqref="AB286">
    <cfRule type="timePeriod" dxfId="865" priority="372" timePeriod="last7Days">
      <formula>AND(TODAY()-FLOOR(AB286,1)&lt;=6,FLOOR(AB286,1)&lt;=TODAY())</formula>
    </cfRule>
  </conditionalFormatting>
  <conditionalFormatting sqref="AB287">
    <cfRule type="timePeriod" dxfId="864" priority="371" timePeriod="last7Days">
      <formula>AND(TODAY()-FLOOR(AB287,1)&lt;=6,FLOOR(AB287,1)&lt;=TODAY())</formula>
    </cfRule>
  </conditionalFormatting>
  <conditionalFormatting sqref="AB288">
    <cfRule type="timePeriod" dxfId="863" priority="370" timePeriod="last7Days">
      <formula>AND(TODAY()-FLOOR(AB288,1)&lt;=6,FLOOR(AB288,1)&lt;=TODAY())</formula>
    </cfRule>
  </conditionalFormatting>
  <conditionalFormatting sqref="AB289">
    <cfRule type="timePeriod" dxfId="862" priority="369" timePeriod="last7Days">
      <formula>AND(TODAY()-FLOOR(AB289,1)&lt;=6,FLOOR(AB289,1)&lt;=TODAY())</formula>
    </cfRule>
  </conditionalFormatting>
  <conditionalFormatting sqref="AB290">
    <cfRule type="timePeriod" dxfId="861" priority="368" timePeriod="last7Days">
      <formula>AND(TODAY()-FLOOR(AB290,1)&lt;=6,FLOOR(AB290,1)&lt;=TODAY())</formula>
    </cfRule>
  </conditionalFormatting>
  <conditionalFormatting sqref="AB291">
    <cfRule type="timePeriod" dxfId="860" priority="367" timePeriod="last7Days">
      <formula>AND(TODAY()-FLOOR(AB291,1)&lt;=6,FLOOR(AB291,1)&lt;=TODAY())</formula>
    </cfRule>
  </conditionalFormatting>
  <conditionalFormatting sqref="AB292">
    <cfRule type="timePeriod" dxfId="859" priority="366" timePeriod="last7Days">
      <formula>AND(TODAY()-FLOOR(AB292,1)&lt;=6,FLOOR(AB292,1)&lt;=TODAY())</formula>
    </cfRule>
  </conditionalFormatting>
  <conditionalFormatting sqref="AB293">
    <cfRule type="timePeriod" dxfId="858" priority="365" timePeriod="last7Days">
      <formula>AND(TODAY()-FLOOR(AB293,1)&lt;=6,FLOOR(AB293,1)&lt;=TODAY())</formula>
    </cfRule>
  </conditionalFormatting>
  <conditionalFormatting sqref="AB294">
    <cfRule type="timePeriod" dxfId="857" priority="364" timePeriod="last7Days">
      <formula>AND(TODAY()-FLOOR(AB294,1)&lt;=6,FLOOR(AB294,1)&lt;=TODAY())</formula>
    </cfRule>
  </conditionalFormatting>
  <conditionalFormatting sqref="AB295">
    <cfRule type="timePeriod" dxfId="856" priority="363" timePeriod="last7Days">
      <formula>AND(TODAY()-FLOOR(AB295,1)&lt;=6,FLOOR(AB295,1)&lt;=TODAY())</formula>
    </cfRule>
  </conditionalFormatting>
  <conditionalFormatting sqref="AB296">
    <cfRule type="timePeriod" dxfId="855" priority="362" timePeriod="last7Days">
      <formula>AND(TODAY()-FLOOR(AB296,1)&lt;=6,FLOOR(AB296,1)&lt;=TODAY())</formula>
    </cfRule>
  </conditionalFormatting>
  <conditionalFormatting sqref="AB297">
    <cfRule type="timePeriod" dxfId="854" priority="361" timePeriod="last7Days">
      <formula>AND(TODAY()-FLOOR(AB297,1)&lt;=6,FLOOR(AB297,1)&lt;=TODAY())</formula>
    </cfRule>
  </conditionalFormatting>
  <conditionalFormatting sqref="AB298">
    <cfRule type="timePeriod" dxfId="853" priority="360" timePeriod="last7Days">
      <formula>AND(TODAY()-FLOOR(AB298,1)&lt;=6,FLOOR(AB298,1)&lt;=TODAY())</formula>
    </cfRule>
  </conditionalFormatting>
  <conditionalFormatting sqref="AB299">
    <cfRule type="timePeriod" dxfId="852" priority="350" timePeriod="last7Days">
      <formula>AND(TODAY()-FLOOR(AB299,1)&lt;=6,FLOOR(AB299,1)&lt;=TODAY())</formula>
    </cfRule>
  </conditionalFormatting>
  <conditionalFormatting sqref="AB300">
    <cfRule type="timePeriod" dxfId="851" priority="342" timePeriod="last7Days">
      <formula>AND(TODAY()-FLOOR(AB300,1)&lt;=6,FLOOR(AB300,1)&lt;=TODAY())</formula>
    </cfRule>
  </conditionalFormatting>
  <conditionalFormatting sqref="AB301">
    <cfRule type="timePeriod" dxfId="850" priority="341" timePeriod="last7Days">
      <formula>AND(TODAY()-FLOOR(AB301,1)&lt;=6,FLOOR(AB301,1)&lt;=TODAY())</formula>
    </cfRule>
  </conditionalFormatting>
  <conditionalFormatting sqref="AB302">
    <cfRule type="timePeriod" dxfId="849" priority="340" timePeriod="last7Days">
      <formula>AND(TODAY()-FLOOR(AB302,1)&lt;=6,FLOOR(AB302,1)&lt;=TODAY())</formula>
    </cfRule>
  </conditionalFormatting>
  <conditionalFormatting sqref="AB303">
    <cfRule type="timePeriod" dxfId="848" priority="339" timePeriod="last7Days">
      <formula>AND(TODAY()-FLOOR(AB303,1)&lt;=6,FLOOR(AB303,1)&lt;=TODAY())</formula>
    </cfRule>
  </conditionalFormatting>
  <conditionalFormatting sqref="AB304">
    <cfRule type="timePeriod" dxfId="847" priority="338" timePeriod="last7Days">
      <formula>AND(TODAY()-FLOOR(AB304,1)&lt;=6,FLOOR(AB304,1)&lt;=TODAY())</formula>
    </cfRule>
  </conditionalFormatting>
  <conditionalFormatting sqref="AB264">
    <cfRule type="timePeriod" dxfId="846" priority="337" timePeriod="last7Days">
      <formula>AND(TODAY()-FLOOR(AB264,1)&lt;=6,FLOOR(AB264,1)&lt;=TODAY())</formula>
    </cfRule>
  </conditionalFormatting>
  <conditionalFormatting sqref="AB305">
    <cfRule type="timePeriod" dxfId="845" priority="336" timePeriod="last7Days">
      <formula>AND(TODAY()-FLOOR(AB305,1)&lt;=6,FLOOR(AB305,1)&lt;=TODAY())</formula>
    </cfRule>
  </conditionalFormatting>
  <conditionalFormatting sqref="AB306">
    <cfRule type="timePeriod" dxfId="844" priority="335" timePeriod="last7Days">
      <formula>AND(TODAY()-FLOOR(AB306,1)&lt;=6,FLOOR(AB306,1)&lt;=TODAY())</formula>
    </cfRule>
  </conditionalFormatting>
  <conditionalFormatting sqref="AB307">
    <cfRule type="timePeriod" dxfId="843" priority="334" timePeriod="last7Days">
      <formula>AND(TODAY()-FLOOR(AB307,1)&lt;=6,FLOOR(AB307,1)&lt;=TODAY())</formula>
    </cfRule>
  </conditionalFormatting>
  <conditionalFormatting sqref="AB308">
    <cfRule type="timePeriod" dxfId="842" priority="333" timePeriod="last7Days">
      <formula>AND(TODAY()-FLOOR(AB308,1)&lt;=6,FLOOR(AB308,1)&lt;=TODAY())</formula>
    </cfRule>
  </conditionalFormatting>
  <conditionalFormatting sqref="AB309">
    <cfRule type="timePeriod" dxfId="841" priority="332" timePeriod="last7Days">
      <formula>AND(TODAY()-FLOOR(AB309,1)&lt;=6,FLOOR(AB309,1)&lt;=TODAY())</formula>
    </cfRule>
  </conditionalFormatting>
  <conditionalFormatting sqref="AB310">
    <cfRule type="timePeriod" dxfId="840" priority="331" timePeriod="last7Days">
      <formula>AND(TODAY()-FLOOR(AB310,1)&lt;=6,FLOOR(AB310,1)&lt;=TODAY())</formula>
    </cfRule>
  </conditionalFormatting>
  <conditionalFormatting sqref="AB310">
    <cfRule type="timePeriod" dxfId="839" priority="329" timePeriod="last7Days">
      <formula>AND(TODAY()-FLOOR(AB310,1)&lt;=6,FLOOR(AB310,1)&lt;=TODAY())</formula>
    </cfRule>
  </conditionalFormatting>
  <conditionalFormatting sqref="AB311">
    <cfRule type="timePeriod" dxfId="838" priority="328" timePeriod="last7Days">
      <formula>AND(TODAY()-FLOOR(AB311,1)&lt;=6,FLOOR(AB311,1)&lt;=TODAY())</formula>
    </cfRule>
  </conditionalFormatting>
  <conditionalFormatting sqref="AB312">
    <cfRule type="timePeriod" dxfId="837" priority="327" timePeriod="last7Days">
      <formula>AND(TODAY()-FLOOR(AB312,1)&lt;=6,FLOOR(AB312,1)&lt;=TODAY())</formula>
    </cfRule>
  </conditionalFormatting>
  <conditionalFormatting sqref="AB313">
    <cfRule type="timePeriod" dxfId="836" priority="326" timePeriod="last7Days">
      <formula>AND(TODAY()-FLOOR(AB313,1)&lt;=6,FLOOR(AB313,1)&lt;=TODAY())</formula>
    </cfRule>
  </conditionalFormatting>
  <conditionalFormatting sqref="AB314">
    <cfRule type="timePeriod" dxfId="835" priority="325" timePeriod="last7Days">
      <formula>AND(TODAY()-FLOOR(AB314,1)&lt;=6,FLOOR(AB314,1)&lt;=TODAY())</formula>
    </cfRule>
  </conditionalFormatting>
  <conditionalFormatting sqref="AB315">
    <cfRule type="timePeriod" dxfId="834" priority="324" timePeriod="last7Days">
      <formula>AND(TODAY()-FLOOR(AB315,1)&lt;=6,FLOOR(AB315,1)&lt;=TODAY())</formula>
    </cfRule>
  </conditionalFormatting>
  <conditionalFormatting sqref="AB315">
    <cfRule type="timePeriod" dxfId="833" priority="323" timePeriod="last7Days">
      <formula>AND(TODAY()-FLOOR(AB315,1)&lt;=6,FLOOR(AB315,1)&lt;=TODAY())</formula>
    </cfRule>
  </conditionalFormatting>
  <conditionalFormatting sqref="AB316">
    <cfRule type="timePeriod" dxfId="832" priority="322" timePeriod="last7Days">
      <formula>AND(TODAY()-FLOOR(AB316,1)&lt;=6,FLOOR(AB316,1)&lt;=TODAY())</formula>
    </cfRule>
  </conditionalFormatting>
  <conditionalFormatting sqref="AB317">
    <cfRule type="timePeriod" dxfId="831" priority="321" timePeriod="last7Days">
      <formula>AND(TODAY()-FLOOR(AB317,1)&lt;=6,FLOOR(AB317,1)&lt;=TODAY())</formula>
    </cfRule>
  </conditionalFormatting>
  <conditionalFormatting sqref="AB317">
    <cfRule type="timePeriod" dxfId="830" priority="320" timePeriod="last7Days">
      <formula>AND(TODAY()-FLOOR(AB317,1)&lt;=6,FLOOR(AB317,1)&lt;=TODAY())</formula>
    </cfRule>
  </conditionalFormatting>
  <conditionalFormatting sqref="AB318">
    <cfRule type="timePeriod" dxfId="829" priority="319" timePeriod="last7Days">
      <formula>AND(TODAY()-FLOOR(AB318,1)&lt;=6,FLOOR(AB318,1)&lt;=TODAY())</formula>
    </cfRule>
  </conditionalFormatting>
  <conditionalFormatting sqref="AB319">
    <cfRule type="timePeriod" dxfId="828" priority="318" timePeriod="last7Days">
      <formula>AND(TODAY()-FLOOR(AB319,1)&lt;=6,FLOOR(AB319,1)&lt;=TODAY())</formula>
    </cfRule>
  </conditionalFormatting>
  <conditionalFormatting sqref="AB320">
    <cfRule type="timePeriod" dxfId="827" priority="317" timePeriod="last7Days">
      <formula>AND(TODAY()-FLOOR(AB320,1)&lt;=6,FLOOR(AB320,1)&lt;=TODAY())</formula>
    </cfRule>
  </conditionalFormatting>
  <conditionalFormatting sqref="AB321">
    <cfRule type="timePeriod" dxfId="826" priority="316" timePeriod="last7Days">
      <formula>AND(TODAY()-FLOOR(AB321,1)&lt;=6,FLOOR(AB321,1)&lt;=TODAY())</formula>
    </cfRule>
  </conditionalFormatting>
  <conditionalFormatting sqref="AB322">
    <cfRule type="timePeriod" dxfId="825" priority="315" timePeriod="last7Days">
      <formula>AND(TODAY()-FLOOR(AB322,1)&lt;=6,FLOOR(AB322,1)&lt;=TODAY())</formula>
    </cfRule>
  </conditionalFormatting>
  <conditionalFormatting sqref="AB323">
    <cfRule type="timePeriod" dxfId="824" priority="314" timePeriod="last7Days">
      <formula>AND(TODAY()-FLOOR(AB323,1)&lt;=6,FLOOR(AB323,1)&lt;=TODAY())</formula>
    </cfRule>
  </conditionalFormatting>
  <conditionalFormatting sqref="AB324">
    <cfRule type="timePeriod" dxfId="823" priority="313" timePeriod="last7Days">
      <formula>AND(TODAY()-FLOOR(AB324,1)&lt;=6,FLOOR(AB324,1)&lt;=TODAY())</formula>
    </cfRule>
  </conditionalFormatting>
  <conditionalFormatting sqref="AB325">
    <cfRule type="timePeriod" dxfId="822" priority="312" timePeriod="last7Days">
      <formula>AND(TODAY()-FLOOR(AB325,1)&lt;=6,FLOOR(AB325,1)&lt;=TODAY())</formula>
    </cfRule>
  </conditionalFormatting>
  <conditionalFormatting sqref="AB326">
    <cfRule type="timePeriod" dxfId="821" priority="304" timePeriod="last7Days">
      <formula>AND(TODAY()-FLOOR(AB326,1)&lt;=6,FLOOR(AB326,1)&lt;=TODAY())</formula>
    </cfRule>
  </conditionalFormatting>
  <conditionalFormatting sqref="AB326">
    <cfRule type="timePeriod" dxfId="820" priority="303" timePeriod="last7Days">
      <formula>AND(TODAY()-FLOOR(AB326,1)&lt;=6,FLOOR(AB326,1)&lt;=TODAY())</formula>
    </cfRule>
  </conditionalFormatting>
  <conditionalFormatting sqref="AB327">
    <cfRule type="timePeriod" dxfId="819" priority="302" timePeriod="last7Days">
      <formula>AND(TODAY()-FLOOR(AB327,1)&lt;=6,FLOOR(AB327,1)&lt;=TODAY())</formula>
    </cfRule>
  </conditionalFormatting>
  <conditionalFormatting sqref="AB327">
    <cfRule type="timePeriod" dxfId="818" priority="301" timePeriod="last7Days">
      <formula>AND(TODAY()-FLOOR(AB327,1)&lt;=6,FLOOR(AB327,1)&lt;=TODAY())</formula>
    </cfRule>
  </conditionalFormatting>
  <conditionalFormatting sqref="AB328">
    <cfRule type="timePeriod" dxfId="817" priority="291" timePeriod="last7Days">
      <formula>AND(TODAY()-FLOOR(AB328,1)&lt;=6,FLOOR(AB328,1)&lt;=TODAY())</formula>
    </cfRule>
  </conditionalFormatting>
  <conditionalFormatting sqref="AB329">
    <cfRule type="timePeriod" dxfId="816" priority="290" timePeriod="last7Days">
      <formula>AND(TODAY()-FLOOR(AB329,1)&lt;=6,FLOOR(AB329,1)&lt;=TODAY())</formula>
    </cfRule>
  </conditionalFormatting>
  <conditionalFormatting sqref="AB329">
    <cfRule type="timePeriod" dxfId="815" priority="289" timePeriod="last7Days">
      <formula>AND(TODAY()-FLOOR(AB329,1)&lt;=6,FLOOR(AB329,1)&lt;=TODAY())</formula>
    </cfRule>
  </conditionalFormatting>
  <conditionalFormatting sqref="AB330">
    <cfRule type="timePeriod" dxfId="814" priority="288" timePeriod="last7Days">
      <formula>AND(TODAY()-FLOOR(AB330,1)&lt;=6,FLOOR(AB330,1)&lt;=TODAY())</formula>
    </cfRule>
  </conditionalFormatting>
  <conditionalFormatting sqref="AB331">
    <cfRule type="timePeriod" dxfId="813" priority="285" timePeriod="last7Days">
      <formula>AND(TODAY()-FLOOR(AB331,1)&lt;=6,FLOOR(AB331,1)&lt;=TODAY())</formula>
    </cfRule>
  </conditionalFormatting>
  <conditionalFormatting sqref="AB332">
    <cfRule type="timePeriod" dxfId="812" priority="282" timePeriod="last7Days">
      <formula>AND(TODAY()-FLOOR(AB332,1)&lt;=6,FLOOR(AB332,1)&lt;=TODAY())</formula>
    </cfRule>
  </conditionalFormatting>
  <conditionalFormatting sqref="AB333">
    <cfRule type="timePeriod" dxfId="811" priority="281" timePeriod="last7Days">
      <formula>AND(TODAY()-FLOOR(AB333,1)&lt;=6,FLOOR(AB333,1)&lt;=TODAY())</formula>
    </cfRule>
  </conditionalFormatting>
  <conditionalFormatting sqref="AB333">
    <cfRule type="timePeriod" dxfId="810" priority="280" timePeriod="last7Days">
      <formula>AND(TODAY()-FLOOR(AB333,1)&lt;=6,FLOOR(AB333,1)&lt;=TODAY())</formula>
    </cfRule>
  </conditionalFormatting>
  <conditionalFormatting sqref="AB334">
    <cfRule type="timePeriod" dxfId="809" priority="279" timePeriod="last7Days">
      <formula>AND(TODAY()-FLOOR(AB334,1)&lt;=6,FLOOR(AB334,1)&lt;=TODAY())</formula>
    </cfRule>
  </conditionalFormatting>
  <conditionalFormatting sqref="AB335">
    <cfRule type="timePeriod" dxfId="808" priority="278" timePeriod="last7Days">
      <formula>AND(TODAY()-FLOOR(AB335,1)&lt;=6,FLOOR(AB335,1)&lt;=TODAY())</formula>
    </cfRule>
  </conditionalFormatting>
  <conditionalFormatting sqref="AB336">
    <cfRule type="timePeriod" dxfId="807" priority="277" timePeriod="last7Days">
      <formula>AND(TODAY()-FLOOR(AB336,1)&lt;=6,FLOOR(AB336,1)&lt;=TODAY())</formula>
    </cfRule>
  </conditionalFormatting>
  <conditionalFormatting sqref="AB337:AB339">
    <cfRule type="timePeriod" dxfId="806" priority="276" timePeriod="last7Days">
      <formula>AND(TODAY()-FLOOR(AB337,1)&lt;=6,FLOOR(AB337,1)&lt;=TODAY())</formula>
    </cfRule>
  </conditionalFormatting>
  <conditionalFormatting sqref="AB340">
    <cfRule type="timePeriod" dxfId="805" priority="270" timePeriod="last7Days">
      <formula>AND(TODAY()-FLOOR(AB340,1)&lt;=6,FLOOR(AB340,1)&lt;=TODAY())</formula>
    </cfRule>
  </conditionalFormatting>
  <conditionalFormatting sqref="AB341">
    <cfRule type="timePeriod" dxfId="804" priority="269" timePeriod="last7Days">
      <formula>AND(TODAY()-FLOOR(AB341,1)&lt;=6,FLOOR(AB341,1)&lt;=TODAY())</formula>
    </cfRule>
  </conditionalFormatting>
  <conditionalFormatting sqref="AB342">
    <cfRule type="timePeriod" dxfId="803" priority="268" timePeriod="last7Days">
      <formula>AND(TODAY()-FLOOR(AB342,1)&lt;=6,FLOOR(AB342,1)&lt;=TODAY())</formula>
    </cfRule>
  </conditionalFormatting>
  <conditionalFormatting sqref="AB343">
    <cfRule type="timePeriod" dxfId="802" priority="267" timePeriod="last7Days">
      <formula>AND(TODAY()-FLOOR(AB343,1)&lt;=6,FLOOR(AB343,1)&lt;=TODAY())</formula>
    </cfRule>
  </conditionalFormatting>
  <conditionalFormatting sqref="AB344">
    <cfRule type="timePeriod" dxfId="801" priority="265" timePeriod="last7Days">
      <formula>AND(TODAY()-FLOOR(AB344,1)&lt;=6,FLOOR(AB344,1)&lt;=TODAY())</formula>
    </cfRule>
  </conditionalFormatting>
  <conditionalFormatting sqref="AB345">
    <cfRule type="timePeriod" dxfId="800" priority="264" timePeriod="last7Days">
      <formula>AND(TODAY()-FLOOR(AB345,1)&lt;=6,FLOOR(AB345,1)&lt;=TODAY())</formula>
    </cfRule>
  </conditionalFormatting>
  <conditionalFormatting sqref="AB346">
    <cfRule type="timePeriod" dxfId="799" priority="262" timePeriod="last7Days">
      <formula>AND(TODAY()-FLOOR(AB346,1)&lt;=6,FLOOR(AB346,1)&lt;=TODAY())</formula>
    </cfRule>
  </conditionalFormatting>
  <conditionalFormatting sqref="AB347">
    <cfRule type="timePeriod" dxfId="798" priority="260" timePeriod="last7Days">
      <formula>AND(TODAY()-FLOOR(AB347,1)&lt;=6,FLOOR(AB347,1)&lt;=TODAY())</formula>
    </cfRule>
  </conditionalFormatting>
  <conditionalFormatting sqref="AB348">
    <cfRule type="timePeriod" dxfId="797" priority="259" timePeriod="last7Days">
      <formula>AND(TODAY()-FLOOR(AB348,1)&lt;=6,FLOOR(AB348,1)&lt;=TODAY())</formula>
    </cfRule>
  </conditionalFormatting>
  <conditionalFormatting sqref="AB349">
    <cfRule type="timePeriod" dxfId="796" priority="258" timePeriod="last7Days">
      <formula>AND(TODAY()-FLOOR(AB349,1)&lt;=6,FLOOR(AB349,1)&lt;=TODAY())</formula>
    </cfRule>
  </conditionalFormatting>
  <conditionalFormatting sqref="AB350">
    <cfRule type="timePeriod" dxfId="795" priority="257" timePeriod="last7Days">
      <formula>AND(TODAY()-FLOOR(AB350,1)&lt;=6,FLOOR(AB350,1)&lt;=TODAY())</formula>
    </cfRule>
  </conditionalFormatting>
  <conditionalFormatting sqref="AB351">
    <cfRule type="timePeriod" dxfId="794" priority="255" timePeriod="last7Days">
      <formula>AND(TODAY()-FLOOR(AB351,1)&lt;=6,FLOOR(AB351,1)&lt;=TODAY())</formula>
    </cfRule>
  </conditionalFormatting>
  <conditionalFormatting sqref="AB352">
    <cfRule type="timePeriod" dxfId="793" priority="253" timePeriod="last7Days">
      <formula>AND(TODAY()-FLOOR(AB352,1)&lt;=6,FLOOR(AB352,1)&lt;=TODAY())</formula>
    </cfRule>
  </conditionalFormatting>
  <conditionalFormatting sqref="AB353">
    <cfRule type="timePeriod" dxfId="792" priority="252" timePeriod="last7Days">
      <formula>AND(TODAY()-FLOOR(AB353,1)&lt;=6,FLOOR(AB353,1)&lt;=TODAY())</formula>
    </cfRule>
  </conditionalFormatting>
  <conditionalFormatting sqref="AB354">
    <cfRule type="timePeriod" dxfId="791" priority="245" timePeriod="last7Days">
      <formula>AND(TODAY()-FLOOR(AB354,1)&lt;=6,FLOOR(AB354,1)&lt;=TODAY())</formula>
    </cfRule>
  </conditionalFormatting>
  <conditionalFormatting sqref="AB354">
    <cfRule type="timePeriod" dxfId="790" priority="244" timePeriod="last7Days">
      <formula>AND(TODAY()-FLOOR(AB354,1)&lt;=6,FLOOR(AB354,1)&lt;=TODAY())</formula>
    </cfRule>
  </conditionalFormatting>
  <conditionalFormatting sqref="AB355:AB356">
    <cfRule type="timePeriod" dxfId="789" priority="242" timePeriod="last7Days">
      <formula>AND(TODAY()-FLOOR(AB355,1)&lt;=6,FLOOR(AB355,1)&lt;=TODAY())</formula>
    </cfRule>
  </conditionalFormatting>
  <conditionalFormatting sqref="AB355">
    <cfRule type="timePeriod" dxfId="788" priority="241" timePeriod="last7Days">
      <formula>AND(TODAY()-FLOOR(AB355,1)&lt;=6,FLOOR(AB355,1)&lt;=TODAY())</formula>
    </cfRule>
  </conditionalFormatting>
  <conditionalFormatting sqref="AB357:AB369">
    <cfRule type="timePeriod" dxfId="787" priority="238" timePeriod="last7Days">
      <formula>AND(TODAY()-FLOOR(AB357,1)&lt;=6,FLOOR(AB357,1)&lt;=TODAY())</formula>
    </cfRule>
  </conditionalFormatting>
  <conditionalFormatting sqref="AB357 AB359:AB362 AB365:AB369">
    <cfRule type="timePeriod" dxfId="786" priority="237" timePeriod="last7Days">
      <formula>AND(TODAY()-FLOOR(AB357,1)&lt;=6,FLOOR(AB357,1)&lt;=TODAY())</formula>
    </cfRule>
  </conditionalFormatting>
  <conditionalFormatting sqref="AB370">
    <cfRule type="timePeriod" dxfId="785" priority="225" timePeriod="last7Days">
      <formula>AND(TODAY()-FLOOR(AB370,1)&lt;=6,FLOOR(AB370,1)&lt;=TODAY())</formula>
    </cfRule>
  </conditionalFormatting>
  <conditionalFormatting sqref="AB371">
    <cfRule type="timePeriod" dxfId="784" priority="223" timePeriod="last7Days">
      <formula>AND(TODAY()-FLOOR(AB371,1)&lt;=6,FLOOR(AB371,1)&lt;=TODAY())</formula>
    </cfRule>
  </conditionalFormatting>
  <conditionalFormatting sqref="AB372">
    <cfRule type="timePeriod" dxfId="783" priority="222" timePeriod="last7Days">
      <formula>AND(TODAY()-FLOOR(AB372,1)&lt;=6,FLOOR(AB372,1)&lt;=TODAY())</formula>
    </cfRule>
  </conditionalFormatting>
  <conditionalFormatting sqref="AB373">
    <cfRule type="timePeriod" dxfId="782" priority="221" timePeriod="last7Days">
      <formula>AND(TODAY()-FLOOR(AB373,1)&lt;=6,FLOOR(AB373,1)&lt;=TODAY())</formula>
    </cfRule>
  </conditionalFormatting>
  <conditionalFormatting sqref="AB374">
    <cfRule type="timePeriod" dxfId="781" priority="216" timePeriod="last7Days">
      <formula>AND(TODAY()-FLOOR(AB374,1)&lt;=6,FLOOR(AB374,1)&lt;=TODAY())</formula>
    </cfRule>
  </conditionalFormatting>
  <conditionalFormatting sqref="AB375">
    <cfRule type="timePeriod" dxfId="780" priority="215" timePeriod="last7Days">
      <formula>AND(TODAY()-FLOOR(AB375,1)&lt;=6,FLOOR(AB375,1)&lt;=TODAY())</formula>
    </cfRule>
  </conditionalFormatting>
  <conditionalFormatting sqref="AB376:AB377">
    <cfRule type="timePeriod" dxfId="779" priority="214" timePeriod="last7Days">
      <formula>AND(TODAY()-FLOOR(AB376,1)&lt;=6,FLOOR(AB376,1)&lt;=TODAY())</formula>
    </cfRule>
  </conditionalFormatting>
  <conditionalFormatting sqref="AB378:AB383">
    <cfRule type="timePeriod" dxfId="778" priority="213" timePeriod="last7Days">
      <formula>AND(TODAY()-FLOOR(AB378,1)&lt;=6,FLOOR(AB378,1)&lt;=TODAY())</formula>
    </cfRule>
  </conditionalFormatting>
  <conditionalFormatting sqref="AB384">
    <cfRule type="timePeriod" dxfId="777" priority="210" timePeriod="last7Days">
      <formula>AND(TODAY()-FLOOR(AB384,1)&lt;=6,FLOOR(AB384,1)&lt;=TODAY())</formula>
    </cfRule>
  </conditionalFormatting>
  <conditionalFormatting sqref="AB385">
    <cfRule type="timePeriod" dxfId="776" priority="209" timePeriod="last7Days">
      <formula>AND(TODAY()-FLOOR(AB385,1)&lt;=6,FLOOR(AB385,1)&lt;=TODAY())</formula>
    </cfRule>
  </conditionalFormatting>
  <conditionalFormatting sqref="AB386">
    <cfRule type="timePeriod" dxfId="775" priority="208" timePeriod="last7Days">
      <formula>AND(TODAY()-FLOOR(AB386,1)&lt;=6,FLOOR(AB386,1)&lt;=TODAY())</formula>
    </cfRule>
  </conditionalFormatting>
  <conditionalFormatting sqref="Q387">
    <cfRule type="timePeriod" dxfId="774" priority="206" timePeriod="last7Days">
      <formula>AND(TODAY()-FLOOR(Q387,1)&lt;=6,FLOOR(Q387,1)&lt;=TODAY())</formula>
    </cfRule>
  </conditionalFormatting>
  <conditionalFormatting sqref="Q388">
    <cfRule type="timePeriod" dxfId="773" priority="205" timePeriod="last7Days">
      <formula>AND(TODAY()-FLOOR(Q388,1)&lt;=6,FLOOR(Q388,1)&lt;=TODAY())</formula>
    </cfRule>
  </conditionalFormatting>
  <conditionalFormatting sqref="Q388">
    <cfRule type="timePeriod" dxfId="772" priority="204" timePeriod="last7Days">
      <formula>AND(TODAY()-FLOOR(Q388,1)&lt;=6,FLOOR(Q388,1)&lt;=TODAY())</formula>
    </cfRule>
  </conditionalFormatting>
  <conditionalFormatting sqref="AC389">
    <cfRule type="timePeriod" dxfId="771" priority="203" timePeriod="last7Days">
      <formula>AND(TODAY()-FLOOR(AC389,1)&lt;=6,FLOOR(AC389,1)&lt;=TODAY())</formula>
    </cfRule>
  </conditionalFormatting>
  <conditionalFormatting sqref="AC389">
    <cfRule type="timePeriod" dxfId="770" priority="202" timePeriod="last7Days">
      <formula>AND(TODAY()-FLOOR(AC389,1)&lt;=6,FLOOR(AC389,1)&lt;=TODAY())</formula>
    </cfRule>
  </conditionalFormatting>
  <conditionalFormatting sqref="AB390">
    <cfRule type="timePeriod" dxfId="769" priority="174" timePeriod="last7Days">
      <formula>AND(TODAY()-FLOOR(AB390,1)&lt;=6,FLOOR(AB390,1)&lt;=TODAY())</formula>
    </cfRule>
  </conditionalFormatting>
  <conditionalFormatting sqref="AB391">
    <cfRule type="timePeriod" dxfId="768" priority="173" timePeriod="last7Days">
      <formula>AND(TODAY()-FLOOR(AB391,1)&lt;=6,FLOOR(AB391,1)&lt;=TODAY())</formula>
    </cfRule>
  </conditionalFormatting>
  <conditionalFormatting sqref="AB93">
    <cfRule type="timePeriod" dxfId="767" priority="164" timePeriod="last7Days">
      <formula>AND(TODAY()-FLOOR(AB93,1)&lt;=6,FLOOR(AB93,1)&lt;=TODAY())</formula>
    </cfRule>
  </conditionalFormatting>
  <conditionalFormatting sqref="AB94">
    <cfRule type="timePeriod" dxfId="766" priority="163" timePeriod="last7Days">
      <formula>AND(TODAY()-FLOOR(AB94,1)&lt;=6,FLOOR(AB94,1)&lt;=TODAY())</formula>
    </cfRule>
  </conditionalFormatting>
  <conditionalFormatting sqref="AB95">
    <cfRule type="timePeriod" dxfId="765" priority="162" timePeriod="last7Days">
      <formula>AND(TODAY()-FLOOR(AB95,1)&lt;=6,FLOOR(AB95,1)&lt;=TODAY())</formula>
    </cfRule>
  </conditionalFormatting>
  <conditionalFormatting sqref="AB96">
    <cfRule type="timePeriod" dxfId="764" priority="161" timePeriod="last7Days">
      <formula>AND(TODAY()-FLOOR(AB96,1)&lt;=6,FLOOR(AB96,1)&lt;=TODAY())</formula>
    </cfRule>
  </conditionalFormatting>
  <conditionalFormatting sqref="AB97">
    <cfRule type="timePeriod" dxfId="763" priority="160" timePeriod="last7Days">
      <formula>AND(TODAY()-FLOOR(AB97,1)&lt;=6,FLOOR(AB97,1)&lt;=TODAY())</formula>
    </cfRule>
  </conditionalFormatting>
  <conditionalFormatting sqref="AB98">
    <cfRule type="timePeriod" dxfId="762" priority="159" timePeriod="last7Days">
      <formula>AND(TODAY()-FLOOR(AB98,1)&lt;=6,FLOOR(AB98,1)&lt;=TODAY())</formula>
    </cfRule>
  </conditionalFormatting>
  <conditionalFormatting sqref="AB99">
    <cfRule type="timePeriod" dxfId="761" priority="157" timePeriod="last7Days">
      <formula>AND(TODAY()-FLOOR(AB99,1)&lt;=6,FLOOR(AB99,1)&lt;=TODAY())</formula>
    </cfRule>
  </conditionalFormatting>
  <conditionalFormatting sqref="AB392">
    <cfRule type="timePeriod" dxfId="760" priority="148" timePeriod="last7Days">
      <formula>AND(TODAY()-FLOOR(AB392,1)&lt;=6,FLOOR(AB392,1)&lt;=TODAY())</formula>
    </cfRule>
  </conditionalFormatting>
  <conditionalFormatting sqref="AB393">
    <cfRule type="timePeriod" dxfId="759" priority="147" timePeriod="last7Days">
      <formula>AND(TODAY()-FLOOR(AB393,1)&lt;=6,FLOOR(AB393,1)&lt;=TODAY())</formula>
    </cfRule>
  </conditionalFormatting>
  <conditionalFormatting sqref="AB394">
    <cfRule type="timePeriod" dxfId="758" priority="146" timePeriod="last7Days">
      <formula>AND(TODAY()-FLOOR(AB394,1)&lt;=6,FLOOR(AB394,1)&lt;=TODAY())</formula>
    </cfRule>
  </conditionalFormatting>
  <conditionalFormatting sqref="AB396">
    <cfRule type="timePeriod" dxfId="757" priority="144" timePeriod="last7Days">
      <formula>AND(TODAY()-FLOOR(AB396,1)&lt;=6,FLOOR(AB396,1)&lt;=TODAY())</formula>
    </cfRule>
  </conditionalFormatting>
  <conditionalFormatting sqref="AB397">
    <cfRule type="timePeriod" dxfId="756" priority="140" timePeriod="last7Days">
      <formula>AND(TODAY()-FLOOR(AB397,1)&lt;=6,FLOOR(AB397,1)&lt;=TODAY())</formula>
    </cfRule>
  </conditionalFormatting>
  <conditionalFormatting sqref="AB398:AB402">
    <cfRule type="timePeriod" dxfId="755" priority="139" timePeriod="last7Days">
      <formula>AND(TODAY()-FLOOR(AB398,1)&lt;=6,FLOOR(AB398,1)&lt;=TODAY())</formula>
    </cfRule>
  </conditionalFormatting>
  <conditionalFormatting sqref="AB403">
    <cfRule type="timePeriod" dxfId="754" priority="130" timePeriod="last7Days">
      <formula>AND(TODAY()-FLOOR(AB403,1)&lt;=6,FLOOR(AB403,1)&lt;=TODAY())</formula>
    </cfRule>
  </conditionalFormatting>
  <conditionalFormatting sqref="AB404:AB405">
    <cfRule type="timePeriod" dxfId="753" priority="129" timePeriod="last7Days">
      <formula>AND(TODAY()-FLOOR(AB404,1)&lt;=6,FLOOR(AB404,1)&lt;=TODAY())</formula>
    </cfRule>
  </conditionalFormatting>
  <conditionalFormatting sqref="AB404:AB405">
    <cfRule type="timePeriod" dxfId="752" priority="128" timePeriod="last7Days">
      <formula>AND(TODAY()-FLOOR(AB404,1)&lt;=6,FLOOR(AB404,1)&lt;=TODAY())</formula>
    </cfRule>
  </conditionalFormatting>
  <conditionalFormatting sqref="AB395">
    <cfRule type="timePeriod" dxfId="751" priority="127" timePeriod="last7Days">
      <formula>AND(TODAY()-FLOOR(AB395,1)&lt;=6,FLOOR(AB395,1)&lt;=TODAY())</formula>
    </cfRule>
  </conditionalFormatting>
  <conditionalFormatting sqref="AB406:AB416">
    <cfRule type="timePeriod" dxfId="750" priority="124" timePeriod="last7Days">
      <formula>AND(TODAY()-FLOOR(AB406,1)&lt;=6,FLOOR(AB406,1)&lt;=TODAY())</formula>
    </cfRule>
  </conditionalFormatting>
  <conditionalFormatting sqref="AB406:AB416">
    <cfRule type="timePeriod" dxfId="749" priority="123" timePeriod="last7Days">
      <formula>AND(TODAY()-FLOOR(AB406,1)&lt;=6,FLOOR(AB406,1)&lt;=TODAY())</formula>
    </cfRule>
  </conditionalFormatting>
  <conditionalFormatting sqref="AB426:AB430">
    <cfRule type="timePeriod" dxfId="748" priority="13" timePeriod="last7Days">
      <formula>AND(TODAY()-FLOOR(AB426,1)&lt;=6,FLOOR(AB426,1)&lt;=TODAY())</formula>
    </cfRule>
  </conditionalFormatting>
  <conditionalFormatting sqref="AB431">
    <cfRule type="timePeriod" dxfId="747" priority="8" timePeriod="last7Days">
      <formula>AND(TODAY()-FLOOR(AB431,1)&lt;=6,FLOOR(AB431,1)&lt;=TODAY())</formula>
    </cfRule>
  </conditionalFormatting>
  <conditionalFormatting sqref="AB432">
    <cfRule type="timePeriod" dxfId="746" priority="6" timePeriod="last7Days">
      <formula>AND(TODAY()-FLOOR(AB432,1)&lt;=6,FLOOR(AB432,1)&lt;=TODAY())</formula>
    </cfRule>
  </conditionalFormatting>
  <conditionalFormatting sqref="AB433:AB434">
    <cfRule type="timePeriod" dxfId="745" priority="5" timePeriod="last7Days">
      <formula>AND(TODAY()-FLOOR(AB433,1)&lt;=6,FLOOR(AB433,1)&lt;=TODAY())</formula>
    </cfRule>
  </conditionalFormatting>
  <conditionalFormatting sqref="AB433:AB434">
    <cfRule type="timePeriod" dxfId="744" priority="4" timePeriod="last7Days">
      <formula>AND(TODAY()-FLOOR(AB433,1)&lt;=6,FLOOR(AB433,1)&lt;=TODAY())</formula>
    </cfRule>
  </conditionalFormatting>
  <conditionalFormatting sqref="AC435">
    <cfRule type="timePeriod" dxfId="743" priority="2" timePeriod="last7Days">
      <formula>AND(TODAY()-FLOOR(AC435,1)&lt;=6,FLOOR(AC435,1)&lt;=TODAY())</formula>
    </cfRule>
  </conditionalFormatting>
  <dataValidations count="12">
    <dataValidation type="list" allowBlank="1" showInputMessage="1" showErrorMessage="1" sqref="X299 X325 X338 X346 X2 X396" xr:uid="{00000000-0002-0000-0200-000000000000}">
      <formula1>Officer</formula1>
    </dataValidation>
    <dataValidation type="list" allowBlank="1" showInputMessage="1" showErrorMessage="1" sqref="Z209:Z217 Z220:Z225 Z228:Z233 Z236:Z239 Z300:Z303 Z274:Z291 Z305:Z310 Z314:Z316 Z318 Z320:Z324 Z332:Z337 Z339:Z340 Z342:Z345 Z375:Z386 O387 Z241:Z272 Z293:Z298 Z326:Z328 Z347:Z353 Z371:Z373 AA389 Z397:Z400 Z390:Z395 Z403:Z404 Z406:Z408 Z418 Z93:Z99 Z411:Z416 Z421 Z423 Z426:Z430 Z432 Z434 AA435" xr:uid="{00000000-0002-0000-0200-000002000000}">
      <formula1>Tiering</formula1>
    </dataValidation>
    <dataValidation type="whole" allowBlank="1" showInputMessage="1" showErrorMessage="1" error="Please insert a whole number between 1 and 240" sqref="P234 P331 P355:P369" xr:uid="{00000000-0002-0000-0200-000004000000}">
      <formula1>1</formula1>
      <formula2>240</formula2>
    </dataValidation>
    <dataValidation allowBlank="1" showInputMessage="1" showErrorMessage="1" sqref="E1 D390:D411 D418 D93:D99 D413:D416 D420:D421 D423:D430 D432:D435" xr:uid="{00000000-0002-0000-0200-000005000000}"/>
    <dataValidation type="list" allowBlank="1" showInputMessage="1" showErrorMessage="1" sqref="W19 W21:W23 W57:W58 W64 W72:W74 W91:W92" xr:uid="{C46D6C89-EC0F-444E-9168-8346768449A3}">
      <formula1>"Continue, Delay, Extend, Emergency, Completed, After 2020"</formula1>
    </dataValidation>
    <dataValidation type="list" allowBlank="1" showInputMessage="1" showErrorMessage="1" sqref="O157 S4 S19 S21:S23 S56:S58 S64 S71:S74 S91:S92 S158:S188 S190:S208 Q157 Z240 Z227 H234 Y234:Z234 Z235 Z299 Z311:Z312 Z317 Z319 Z325 Z330:Z331 H331 Y331 Z338 Z346 H355:H364 Y355:Y358 H368:H369 Y360:Y369 Z374 O388 Y2:Z2 S2 S100:S150 S152:S156 Z354:Z370 Z396 Z401:Z402 Z405 Z409:Z410 Z420 Z425 Z433" xr:uid="{8C7D92AF-5EFF-425D-896D-424DB7E82C89}"/>
    <dataValidation type="list" allowBlank="1" showInputMessage="1" showErrorMessage="1" sqref="F1 F390:F411 F418 F93:F99 F413:F416 F420:F421 F423:F435" xr:uid="{A7D18F35-160C-4F5B-ABBC-3365540650EF}">
      <formula1>"CYPS,HAS,Resources,CD,Environment,HR_BS,LE,LDS"</formula1>
    </dataValidation>
    <dataValidation type="list" allowBlank="1" showInputMessage="1" showErrorMessage="1" sqref="G1" xr:uid="{22BA7320-4914-4B52-9D40-E327559CB505}">
      <formula1>INDIRECT(#REF!)</formula1>
    </dataValidation>
    <dataValidation type="list" allowBlank="1" showInputMessage="1" showErrorMessage="1" sqref="E390:E411 E418 E93:E99 E413:E416 E420:E421 E423:E435" xr:uid="{58160399-863F-44BC-B20C-32EE285E6E7F}">
      <formula1>Original</formula1>
    </dataValidation>
    <dataValidation type="list" allowBlank="1" showInputMessage="1" showErrorMessage="1" sqref="G93:G99 G423:G435 G420:G421 G413:G416 G390:G411 G418" xr:uid="{8A9D73C6-BFDA-409D-A533-E0E6588A78B9}">
      <formula1>INDIRECT($F93)</formula1>
    </dataValidation>
    <dataValidation type="date" operator="greaterThan" allowBlank="1" showInputMessage="1" showErrorMessage="1" error="Please enter a valid date in the following format **/**/****" sqref="O234 O360:O369 O355:O356 O331" xr:uid="{00000000-0002-0000-0200-000003000000}">
      <formula1>36526</formula1>
    </dataValidation>
    <dataValidation type="list" allowBlank="1" showInputMessage="1" showErrorMessage="1" sqref="AD209:AD336 AD338:AD386 AE435 AD390:AD411 AD418 AD93:AD99 AD413:AD416 AD420:AD421 AD423:AD430 AD432:AD434 AE389 X300:X324 X339:X345 N387:N388 X209:X298 X326:X337 X347:X386 X397:X411 X413:X416 X420:X421 X432:X434 Y209:Y217 Z435 Y434:Y435 Y432 X423:Y430 Y421 Y411:Y416 Y397:Y400 X390:Y395 Y276:Y302 Y272:Y274 Y268:Y270 Y261:Y265 Y257:Y259 Y254:Y255 Y245:Y252 Y241:Y242 X418:Y418 Y406:Y408 Y403:Y404 Y304:Y309 Y389:Z389 Y371:Y373 Y342:Y353 Y320:Y328 X93:Y99 Y375:Y386 Y332:Y340 Y318 Y314:Y316 Y236:Y239 Y228:Y233 Y220:Y225 S209:S388 S432:S434 S423:S430 S420:S421 S413:S416 S93:S99 S418 S407:S411 S390:S405 T389 S435:T435 H435 D354:G386 D387:H389 J387:J389 I209:I411 I418 I93:I99 I413:I416 I420:I421 I423:I430 I432:I435 B209:B411 B418 B93:B99 B413:B416 B420:B421 B423:B435" xr:uid="{00000000-0002-0000-0200-00000B000000}">
      <formula1>#REF!</formula1>
    </dataValidation>
  </dataValidations>
  <pageMargins left="0.7" right="0.7" top="0.75" bottom="0.75" header="0.3" footer="0.3"/>
  <pageSetup paperSize="9" orientation="portrait" r:id="rId21"/>
  <headerFooter>
    <oddFooter>&amp;C&amp;"Arial"&amp;12&amp;K000000_x000D_&amp;1#&amp;"Calibri"&amp;10&amp;KFF0000 OFFICIAL - SENSITIVE</oddFooter>
  </headerFooter>
  <legacyDrawing r:id="rId2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5380C-721F-4005-BF58-47D2A4E39CF8}">
  <dimension ref="A1:AF1559"/>
  <sheetViews>
    <sheetView topLeftCell="A112" zoomScale="80" zoomScaleNormal="80" workbookViewId="0">
      <selection activeCell="J1302" sqref="J1302"/>
    </sheetView>
  </sheetViews>
  <sheetFormatPr defaultRowHeight="15.5"/>
  <cols>
    <col min="10" max="10" width="35" customWidth="1"/>
    <col min="25" max="25" width="21.07421875" customWidth="1"/>
    <col min="29" max="29" width="39" customWidth="1"/>
  </cols>
  <sheetData>
    <row r="1" spans="1:32" s="3" customFormat="1" ht="98.25" customHeight="1">
      <c r="A1" s="938" t="s">
        <v>0</v>
      </c>
      <c r="B1" s="938" t="s">
        <v>1</v>
      </c>
      <c r="C1" s="939" t="s">
        <v>2</v>
      </c>
      <c r="D1" s="34" t="s">
        <v>3</v>
      </c>
      <c r="E1" s="1523" t="s">
        <v>4</v>
      </c>
      <c r="F1" s="1523" t="s">
        <v>5</v>
      </c>
      <c r="G1" s="1523" t="s">
        <v>6</v>
      </c>
      <c r="H1" s="21" t="s">
        <v>7</v>
      </c>
      <c r="I1" s="21" t="s">
        <v>8</v>
      </c>
      <c r="J1" s="1576" t="s">
        <v>9</v>
      </c>
      <c r="K1" s="2" t="s">
        <v>10</v>
      </c>
      <c r="L1" s="21" t="s">
        <v>11</v>
      </c>
      <c r="M1" s="21" t="s">
        <v>12</v>
      </c>
      <c r="N1" s="21" t="s">
        <v>13</v>
      </c>
      <c r="O1" s="21" t="s">
        <v>14</v>
      </c>
      <c r="P1" s="21" t="s">
        <v>15</v>
      </c>
      <c r="Q1" s="24" t="s">
        <v>16</v>
      </c>
      <c r="R1" s="39" t="s">
        <v>17</v>
      </c>
      <c r="S1" s="30" t="s">
        <v>18</v>
      </c>
      <c r="T1" s="21" t="s">
        <v>19</v>
      </c>
      <c r="U1" s="21" t="s">
        <v>20</v>
      </c>
      <c r="V1" s="2399" t="s">
        <v>1490</v>
      </c>
      <c r="W1" s="2" t="s">
        <v>22</v>
      </c>
      <c r="X1" s="21" t="s">
        <v>23</v>
      </c>
      <c r="Y1" s="21" t="s">
        <v>24</v>
      </c>
      <c r="Z1" s="22" t="s">
        <v>25</v>
      </c>
      <c r="AA1" s="23" t="s">
        <v>26</v>
      </c>
      <c r="AB1" s="37" t="s">
        <v>27</v>
      </c>
      <c r="AC1" s="212" t="s">
        <v>28</v>
      </c>
      <c r="AD1" s="213" t="s">
        <v>1</v>
      </c>
      <c r="AE1" s="226" t="s">
        <v>29</v>
      </c>
      <c r="AF1" s="2357" t="s">
        <v>30</v>
      </c>
    </row>
    <row r="2" spans="1:32" s="1" customFormat="1" ht="57.65" customHeight="1">
      <c r="A2" s="1647">
        <v>44974</v>
      </c>
      <c r="B2" s="1653" t="s">
        <v>1168</v>
      </c>
      <c r="C2" s="1570" t="s">
        <v>1491</v>
      </c>
      <c r="D2" s="1570" t="s">
        <v>1178</v>
      </c>
      <c r="E2" s="1569" t="s">
        <v>1168</v>
      </c>
      <c r="F2" s="1569" t="s">
        <v>1170</v>
      </c>
      <c r="G2" s="1569" t="s">
        <v>1170</v>
      </c>
      <c r="H2" s="1655" t="s">
        <v>1170</v>
      </c>
      <c r="I2" s="1655" t="s">
        <v>1170</v>
      </c>
      <c r="J2" s="1698" t="s">
        <v>1492</v>
      </c>
      <c r="K2" s="1664" t="s">
        <v>1493</v>
      </c>
      <c r="L2" s="1655" t="s">
        <v>1170</v>
      </c>
      <c r="M2" s="1655" t="s">
        <v>1170</v>
      </c>
      <c r="N2" s="1655" t="s">
        <v>1170</v>
      </c>
      <c r="O2" s="1755">
        <v>37032</v>
      </c>
      <c r="P2" s="1755">
        <v>44286</v>
      </c>
      <c r="Q2" s="1664" t="s">
        <v>1181</v>
      </c>
      <c r="R2" s="1664" t="s">
        <v>1494</v>
      </c>
      <c r="S2" s="1570" t="s">
        <v>1182</v>
      </c>
      <c r="T2" s="1842" t="s">
        <v>1170</v>
      </c>
      <c r="U2" s="1655" t="s">
        <v>1170</v>
      </c>
      <c r="V2" s="1655"/>
      <c r="W2" s="1664" t="s">
        <v>1190</v>
      </c>
      <c r="X2" s="1664" t="s">
        <v>1175</v>
      </c>
      <c r="Y2" s="1664" t="s">
        <v>251</v>
      </c>
      <c r="Z2" s="1655" t="s">
        <v>1170</v>
      </c>
      <c r="AA2" s="1655" t="s">
        <v>1170</v>
      </c>
      <c r="AB2" s="1655" t="s">
        <v>1170</v>
      </c>
      <c r="AC2" s="1698" t="s">
        <v>1495</v>
      </c>
      <c r="AD2" s="1569" t="s">
        <v>1170</v>
      </c>
      <c r="AE2" s="1667" t="s">
        <v>1494</v>
      </c>
      <c r="AF2"/>
    </row>
    <row r="3" spans="1:32" s="1" customFormat="1" ht="57" customHeight="1">
      <c r="A3" s="1647">
        <v>44974</v>
      </c>
      <c r="B3" s="1653" t="s">
        <v>1168</v>
      </c>
      <c r="C3" s="1570">
        <v>30151</v>
      </c>
      <c r="D3" s="1570" t="s">
        <v>1178</v>
      </c>
      <c r="E3" s="1569" t="s">
        <v>1168</v>
      </c>
      <c r="F3" s="1569" t="s">
        <v>1170</v>
      </c>
      <c r="G3" s="1569" t="s">
        <v>1170</v>
      </c>
      <c r="H3" s="1655" t="s">
        <v>1170</v>
      </c>
      <c r="I3" s="1655" t="s">
        <v>1170</v>
      </c>
      <c r="J3" s="1698" t="s">
        <v>1496</v>
      </c>
      <c r="K3" s="1664" t="s">
        <v>1493</v>
      </c>
      <c r="L3" s="1655" t="s">
        <v>1170</v>
      </c>
      <c r="M3" s="1655" t="s">
        <v>1170</v>
      </c>
      <c r="N3" s="1655" t="s">
        <v>1170</v>
      </c>
      <c r="O3" s="1755">
        <v>37032</v>
      </c>
      <c r="P3" s="1755">
        <v>45016</v>
      </c>
      <c r="Q3" s="1667" t="s">
        <v>1181</v>
      </c>
      <c r="R3" s="1664" t="s">
        <v>1230</v>
      </c>
      <c r="S3" s="1570" t="s">
        <v>1182</v>
      </c>
      <c r="T3" s="1842" t="s">
        <v>1170</v>
      </c>
      <c r="U3" s="1655" t="s">
        <v>1170</v>
      </c>
      <c r="V3" s="1655"/>
      <c r="W3" s="1664" t="s">
        <v>1190</v>
      </c>
      <c r="X3" s="1664" t="s">
        <v>1175</v>
      </c>
      <c r="Y3" s="1664" t="s">
        <v>251</v>
      </c>
      <c r="Z3" s="1655" t="s">
        <v>1170</v>
      </c>
      <c r="AA3" s="1842" t="s">
        <v>1170</v>
      </c>
      <c r="AB3" s="1842" t="s">
        <v>1170</v>
      </c>
      <c r="AC3" s="1698" t="s">
        <v>1497</v>
      </c>
      <c r="AD3" s="1569" t="s">
        <v>1170</v>
      </c>
      <c r="AE3" s="1667" t="s">
        <v>1230</v>
      </c>
      <c r="AF3"/>
    </row>
    <row r="4" spans="1:32" s="56" customFormat="1">
      <c r="A4" s="1647">
        <v>44974</v>
      </c>
      <c r="B4" s="1653" t="s">
        <v>1168</v>
      </c>
      <c r="C4" s="1570" t="s">
        <v>1498</v>
      </c>
      <c r="D4" s="1570" t="s">
        <v>1178</v>
      </c>
      <c r="E4" s="1569" t="s">
        <v>1168</v>
      </c>
      <c r="F4" s="1569" t="s">
        <v>1170</v>
      </c>
      <c r="G4" s="1569" t="s">
        <v>1170</v>
      </c>
      <c r="H4" s="1655" t="s">
        <v>1170</v>
      </c>
      <c r="I4" s="1655" t="s">
        <v>1170</v>
      </c>
      <c r="J4" s="1698" t="s">
        <v>1499</v>
      </c>
      <c r="K4" s="1664" t="s">
        <v>1500</v>
      </c>
      <c r="L4" s="1655" t="s">
        <v>1170</v>
      </c>
      <c r="M4" s="1655" t="s">
        <v>1170</v>
      </c>
      <c r="N4" s="1655" t="s">
        <v>1170</v>
      </c>
      <c r="O4" s="1755">
        <v>37887</v>
      </c>
      <c r="P4" s="1755">
        <v>44804</v>
      </c>
      <c r="Q4" s="1667" t="s">
        <v>1181</v>
      </c>
      <c r="R4" s="1805">
        <v>21000</v>
      </c>
      <c r="S4" s="1570" t="s">
        <v>1182</v>
      </c>
      <c r="T4" s="1655" t="s">
        <v>1170</v>
      </c>
      <c r="U4" s="1655" t="s">
        <v>1170</v>
      </c>
      <c r="V4" s="1655"/>
      <c r="W4" s="1664" t="s">
        <v>1501</v>
      </c>
      <c r="X4" s="1664" t="s">
        <v>1175</v>
      </c>
      <c r="Y4" s="1664" t="s">
        <v>251</v>
      </c>
      <c r="Z4" s="1655" t="s">
        <v>1170</v>
      </c>
      <c r="AA4" s="1842" t="s">
        <v>1170</v>
      </c>
      <c r="AB4" s="1842" t="s">
        <v>1170</v>
      </c>
      <c r="AC4" s="1698" t="s">
        <v>1502</v>
      </c>
      <c r="AD4" s="1569" t="s">
        <v>1170</v>
      </c>
      <c r="AE4" s="1934">
        <v>21000</v>
      </c>
      <c r="AF4"/>
    </row>
    <row r="5" spans="1:32" s="56" customFormat="1">
      <c r="A5" s="1647">
        <v>44974</v>
      </c>
      <c r="B5" s="1653" t="s">
        <v>1168</v>
      </c>
      <c r="C5" s="1570" t="s">
        <v>1170</v>
      </c>
      <c r="D5" s="1570" t="s">
        <v>1178</v>
      </c>
      <c r="E5" s="1569" t="s">
        <v>1168</v>
      </c>
      <c r="F5" s="1569" t="s">
        <v>1170</v>
      </c>
      <c r="G5" s="1569" t="s">
        <v>1170</v>
      </c>
      <c r="H5" s="1655" t="s">
        <v>1170</v>
      </c>
      <c r="I5" s="1655" t="s">
        <v>1170</v>
      </c>
      <c r="J5" s="1698" t="s">
        <v>1503</v>
      </c>
      <c r="K5" s="1664" t="s">
        <v>1504</v>
      </c>
      <c r="L5" s="1655" t="s">
        <v>1170</v>
      </c>
      <c r="M5" s="1655" t="s">
        <v>1170</v>
      </c>
      <c r="N5" s="1655" t="s">
        <v>1170</v>
      </c>
      <c r="O5" s="1755">
        <v>39873</v>
      </c>
      <c r="P5" s="1755">
        <v>45107</v>
      </c>
      <c r="Q5" s="1667" t="s">
        <v>1181</v>
      </c>
      <c r="R5" s="1805">
        <v>25750</v>
      </c>
      <c r="S5" s="1570" t="s">
        <v>1182</v>
      </c>
      <c r="T5" s="1655" t="s">
        <v>1170</v>
      </c>
      <c r="U5" s="1655" t="s">
        <v>1170</v>
      </c>
      <c r="V5" s="1655"/>
      <c r="W5" s="1664" t="s">
        <v>1190</v>
      </c>
      <c r="X5" s="1664" t="s">
        <v>1175</v>
      </c>
      <c r="Y5" s="1664" t="s">
        <v>251</v>
      </c>
      <c r="Z5" s="1655" t="s">
        <v>1170</v>
      </c>
      <c r="AA5" s="1842" t="s">
        <v>1170</v>
      </c>
      <c r="AB5" s="1842" t="s">
        <v>1170</v>
      </c>
      <c r="AC5" s="1698" t="s">
        <v>1505</v>
      </c>
      <c r="AD5" s="1569" t="s">
        <v>1170</v>
      </c>
      <c r="AE5" s="1828">
        <v>25750</v>
      </c>
      <c r="AF5"/>
    </row>
    <row r="6" spans="1:32" s="56" customFormat="1" ht="102" customHeight="1">
      <c r="A6" s="1647">
        <v>44974</v>
      </c>
      <c r="B6" s="1653" t="s">
        <v>1168</v>
      </c>
      <c r="C6" s="1570">
        <v>34299</v>
      </c>
      <c r="D6" s="1570" t="s">
        <v>1506</v>
      </c>
      <c r="E6" s="1569" t="s">
        <v>1168</v>
      </c>
      <c r="F6" s="1569" t="s">
        <v>1170</v>
      </c>
      <c r="G6" s="1569" t="s">
        <v>1170</v>
      </c>
      <c r="H6" s="1655" t="s">
        <v>1170</v>
      </c>
      <c r="I6" s="1655" t="s">
        <v>1170</v>
      </c>
      <c r="J6" s="1698" t="s">
        <v>1507</v>
      </c>
      <c r="K6" s="1664" t="s">
        <v>1508</v>
      </c>
      <c r="L6" s="1655" t="s">
        <v>1170</v>
      </c>
      <c r="M6" s="1655" t="s">
        <v>1170</v>
      </c>
      <c r="N6" s="1655" t="s">
        <v>1170</v>
      </c>
      <c r="O6" s="1755">
        <v>39995</v>
      </c>
      <c r="P6" s="1755">
        <v>45069</v>
      </c>
      <c r="Q6" s="1667" t="s">
        <v>1509</v>
      </c>
      <c r="R6" s="1664" t="s">
        <v>1230</v>
      </c>
      <c r="S6" s="1664" t="s">
        <v>1182</v>
      </c>
      <c r="T6" s="1655" t="s">
        <v>1170</v>
      </c>
      <c r="U6" s="1655" t="s">
        <v>1170</v>
      </c>
      <c r="V6" s="1655"/>
      <c r="W6" s="1664" t="s">
        <v>1510</v>
      </c>
      <c r="X6" s="1664" t="s">
        <v>1175</v>
      </c>
      <c r="Y6" s="1664" t="s">
        <v>251</v>
      </c>
      <c r="Z6" s="1655" t="s">
        <v>1170</v>
      </c>
      <c r="AA6" s="1842" t="s">
        <v>1170</v>
      </c>
      <c r="AB6" s="1842" t="s">
        <v>1170</v>
      </c>
      <c r="AC6" s="1698" t="s">
        <v>1511</v>
      </c>
      <c r="AD6" s="1569" t="s">
        <v>1170</v>
      </c>
      <c r="AE6" s="1667" t="s">
        <v>1230</v>
      </c>
      <c r="AF6"/>
    </row>
    <row r="7" spans="1:32" s="56" customFormat="1">
      <c r="A7" s="1647">
        <v>44974</v>
      </c>
      <c r="B7" s="1653" t="s">
        <v>1168</v>
      </c>
      <c r="C7" s="1570">
        <v>37362</v>
      </c>
      <c r="D7" s="1570" t="s">
        <v>1178</v>
      </c>
      <c r="E7" s="1569" t="s">
        <v>1168</v>
      </c>
      <c r="F7" s="1569" t="s">
        <v>1170</v>
      </c>
      <c r="G7" s="1569" t="s">
        <v>1170</v>
      </c>
      <c r="H7" s="1655" t="s">
        <v>1170</v>
      </c>
      <c r="I7" s="1655" t="s">
        <v>1170</v>
      </c>
      <c r="J7" s="1698" t="s">
        <v>1512</v>
      </c>
      <c r="K7" s="1664" t="s">
        <v>1504</v>
      </c>
      <c r="L7" s="1655" t="s">
        <v>1170</v>
      </c>
      <c r="M7" s="1655" t="s">
        <v>1170</v>
      </c>
      <c r="N7" s="1655" t="s">
        <v>1170</v>
      </c>
      <c r="O7" s="1755">
        <v>41169</v>
      </c>
      <c r="P7" s="1755">
        <v>45186</v>
      </c>
      <c r="Q7" s="1664" t="s">
        <v>1181</v>
      </c>
      <c r="R7" s="1805">
        <v>9845</v>
      </c>
      <c r="S7" s="1664" t="s">
        <v>1182</v>
      </c>
      <c r="T7" s="1655" t="s">
        <v>1170</v>
      </c>
      <c r="U7" s="1655" t="s">
        <v>1170</v>
      </c>
      <c r="V7" s="1655"/>
      <c r="W7" s="1664" t="s">
        <v>1190</v>
      </c>
      <c r="X7" s="1664" t="s">
        <v>1175</v>
      </c>
      <c r="Y7" s="1664" t="s">
        <v>251</v>
      </c>
      <c r="Z7" s="1655" t="s">
        <v>1170</v>
      </c>
      <c r="AA7" s="1842" t="s">
        <v>1170</v>
      </c>
      <c r="AB7" s="1842" t="s">
        <v>1170</v>
      </c>
      <c r="AC7" s="1698" t="s">
        <v>1513</v>
      </c>
      <c r="AD7" s="1569" t="s">
        <v>1170</v>
      </c>
      <c r="AE7" s="1934">
        <v>9845</v>
      </c>
      <c r="AF7"/>
    </row>
    <row r="8" spans="1:32" s="56" customFormat="1">
      <c r="A8" s="1647">
        <v>44974</v>
      </c>
      <c r="B8" s="1653" t="s">
        <v>1168</v>
      </c>
      <c r="C8" s="1570" t="s">
        <v>1514</v>
      </c>
      <c r="D8" s="1570" t="s">
        <v>1506</v>
      </c>
      <c r="E8" s="1569" t="s">
        <v>1168</v>
      </c>
      <c r="F8" s="1569" t="s">
        <v>1170</v>
      </c>
      <c r="G8" s="1569" t="s">
        <v>1170</v>
      </c>
      <c r="H8" s="1655" t="s">
        <v>1170</v>
      </c>
      <c r="I8" s="1655" t="s">
        <v>1170</v>
      </c>
      <c r="J8" s="1698" t="s">
        <v>1515</v>
      </c>
      <c r="K8" s="1664" t="s">
        <v>1516</v>
      </c>
      <c r="L8" s="1655" t="s">
        <v>1170</v>
      </c>
      <c r="M8" s="1655" t="s">
        <v>1170</v>
      </c>
      <c r="N8" s="1655" t="s">
        <v>1170</v>
      </c>
      <c r="O8" s="1755">
        <v>41365</v>
      </c>
      <c r="P8" s="1755">
        <v>44651</v>
      </c>
      <c r="Q8" s="1664" t="s">
        <v>71</v>
      </c>
      <c r="R8" s="1805">
        <v>44000</v>
      </c>
      <c r="S8" s="1664" t="s">
        <v>1182</v>
      </c>
      <c r="T8" s="1655" t="s">
        <v>1170</v>
      </c>
      <c r="U8" s="1655" t="s">
        <v>1170</v>
      </c>
      <c r="V8" s="1655"/>
      <c r="W8" s="1664" t="s">
        <v>1517</v>
      </c>
      <c r="X8" s="1664" t="s">
        <v>1175</v>
      </c>
      <c r="Y8" s="1664" t="s">
        <v>251</v>
      </c>
      <c r="Z8" s="1655" t="s">
        <v>1170</v>
      </c>
      <c r="AA8" s="1842" t="s">
        <v>1170</v>
      </c>
      <c r="AB8" s="1842" t="s">
        <v>1170</v>
      </c>
      <c r="AC8" s="1698" t="s">
        <v>1518</v>
      </c>
      <c r="AD8" s="1569" t="s">
        <v>1170</v>
      </c>
      <c r="AE8" s="1934">
        <v>44000</v>
      </c>
      <c r="AF8"/>
    </row>
    <row r="9" spans="1:32">
      <c r="A9" s="1647">
        <v>44974</v>
      </c>
      <c r="B9" s="1653" t="s">
        <v>1168</v>
      </c>
      <c r="C9" s="1570">
        <v>30198</v>
      </c>
      <c r="D9" s="1570" t="s">
        <v>1178</v>
      </c>
      <c r="E9" s="1569" t="s">
        <v>1168</v>
      </c>
      <c r="F9" s="1569" t="s">
        <v>1170</v>
      </c>
      <c r="G9" s="1569" t="s">
        <v>1170</v>
      </c>
      <c r="H9" s="1655" t="s">
        <v>1170</v>
      </c>
      <c r="I9" s="1655" t="s">
        <v>1170</v>
      </c>
      <c r="J9" s="1698" t="s">
        <v>1519</v>
      </c>
      <c r="K9" s="1664" t="s">
        <v>1520</v>
      </c>
      <c r="L9" s="1655" t="s">
        <v>1170</v>
      </c>
      <c r="M9" s="1655" t="s">
        <v>1170</v>
      </c>
      <c r="N9" s="1655" t="s">
        <v>1170</v>
      </c>
      <c r="O9" s="1755">
        <v>41376</v>
      </c>
      <c r="P9" s="1755">
        <v>45027</v>
      </c>
      <c r="Q9" s="1667" t="s">
        <v>1181</v>
      </c>
      <c r="R9" s="1805">
        <v>25790</v>
      </c>
      <c r="S9" s="1570" t="s">
        <v>1182</v>
      </c>
      <c r="T9" s="1655" t="s">
        <v>1170</v>
      </c>
      <c r="U9" s="1655" t="s">
        <v>1170</v>
      </c>
      <c r="V9" s="1655"/>
      <c r="W9" s="1664" t="s">
        <v>1190</v>
      </c>
      <c r="X9" s="1664" t="s">
        <v>1175</v>
      </c>
      <c r="Y9" s="1664" t="s">
        <v>251</v>
      </c>
      <c r="Z9" s="1655" t="s">
        <v>1170</v>
      </c>
      <c r="AA9" s="1842" t="s">
        <v>1170</v>
      </c>
      <c r="AB9" s="1842" t="s">
        <v>1170</v>
      </c>
      <c r="AC9" s="1698" t="s">
        <v>1521</v>
      </c>
      <c r="AD9" s="1569" t="s">
        <v>1170</v>
      </c>
      <c r="AE9" s="1934">
        <v>25790</v>
      </c>
    </row>
    <row r="10" spans="1:32" s="35" customFormat="1" ht="26">
      <c r="A10" s="1181"/>
      <c r="B10" s="959" t="s">
        <v>56</v>
      </c>
      <c r="C10" s="958"/>
      <c r="D10" s="973" t="s">
        <v>32</v>
      </c>
      <c r="E10" s="973"/>
      <c r="F10" s="973"/>
      <c r="G10" s="973"/>
      <c r="H10" s="578" t="s">
        <v>308</v>
      </c>
      <c r="I10" s="579" t="s">
        <v>34</v>
      </c>
      <c r="J10" s="1577" t="s">
        <v>1522</v>
      </c>
      <c r="K10" s="579"/>
      <c r="L10" s="580" t="s">
        <v>589</v>
      </c>
      <c r="M10" s="580"/>
      <c r="N10" s="580"/>
      <c r="O10" s="580">
        <v>41454</v>
      </c>
      <c r="P10" s="581">
        <v>48</v>
      </c>
      <c r="Q10" s="1017" t="s">
        <v>1523</v>
      </c>
      <c r="R10" s="582"/>
      <c r="S10" s="583"/>
      <c r="T10" s="584"/>
      <c r="U10" s="584"/>
      <c r="V10" s="584"/>
      <c r="W10" s="585"/>
      <c r="X10" s="120"/>
      <c r="Y10" s="120"/>
      <c r="Z10" s="120"/>
      <c r="AA10" s="186"/>
      <c r="AB10" s="186"/>
      <c r="AC10" s="120"/>
      <c r="AD10" s="336"/>
      <c r="AE10" s="186"/>
      <c r="AF10" s="1"/>
    </row>
    <row r="11" spans="1:32" ht="26">
      <c r="A11" s="1181"/>
      <c r="B11" s="959" t="s">
        <v>56</v>
      </c>
      <c r="C11" s="958"/>
      <c r="D11" s="973" t="s">
        <v>32</v>
      </c>
      <c r="E11" s="973"/>
      <c r="F11" s="973"/>
      <c r="G11" s="973"/>
      <c r="H11" s="578" t="s">
        <v>308</v>
      </c>
      <c r="I11" s="579" t="s">
        <v>34</v>
      </c>
      <c r="J11" s="1577" t="s">
        <v>1524</v>
      </c>
      <c r="K11" s="579"/>
      <c r="L11" s="580" t="s">
        <v>589</v>
      </c>
      <c r="M11" s="580"/>
      <c r="N11" s="580"/>
      <c r="O11" s="580">
        <v>41454</v>
      </c>
      <c r="P11" s="581">
        <v>48</v>
      </c>
      <c r="Q11" s="1017" t="s">
        <v>1523</v>
      </c>
      <c r="R11" s="582"/>
      <c r="S11" s="1042"/>
      <c r="T11" s="584"/>
      <c r="U11" s="584"/>
      <c r="V11" s="584"/>
      <c r="W11" s="585"/>
      <c r="X11" s="120"/>
      <c r="Y11" s="120"/>
      <c r="Z11" s="120"/>
      <c r="AA11" s="186"/>
      <c r="AB11" s="186"/>
      <c r="AC11" s="120"/>
      <c r="AD11" s="336"/>
      <c r="AE11" s="186"/>
      <c r="AF11" s="1"/>
    </row>
    <row r="12" spans="1:32" ht="26">
      <c r="A12" s="1181"/>
      <c r="B12" s="959" t="s">
        <v>56</v>
      </c>
      <c r="C12" s="958"/>
      <c r="D12" s="973" t="s">
        <v>32</v>
      </c>
      <c r="E12" s="973"/>
      <c r="F12" s="973"/>
      <c r="G12" s="973"/>
      <c r="H12" s="578" t="s">
        <v>308</v>
      </c>
      <c r="I12" s="579" t="s">
        <v>34</v>
      </c>
      <c r="J12" s="1577" t="s">
        <v>1525</v>
      </c>
      <c r="K12" s="579"/>
      <c r="L12" s="580" t="s">
        <v>589</v>
      </c>
      <c r="M12" s="580"/>
      <c r="N12" s="580"/>
      <c r="O12" s="580">
        <v>41455</v>
      </c>
      <c r="P12" s="581">
        <v>48</v>
      </c>
      <c r="Q12" s="1017" t="s">
        <v>258</v>
      </c>
      <c r="R12" s="582"/>
      <c r="S12" s="1042"/>
      <c r="T12" s="584"/>
      <c r="U12" s="584"/>
      <c r="V12" s="584"/>
      <c r="W12" s="585"/>
      <c r="X12" s="120"/>
      <c r="Y12" s="120"/>
      <c r="Z12" s="120"/>
      <c r="AA12" s="186"/>
      <c r="AB12" s="186"/>
      <c r="AC12" s="120"/>
      <c r="AD12" s="336"/>
      <c r="AE12" s="186"/>
      <c r="AF12" s="56"/>
    </row>
    <row r="13" spans="1:32" s="56" customFormat="1">
      <c r="A13" s="1647">
        <v>44974</v>
      </c>
      <c r="B13" s="1653" t="s">
        <v>1168</v>
      </c>
      <c r="C13" s="1570">
        <v>30201</v>
      </c>
      <c r="D13" s="1570" t="s">
        <v>1178</v>
      </c>
      <c r="E13" s="1569" t="s">
        <v>1168</v>
      </c>
      <c r="F13" s="1569" t="s">
        <v>1170</v>
      </c>
      <c r="G13" s="1569" t="s">
        <v>1170</v>
      </c>
      <c r="H13" s="1655" t="s">
        <v>1170</v>
      </c>
      <c r="I13" s="1655" t="s">
        <v>1170</v>
      </c>
      <c r="J13" s="1698" t="s">
        <v>1526</v>
      </c>
      <c r="K13" s="1664" t="s">
        <v>1527</v>
      </c>
      <c r="L13" s="1655" t="s">
        <v>1170</v>
      </c>
      <c r="M13" s="1655" t="s">
        <v>1170</v>
      </c>
      <c r="N13" s="1655" t="s">
        <v>1170</v>
      </c>
      <c r="O13" s="1755">
        <v>41674</v>
      </c>
      <c r="P13" s="1755">
        <v>45021</v>
      </c>
      <c r="Q13" s="1667" t="s">
        <v>1509</v>
      </c>
      <c r="R13" s="1805">
        <v>13680</v>
      </c>
      <c r="S13" s="1570" t="s">
        <v>1182</v>
      </c>
      <c r="T13" s="1655" t="s">
        <v>1170</v>
      </c>
      <c r="U13" s="1655" t="s">
        <v>1170</v>
      </c>
      <c r="V13" s="1655"/>
      <c r="W13" s="1664" t="s">
        <v>1190</v>
      </c>
      <c r="X13" s="1664" t="s">
        <v>1175</v>
      </c>
      <c r="Y13" s="1664" t="s">
        <v>251</v>
      </c>
      <c r="Z13" s="1655" t="s">
        <v>1170</v>
      </c>
      <c r="AA13" s="1842" t="s">
        <v>1170</v>
      </c>
      <c r="AB13" s="1842" t="s">
        <v>1170</v>
      </c>
      <c r="AC13" s="1698" t="s">
        <v>1528</v>
      </c>
      <c r="AD13" s="1569" t="s">
        <v>1170</v>
      </c>
      <c r="AE13" s="1934">
        <v>13680</v>
      </c>
      <c r="AF13"/>
    </row>
    <row r="14" spans="1:32" s="1307" customFormat="1" ht="27" customHeight="1">
      <c r="A14" s="1568">
        <v>44974</v>
      </c>
      <c r="B14" s="1654" t="s">
        <v>1168</v>
      </c>
      <c r="C14" s="1664">
        <v>30189</v>
      </c>
      <c r="D14" s="1570" t="s">
        <v>1178</v>
      </c>
      <c r="E14" s="1569" t="s">
        <v>1168</v>
      </c>
      <c r="F14" s="1569" t="s">
        <v>1170</v>
      </c>
      <c r="G14" s="1569" t="s">
        <v>1170</v>
      </c>
      <c r="H14" s="1655" t="s">
        <v>1170</v>
      </c>
      <c r="I14" s="1655" t="s">
        <v>1170</v>
      </c>
      <c r="J14" s="1698" t="s">
        <v>1529</v>
      </c>
      <c r="K14" s="1664" t="s">
        <v>1530</v>
      </c>
      <c r="L14" s="1655" t="s">
        <v>1170</v>
      </c>
      <c r="M14" s="1655" t="s">
        <v>1170</v>
      </c>
      <c r="N14" s="1655" t="s">
        <v>1170</v>
      </c>
      <c r="O14" s="1755">
        <v>41730</v>
      </c>
      <c r="P14" s="1770">
        <v>45016</v>
      </c>
      <c r="Q14" s="1673" t="s">
        <v>1181</v>
      </c>
      <c r="R14" s="1807">
        <v>120000</v>
      </c>
      <c r="S14" s="1570" t="s">
        <v>1182</v>
      </c>
      <c r="T14" s="1655" t="s">
        <v>1170</v>
      </c>
      <c r="U14" s="1655" t="s">
        <v>1170</v>
      </c>
      <c r="V14" s="1655"/>
      <c r="W14" s="1664" t="s">
        <v>1190</v>
      </c>
      <c r="X14" s="1664" t="s">
        <v>1175</v>
      </c>
      <c r="Y14" s="1664" t="s">
        <v>251</v>
      </c>
      <c r="Z14" s="1655" t="s">
        <v>1170</v>
      </c>
      <c r="AA14" s="1655" t="s">
        <v>1170</v>
      </c>
      <c r="AB14" s="1655" t="s">
        <v>1170</v>
      </c>
      <c r="AC14" s="2235" t="s">
        <v>1531</v>
      </c>
      <c r="AD14" s="1653" t="s">
        <v>1170</v>
      </c>
      <c r="AE14" s="1935">
        <v>120000</v>
      </c>
      <c r="AF14"/>
    </row>
    <row r="15" spans="1:32">
      <c r="A15" s="1647">
        <v>44974</v>
      </c>
      <c r="B15" s="1653" t="s">
        <v>1168</v>
      </c>
      <c r="C15" s="1570">
        <v>28788</v>
      </c>
      <c r="D15" s="1570" t="s">
        <v>1178</v>
      </c>
      <c r="E15" s="1569" t="s">
        <v>1168</v>
      </c>
      <c r="F15" s="1569" t="s">
        <v>1170</v>
      </c>
      <c r="G15" s="1569" t="s">
        <v>1170</v>
      </c>
      <c r="H15" s="1655" t="s">
        <v>1170</v>
      </c>
      <c r="I15" s="1655" t="s">
        <v>1170</v>
      </c>
      <c r="J15" s="1698" t="s">
        <v>1532</v>
      </c>
      <c r="K15" s="1664" t="s">
        <v>1533</v>
      </c>
      <c r="L15" s="1655" t="s">
        <v>1170</v>
      </c>
      <c r="M15" s="1655" t="s">
        <v>1170</v>
      </c>
      <c r="N15" s="1655" t="s">
        <v>1170</v>
      </c>
      <c r="O15" s="1755">
        <v>41852</v>
      </c>
      <c r="P15" s="1755">
        <v>45138</v>
      </c>
      <c r="Q15" s="1667" t="s">
        <v>1509</v>
      </c>
      <c r="R15" s="1805">
        <v>72000</v>
      </c>
      <c r="S15" s="1570" t="s">
        <v>1182</v>
      </c>
      <c r="T15" s="1655" t="s">
        <v>1170</v>
      </c>
      <c r="U15" s="1655" t="s">
        <v>1170</v>
      </c>
      <c r="V15" s="1655"/>
      <c r="W15" s="1664" t="s">
        <v>1190</v>
      </c>
      <c r="X15" s="1664" t="s">
        <v>1175</v>
      </c>
      <c r="Y15" s="1664" t="s">
        <v>251</v>
      </c>
      <c r="Z15" s="1655" t="s">
        <v>1170</v>
      </c>
      <c r="AA15" s="1842" t="s">
        <v>1170</v>
      </c>
      <c r="AB15" s="1842" t="s">
        <v>1170</v>
      </c>
      <c r="AC15" s="1698" t="s">
        <v>1534</v>
      </c>
      <c r="AD15" s="1569" t="s">
        <v>1170</v>
      </c>
      <c r="AE15" s="1934">
        <v>72000</v>
      </c>
    </row>
    <row r="16" spans="1:32" s="56" customFormat="1" ht="26">
      <c r="A16" s="1181"/>
      <c r="B16" s="959" t="s">
        <v>56</v>
      </c>
      <c r="C16" s="958"/>
      <c r="D16" s="973" t="s">
        <v>32</v>
      </c>
      <c r="E16" s="973"/>
      <c r="F16" s="973"/>
      <c r="G16" s="973"/>
      <c r="H16" s="578" t="s">
        <v>308</v>
      </c>
      <c r="I16" s="579" t="s">
        <v>34</v>
      </c>
      <c r="J16" s="1577" t="s">
        <v>1535</v>
      </c>
      <c r="K16" s="579"/>
      <c r="L16" s="580" t="s">
        <v>589</v>
      </c>
      <c r="M16" s="580"/>
      <c r="N16" s="580"/>
      <c r="O16" s="580">
        <v>42014</v>
      </c>
      <c r="P16" s="581">
        <v>48</v>
      </c>
      <c r="Q16" s="1017" t="s">
        <v>258</v>
      </c>
      <c r="R16" s="582"/>
      <c r="S16" s="1042"/>
      <c r="T16" s="584"/>
      <c r="U16" s="584"/>
      <c r="V16" s="584"/>
      <c r="W16" s="585"/>
      <c r="X16" s="120"/>
      <c r="Y16" s="120"/>
      <c r="Z16" s="120"/>
      <c r="AA16" s="186"/>
      <c r="AB16" s="186"/>
      <c r="AC16" s="120"/>
      <c r="AD16" s="336"/>
      <c r="AE16" s="186"/>
    </row>
    <row r="17" spans="1:32" ht="157.5" customHeight="1">
      <c r="A17" s="1181"/>
      <c r="B17" s="959" t="s">
        <v>56</v>
      </c>
      <c r="C17" s="958"/>
      <c r="D17" s="973" t="s">
        <v>32</v>
      </c>
      <c r="E17" s="973"/>
      <c r="F17" s="973"/>
      <c r="G17" s="973"/>
      <c r="H17" s="578" t="s">
        <v>308</v>
      </c>
      <c r="I17" s="579" t="s">
        <v>34</v>
      </c>
      <c r="J17" s="1577" t="s">
        <v>1536</v>
      </c>
      <c r="K17" s="579"/>
      <c r="L17" s="580" t="s">
        <v>589</v>
      </c>
      <c r="M17" s="580"/>
      <c r="N17" s="580"/>
      <c r="O17" s="580">
        <v>42045</v>
      </c>
      <c r="P17" s="581">
        <v>48</v>
      </c>
      <c r="Q17" s="1017" t="s">
        <v>258</v>
      </c>
      <c r="R17" s="582"/>
      <c r="S17" s="1042"/>
      <c r="T17" s="584"/>
      <c r="U17" s="584"/>
      <c r="V17" s="584"/>
      <c r="W17" s="585"/>
      <c r="X17" s="120"/>
      <c r="Y17" s="120"/>
      <c r="Z17" s="120"/>
      <c r="AA17" s="186"/>
      <c r="AB17" s="186"/>
      <c r="AC17" s="120"/>
      <c r="AD17" s="336"/>
      <c r="AE17" s="186"/>
      <c r="AF17" s="56"/>
    </row>
    <row r="18" spans="1:32" ht="364.5" customHeight="1">
      <c r="A18" s="1181"/>
      <c r="B18" s="959" t="s">
        <v>56</v>
      </c>
      <c r="C18" s="958" t="s">
        <v>589</v>
      </c>
      <c r="D18" s="973" t="s">
        <v>32</v>
      </c>
      <c r="E18" s="973"/>
      <c r="F18" s="973"/>
      <c r="G18" s="973"/>
      <c r="H18" s="578" t="s">
        <v>308</v>
      </c>
      <c r="I18" s="579" t="s">
        <v>34</v>
      </c>
      <c r="J18" s="1577" t="s">
        <v>1537</v>
      </c>
      <c r="K18" s="579"/>
      <c r="L18" s="580" t="s">
        <v>589</v>
      </c>
      <c r="M18" s="580"/>
      <c r="N18" s="580"/>
      <c r="O18" s="580">
        <v>42095</v>
      </c>
      <c r="P18" s="581">
        <v>36</v>
      </c>
      <c r="Q18" s="1017" t="s">
        <v>1538</v>
      </c>
      <c r="R18" s="582"/>
      <c r="S18" s="584" t="s">
        <v>1539</v>
      </c>
      <c r="T18" s="584" t="s">
        <v>38</v>
      </c>
      <c r="U18" s="584"/>
      <c r="V18" s="584"/>
      <c r="W18" s="585" t="s">
        <v>1540</v>
      </c>
      <c r="X18" s="120"/>
      <c r="Y18" s="120"/>
      <c r="Z18" s="120"/>
      <c r="AA18" s="186"/>
      <c r="AB18" s="186"/>
      <c r="AC18" s="120"/>
      <c r="AD18" s="336"/>
      <c r="AE18" s="186"/>
      <c r="AF18" s="56"/>
    </row>
    <row r="19" spans="1:32" s="1" customFormat="1">
      <c r="A19" s="1647">
        <v>44974</v>
      </c>
      <c r="B19" s="1653" t="s">
        <v>1168</v>
      </c>
      <c r="C19" s="1570">
        <v>30165</v>
      </c>
      <c r="D19" s="1570" t="s">
        <v>1169</v>
      </c>
      <c r="E19" s="1569" t="s">
        <v>1168</v>
      </c>
      <c r="F19" s="1569" t="s">
        <v>1170</v>
      </c>
      <c r="G19" s="1569" t="s">
        <v>1170</v>
      </c>
      <c r="H19" s="1655" t="s">
        <v>1170</v>
      </c>
      <c r="I19" s="1655" t="s">
        <v>1170</v>
      </c>
      <c r="J19" s="1698" t="s">
        <v>1541</v>
      </c>
      <c r="K19" s="1664" t="s">
        <v>1105</v>
      </c>
      <c r="L19" s="1655" t="s">
        <v>1170</v>
      </c>
      <c r="M19" s="1655" t="s">
        <v>1170</v>
      </c>
      <c r="N19" s="1655" t="s">
        <v>1170</v>
      </c>
      <c r="O19" s="1755">
        <v>42095</v>
      </c>
      <c r="P19" s="1755">
        <v>45016</v>
      </c>
      <c r="Q19" s="1667" t="s">
        <v>1542</v>
      </c>
      <c r="R19" s="1805">
        <v>200000</v>
      </c>
      <c r="S19" s="1570" t="s">
        <v>1200</v>
      </c>
      <c r="T19" s="1655" t="s">
        <v>1170</v>
      </c>
      <c r="U19" s="1655" t="s">
        <v>1170</v>
      </c>
      <c r="V19" s="1655"/>
      <c r="W19" s="1664" t="s">
        <v>1543</v>
      </c>
      <c r="X19" s="1664" t="s">
        <v>1175</v>
      </c>
      <c r="Y19" s="1664" t="s">
        <v>251</v>
      </c>
      <c r="Z19" s="1655" t="s">
        <v>1170</v>
      </c>
      <c r="AA19" s="1842" t="s">
        <v>1170</v>
      </c>
      <c r="AB19" s="1842" t="s">
        <v>1170</v>
      </c>
      <c r="AC19" s="1698" t="s">
        <v>1544</v>
      </c>
      <c r="AD19" s="1569" t="s">
        <v>1170</v>
      </c>
      <c r="AE19" s="1934">
        <v>200000</v>
      </c>
      <c r="AF19"/>
    </row>
    <row r="20" spans="1:32" s="1" customFormat="1" ht="45" customHeight="1">
      <c r="A20" s="1181"/>
      <c r="B20" s="959" t="s">
        <v>56</v>
      </c>
      <c r="C20" s="958"/>
      <c r="D20" s="973" t="s">
        <v>32</v>
      </c>
      <c r="E20" s="973"/>
      <c r="F20" s="973"/>
      <c r="G20" s="973"/>
      <c r="H20" s="578" t="s">
        <v>308</v>
      </c>
      <c r="I20" s="579" t="s">
        <v>34</v>
      </c>
      <c r="J20" s="1577" t="s">
        <v>1545</v>
      </c>
      <c r="K20" s="579"/>
      <c r="L20" s="580" t="s">
        <v>589</v>
      </c>
      <c r="M20" s="580"/>
      <c r="N20" s="580"/>
      <c r="O20" s="580">
        <v>42107</v>
      </c>
      <c r="P20" s="581">
        <v>48</v>
      </c>
      <c r="Q20" s="1017" t="s">
        <v>258</v>
      </c>
      <c r="R20" s="582"/>
      <c r="S20" s="1042"/>
      <c r="T20" s="584"/>
      <c r="U20" s="584"/>
      <c r="V20" s="584"/>
      <c r="W20" s="585"/>
      <c r="X20" s="120"/>
      <c r="Y20" s="120"/>
      <c r="Z20" s="120"/>
      <c r="AA20" s="186"/>
      <c r="AB20" s="186"/>
      <c r="AC20" s="120"/>
      <c r="AD20" s="336"/>
      <c r="AE20" s="186"/>
      <c r="AF20" s="56"/>
    </row>
    <row r="21" spans="1:32" s="56" customFormat="1" ht="26">
      <c r="A21" s="1181"/>
      <c r="B21" s="959" t="s">
        <v>56</v>
      </c>
      <c r="C21" s="958"/>
      <c r="D21" s="973" t="s">
        <v>32</v>
      </c>
      <c r="E21" s="973"/>
      <c r="F21" s="973"/>
      <c r="G21" s="973"/>
      <c r="H21" s="578" t="s">
        <v>308</v>
      </c>
      <c r="I21" s="579" t="s">
        <v>34</v>
      </c>
      <c r="J21" s="1577" t="s">
        <v>1546</v>
      </c>
      <c r="K21" s="579"/>
      <c r="L21" s="580" t="s">
        <v>589</v>
      </c>
      <c r="M21" s="580"/>
      <c r="N21" s="580"/>
      <c r="O21" s="580">
        <v>42388</v>
      </c>
      <c r="P21" s="581">
        <v>48</v>
      </c>
      <c r="Q21" s="1017" t="s">
        <v>82</v>
      </c>
      <c r="R21" s="582"/>
      <c r="S21" s="1042"/>
      <c r="T21" s="584"/>
      <c r="U21" s="584"/>
      <c r="V21" s="584"/>
      <c r="W21" s="585"/>
      <c r="X21" s="120"/>
      <c r="Y21" s="120"/>
      <c r="Z21" s="120"/>
      <c r="AA21" s="186"/>
      <c r="AB21" s="186"/>
      <c r="AC21" s="120"/>
      <c r="AD21" s="336"/>
      <c r="AE21" s="186"/>
      <c r="AF21"/>
    </row>
    <row r="22" spans="1:32" ht="39">
      <c r="A22" s="1181"/>
      <c r="B22" s="959" t="s">
        <v>56</v>
      </c>
      <c r="C22" s="958"/>
      <c r="D22" s="973" t="s">
        <v>57</v>
      </c>
      <c r="E22" s="973"/>
      <c r="F22" s="973"/>
      <c r="G22" s="973"/>
      <c r="H22" s="578" t="s">
        <v>58</v>
      </c>
      <c r="I22" s="579" t="s">
        <v>47</v>
      </c>
      <c r="J22" s="1577" t="s">
        <v>1547</v>
      </c>
      <c r="K22" s="579"/>
      <c r="L22" s="580" t="s">
        <v>60</v>
      </c>
      <c r="M22" s="580"/>
      <c r="N22" s="580"/>
      <c r="O22" s="580">
        <v>42461</v>
      </c>
      <c r="P22" s="1775">
        <v>1</v>
      </c>
      <c r="Q22" s="1775">
        <v>1</v>
      </c>
      <c r="R22" s="582">
        <v>100000</v>
      </c>
      <c r="S22" s="1042" t="s">
        <v>45</v>
      </c>
      <c r="T22" s="584" t="s">
        <v>38</v>
      </c>
      <c r="U22" s="584"/>
      <c r="V22" s="584"/>
      <c r="W22" s="585" t="s">
        <v>1548</v>
      </c>
      <c r="X22" s="120"/>
      <c r="Y22" s="120"/>
      <c r="Z22" s="120"/>
      <c r="AA22" s="186"/>
      <c r="AB22" s="186"/>
      <c r="AC22" s="120"/>
      <c r="AD22" s="336"/>
      <c r="AE22" s="186"/>
      <c r="AF22" s="35"/>
    </row>
    <row r="23" spans="1:32" s="56" customFormat="1" ht="37.5">
      <c r="A23" s="1181"/>
      <c r="B23" s="959" t="s">
        <v>56</v>
      </c>
      <c r="C23" s="610" t="s">
        <v>1549</v>
      </c>
      <c r="D23" s="611" t="s">
        <v>57</v>
      </c>
      <c r="E23" s="611"/>
      <c r="F23" s="611"/>
      <c r="G23" s="611"/>
      <c r="H23" s="511" t="s">
        <v>58</v>
      </c>
      <c r="I23" s="519" t="s">
        <v>47</v>
      </c>
      <c r="J23" s="1578" t="s">
        <v>1550</v>
      </c>
      <c r="K23" s="512"/>
      <c r="L23" s="597" t="s">
        <v>1551</v>
      </c>
      <c r="M23" s="597"/>
      <c r="N23" s="597"/>
      <c r="O23" s="597">
        <v>42461</v>
      </c>
      <c r="P23" s="516" t="s">
        <v>258</v>
      </c>
      <c r="Q23" s="516" t="s">
        <v>258</v>
      </c>
      <c r="R23" s="599">
        <v>10800000</v>
      </c>
      <c r="S23" s="523" t="s">
        <v>91</v>
      </c>
      <c r="T23" s="515" t="s">
        <v>70</v>
      </c>
      <c r="U23" s="515"/>
      <c r="V23" s="515"/>
      <c r="W23" s="519" t="s">
        <v>651</v>
      </c>
      <c r="X23" s="120"/>
      <c r="Y23" s="120"/>
      <c r="Z23" s="120"/>
      <c r="AA23" s="186"/>
      <c r="AB23" s="186"/>
      <c r="AC23" s="120"/>
      <c r="AD23" s="336"/>
      <c r="AE23" s="186"/>
      <c r="AF23"/>
    </row>
    <row r="24" spans="1:32" s="1" customFormat="1" ht="37.5">
      <c r="A24" s="1181"/>
      <c r="B24" s="959" t="s">
        <v>56</v>
      </c>
      <c r="C24" s="610" t="s">
        <v>1552</v>
      </c>
      <c r="D24" s="611" t="s">
        <v>57</v>
      </c>
      <c r="E24" s="611"/>
      <c r="F24" s="611"/>
      <c r="G24" s="611"/>
      <c r="H24" s="511" t="s">
        <v>58</v>
      </c>
      <c r="I24" s="519" t="s">
        <v>47</v>
      </c>
      <c r="J24" s="1578" t="s">
        <v>1553</v>
      </c>
      <c r="K24" s="512"/>
      <c r="L24" s="597" t="s">
        <v>1551</v>
      </c>
      <c r="M24" s="597"/>
      <c r="N24" s="597"/>
      <c r="O24" s="597">
        <v>42461</v>
      </c>
      <c r="P24" s="516" t="s">
        <v>258</v>
      </c>
      <c r="Q24" s="516" t="s">
        <v>258</v>
      </c>
      <c r="R24" s="599">
        <v>7500000</v>
      </c>
      <c r="S24" s="1043" t="s">
        <v>91</v>
      </c>
      <c r="T24" s="515" t="s">
        <v>70</v>
      </c>
      <c r="U24" s="515"/>
      <c r="V24" s="515"/>
      <c r="W24" s="519"/>
      <c r="X24" s="120"/>
      <c r="Y24" s="120"/>
      <c r="Z24" s="120"/>
      <c r="AA24" s="186"/>
      <c r="AB24" s="186"/>
      <c r="AC24" s="120"/>
      <c r="AD24" s="336"/>
      <c r="AE24" s="186"/>
      <c r="AF24"/>
    </row>
    <row r="25" spans="1:32" s="1" customFormat="1" ht="45" customHeight="1">
      <c r="A25" s="1181"/>
      <c r="B25" s="959" t="s">
        <v>56</v>
      </c>
      <c r="C25" s="610"/>
      <c r="D25" s="611" t="s">
        <v>57</v>
      </c>
      <c r="E25" s="611"/>
      <c r="F25" s="611"/>
      <c r="G25" s="611"/>
      <c r="H25" s="511" t="s">
        <v>58</v>
      </c>
      <c r="I25" s="519" t="s">
        <v>47</v>
      </c>
      <c r="J25" s="1578" t="s">
        <v>1554</v>
      </c>
      <c r="K25" s="512"/>
      <c r="L25" s="597" t="s">
        <v>1551</v>
      </c>
      <c r="M25" s="597"/>
      <c r="N25" s="597"/>
      <c r="O25" s="597">
        <v>42461</v>
      </c>
      <c r="P25" s="516" t="s">
        <v>258</v>
      </c>
      <c r="Q25" s="1009" t="s">
        <v>258</v>
      </c>
      <c r="R25" s="599">
        <v>9000000</v>
      </c>
      <c r="S25" s="1043" t="s">
        <v>60</v>
      </c>
      <c r="T25" s="515" t="s">
        <v>70</v>
      </c>
      <c r="U25" s="515"/>
      <c r="V25" s="515"/>
      <c r="W25" s="519" t="s">
        <v>651</v>
      </c>
      <c r="X25" s="120"/>
      <c r="Y25" s="120"/>
      <c r="Z25" s="120"/>
      <c r="AA25" s="186"/>
      <c r="AB25" s="186"/>
      <c r="AC25" s="120"/>
      <c r="AD25" s="336"/>
      <c r="AE25" s="186"/>
      <c r="AF25" s="56"/>
    </row>
    <row r="26" spans="1:32" s="56" customFormat="1">
      <c r="A26" s="1648">
        <v>44974</v>
      </c>
      <c r="B26" s="1657" t="s">
        <v>1168</v>
      </c>
      <c r="C26" s="1664" t="s">
        <v>1555</v>
      </c>
      <c r="D26" s="1570" t="s">
        <v>1169</v>
      </c>
      <c r="E26" s="1569" t="s">
        <v>1168</v>
      </c>
      <c r="F26" s="1569" t="s">
        <v>1170</v>
      </c>
      <c r="G26" s="1569" t="s">
        <v>1170</v>
      </c>
      <c r="H26" s="1655" t="s">
        <v>1170</v>
      </c>
      <c r="I26" s="1655" t="s">
        <v>1170</v>
      </c>
      <c r="J26" s="1698" t="s">
        <v>1171</v>
      </c>
      <c r="K26" s="1664" t="s">
        <v>1556</v>
      </c>
      <c r="L26" s="1655" t="s">
        <v>1170</v>
      </c>
      <c r="M26" s="1655" t="s">
        <v>1170</v>
      </c>
      <c r="N26" s="1655" t="s">
        <v>1170</v>
      </c>
      <c r="O26" s="1755">
        <v>42461</v>
      </c>
      <c r="P26" s="1755">
        <v>44651</v>
      </c>
      <c r="Q26" s="1664" t="s">
        <v>1188</v>
      </c>
      <c r="R26" s="1805">
        <v>60000</v>
      </c>
      <c r="S26" s="1570" t="s">
        <v>1557</v>
      </c>
      <c r="T26" s="1655" t="s">
        <v>1170</v>
      </c>
      <c r="U26" s="1655" t="s">
        <v>1170</v>
      </c>
      <c r="V26" s="1655"/>
      <c r="W26" s="1664" t="s">
        <v>1174</v>
      </c>
      <c r="X26" s="1664" t="s">
        <v>1175</v>
      </c>
      <c r="Y26" s="1664" t="s">
        <v>251</v>
      </c>
      <c r="Z26" s="1655" t="s">
        <v>1170</v>
      </c>
      <c r="AA26" s="1842" t="s">
        <v>1170</v>
      </c>
      <c r="AB26" s="1842" t="s">
        <v>1170</v>
      </c>
      <c r="AC26" s="1698" t="s">
        <v>1558</v>
      </c>
      <c r="AD26" s="1569" t="s">
        <v>1170</v>
      </c>
      <c r="AE26" s="1934">
        <v>60000</v>
      </c>
      <c r="AF26"/>
    </row>
    <row r="27" spans="1:32" ht="37.5">
      <c r="A27" s="1119"/>
      <c r="B27" s="957" t="s">
        <v>56</v>
      </c>
      <c r="C27" s="577" t="s">
        <v>71</v>
      </c>
      <c r="D27" s="611" t="s">
        <v>57</v>
      </c>
      <c r="E27" s="611"/>
      <c r="F27" s="611"/>
      <c r="G27" s="611"/>
      <c r="H27" s="511" t="s">
        <v>58</v>
      </c>
      <c r="I27" s="512" t="s">
        <v>34</v>
      </c>
      <c r="J27" s="1577" t="s">
        <v>1559</v>
      </c>
      <c r="K27" s="579"/>
      <c r="L27" s="597">
        <v>43191</v>
      </c>
      <c r="M27" s="597"/>
      <c r="N27" s="597"/>
      <c r="O27" s="597">
        <v>42491</v>
      </c>
      <c r="P27" s="516">
        <v>60</v>
      </c>
      <c r="Q27" s="1009" t="s">
        <v>1560</v>
      </c>
      <c r="R27" s="598">
        <v>105000</v>
      </c>
      <c r="S27" s="1043" t="s">
        <v>45</v>
      </c>
      <c r="T27" s="515"/>
      <c r="U27" s="515"/>
      <c r="V27" s="515"/>
      <c r="W27" s="511" t="s">
        <v>1561</v>
      </c>
      <c r="X27" s="120"/>
      <c r="Y27" s="120"/>
      <c r="Z27" s="120"/>
      <c r="AA27" s="186"/>
      <c r="AB27" s="186"/>
      <c r="AC27" s="120"/>
      <c r="AD27" s="336"/>
      <c r="AE27" s="186"/>
    </row>
    <row r="28" spans="1:32" ht="37.5">
      <c r="A28" s="1119"/>
      <c r="B28" s="957" t="s">
        <v>56</v>
      </c>
      <c r="C28" s="577" t="s">
        <v>71</v>
      </c>
      <c r="D28" s="611" t="s">
        <v>57</v>
      </c>
      <c r="E28" s="611"/>
      <c r="F28" s="611"/>
      <c r="G28" s="611"/>
      <c r="H28" s="511" t="s">
        <v>58</v>
      </c>
      <c r="I28" s="512" t="s">
        <v>34</v>
      </c>
      <c r="J28" s="1577" t="s">
        <v>1562</v>
      </c>
      <c r="K28" s="579"/>
      <c r="L28" s="597">
        <v>43191</v>
      </c>
      <c r="M28" s="597"/>
      <c r="N28" s="597"/>
      <c r="O28" s="597">
        <v>42491</v>
      </c>
      <c r="P28" s="516">
        <v>60</v>
      </c>
      <c r="Q28" s="516" t="s">
        <v>1563</v>
      </c>
      <c r="R28" s="598">
        <v>21000</v>
      </c>
      <c r="S28" s="1043" t="s">
        <v>45</v>
      </c>
      <c r="T28" s="515"/>
      <c r="U28" s="515"/>
      <c r="V28" s="515"/>
      <c r="W28" s="511" t="s">
        <v>1561</v>
      </c>
      <c r="X28" s="120"/>
      <c r="Y28" s="120"/>
      <c r="Z28" s="120"/>
      <c r="AA28" s="186"/>
      <c r="AB28" s="186"/>
      <c r="AC28" s="120"/>
      <c r="AD28" s="336"/>
      <c r="AE28" s="186"/>
      <c r="AF28" s="56"/>
    </row>
    <row r="29" spans="1:32" s="56" customFormat="1" ht="58">
      <c r="A29" s="1185"/>
      <c r="B29" s="1" t="s">
        <v>44</v>
      </c>
      <c r="C29" s="4"/>
      <c r="D29" s="147" t="s">
        <v>57</v>
      </c>
      <c r="E29" s="147"/>
      <c r="F29" s="147"/>
      <c r="G29" s="147"/>
      <c r="H29" s="5" t="s">
        <v>46</v>
      </c>
      <c r="I29" s="8" t="s">
        <v>1564</v>
      </c>
      <c r="J29" s="16" t="s">
        <v>1565</v>
      </c>
      <c r="K29" s="16"/>
      <c r="L29" s="16"/>
      <c r="M29" s="182">
        <v>42535</v>
      </c>
      <c r="N29" s="182"/>
      <c r="O29" s="182">
        <v>42597</v>
      </c>
      <c r="P29" s="12">
        <v>12</v>
      </c>
      <c r="Q29" s="25"/>
      <c r="R29" s="81" t="s">
        <v>1566</v>
      </c>
      <c r="S29" s="5" t="s">
        <v>1567</v>
      </c>
      <c r="T29" s="12" t="s">
        <v>1568</v>
      </c>
      <c r="U29" s="4"/>
      <c r="V29" s="4"/>
      <c r="W29" s="5" t="s">
        <v>1569</v>
      </c>
      <c r="X29" s="12"/>
      <c r="Y29" s="5" t="s">
        <v>40</v>
      </c>
      <c r="Z29" s="5"/>
      <c r="AA29" s="26"/>
      <c r="AB29" s="28"/>
      <c r="AC29" s="8" t="s">
        <v>1570</v>
      </c>
      <c r="AD29" s="147"/>
      <c r="AE29" s="27"/>
      <c r="AF29"/>
    </row>
    <row r="30" spans="1:32" s="56" customFormat="1" ht="72.5">
      <c r="A30" s="1185"/>
      <c r="B30" s="1" t="s">
        <v>44</v>
      </c>
      <c r="C30" s="4"/>
      <c r="D30" s="147" t="s">
        <v>57</v>
      </c>
      <c r="E30" s="147"/>
      <c r="F30" s="147"/>
      <c r="G30" s="147"/>
      <c r="H30" s="5" t="s">
        <v>46</v>
      </c>
      <c r="I30" s="8" t="s">
        <v>47</v>
      </c>
      <c r="J30" s="16" t="s">
        <v>1571</v>
      </c>
      <c r="K30" s="16"/>
      <c r="L30" s="16"/>
      <c r="M30" s="182">
        <v>42496</v>
      </c>
      <c r="N30" s="182"/>
      <c r="O30" s="182">
        <v>42614</v>
      </c>
      <c r="P30" s="12">
        <v>1</v>
      </c>
      <c r="Q30" s="25" t="s">
        <v>1572</v>
      </c>
      <c r="R30" s="81">
        <v>6000</v>
      </c>
      <c r="S30" s="31" t="s">
        <v>1573</v>
      </c>
      <c r="T30" s="12" t="s">
        <v>38</v>
      </c>
      <c r="U30" s="4"/>
      <c r="V30" s="4"/>
      <c r="W30" s="5" t="s">
        <v>1574</v>
      </c>
      <c r="X30" s="12"/>
      <c r="Y30" s="5" t="s">
        <v>40</v>
      </c>
      <c r="Z30" s="5"/>
      <c r="AA30" s="26"/>
      <c r="AB30" s="28"/>
      <c r="AC30" s="8" t="s">
        <v>1575</v>
      </c>
      <c r="AD30" s="147"/>
      <c r="AE30" s="27"/>
      <c r="AF30"/>
    </row>
    <row r="31" spans="1:32" s="56" customFormat="1" ht="26">
      <c r="A31" s="1119"/>
      <c r="B31" s="957" t="s">
        <v>56</v>
      </c>
      <c r="C31" s="577"/>
      <c r="D31" s="973" t="s">
        <v>32</v>
      </c>
      <c r="E31" s="973"/>
      <c r="F31" s="973"/>
      <c r="G31" s="973"/>
      <c r="H31" s="578" t="s">
        <v>308</v>
      </c>
      <c r="I31" s="579" t="s">
        <v>34</v>
      </c>
      <c r="J31" s="1577" t="s">
        <v>1576</v>
      </c>
      <c r="K31" s="579"/>
      <c r="L31" s="580" t="s">
        <v>589</v>
      </c>
      <c r="M31" s="580"/>
      <c r="N31" s="580"/>
      <c r="O31" s="580">
        <v>42675</v>
      </c>
      <c r="P31" s="581"/>
      <c r="Q31" s="1017"/>
      <c r="R31" s="582"/>
      <c r="S31" s="1042"/>
      <c r="T31" s="584"/>
      <c r="U31" s="584"/>
      <c r="V31" s="584"/>
      <c r="W31" s="585"/>
      <c r="X31" s="120"/>
      <c r="Y31" s="120"/>
      <c r="Z31" s="120"/>
      <c r="AA31" s="186"/>
      <c r="AB31" s="186"/>
      <c r="AC31" s="120"/>
      <c r="AD31" s="336"/>
      <c r="AE31" s="186"/>
      <c r="AF31" s="1"/>
    </row>
    <row r="32" spans="1:32" s="56" customFormat="1" ht="87">
      <c r="A32" s="1119"/>
      <c r="B32" s="1" t="s">
        <v>44</v>
      </c>
      <c r="C32" s="4"/>
      <c r="D32" s="147" t="s">
        <v>32</v>
      </c>
      <c r="E32" s="147"/>
      <c r="F32" s="147"/>
      <c r="G32" s="147"/>
      <c r="H32" s="5" t="s">
        <v>33</v>
      </c>
      <c r="I32" s="8" t="s">
        <v>47</v>
      </c>
      <c r="J32" s="16" t="s">
        <v>1577</v>
      </c>
      <c r="K32" s="16"/>
      <c r="L32" s="16"/>
      <c r="M32" s="14">
        <v>42614</v>
      </c>
      <c r="N32" s="14"/>
      <c r="O32" s="14">
        <v>42736</v>
      </c>
      <c r="P32" s="12">
        <v>48</v>
      </c>
      <c r="Q32" s="5" t="s">
        <v>1578</v>
      </c>
      <c r="R32" s="82">
        <v>69000</v>
      </c>
      <c r="S32" s="31" t="s">
        <v>1182</v>
      </c>
      <c r="T32" s="14" t="s">
        <v>38</v>
      </c>
      <c r="U32" s="4"/>
      <c r="V32" s="4"/>
      <c r="W32" s="5" t="s">
        <v>1579</v>
      </c>
      <c r="X32" s="5" t="s">
        <v>1580</v>
      </c>
      <c r="Y32" s="5" t="s">
        <v>40</v>
      </c>
      <c r="Z32" s="5"/>
      <c r="AA32" s="26"/>
      <c r="AB32" s="28"/>
      <c r="AC32" s="5" t="s">
        <v>1581</v>
      </c>
      <c r="AD32" s="147"/>
      <c r="AE32" s="26"/>
      <c r="AF32" s="1"/>
    </row>
    <row r="33" spans="1:32" s="56" customFormat="1" ht="29">
      <c r="A33" s="1119"/>
      <c r="B33" s="1" t="s">
        <v>44</v>
      </c>
      <c r="C33" s="4"/>
      <c r="D33" s="147" t="s">
        <v>57</v>
      </c>
      <c r="E33" s="147"/>
      <c r="F33" s="147"/>
      <c r="G33" s="147"/>
      <c r="H33" s="5" t="s">
        <v>46</v>
      </c>
      <c r="I33" s="8" t="s">
        <v>47</v>
      </c>
      <c r="J33" s="16" t="s">
        <v>1582</v>
      </c>
      <c r="K33" s="16"/>
      <c r="L33" s="16"/>
      <c r="M33" s="182">
        <v>42675</v>
      </c>
      <c r="N33" s="182"/>
      <c r="O33" s="182">
        <v>42736</v>
      </c>
      <c r="P33" s="12">
        <v>9</v>
      </c>
      <c r="Q33" s="25">
        <v>9</v>
      </c>
      <c r="R33" s="81">
        <v>20000</v>
      </c>
      <c r="S33" s="31" t="s">
        <v>1182</v>
      </c>
      <c r="T33" s="12" t="s">
        <v>38</v>
      </c>
      <c r="U33" s="4"/>
      <c r="V33" s="4"/>
      <c r="W33" s="5" t="s">
        <v>1583</v>
      </c>
      <c r="X33" s="12"/>
      <c r="Y33" s="5" t="s">
        <v>40</v>
      </c>
      <c r="Z33" s="5"/>
      <c r="AA33" s="26"/>
      <c r="AB33" s="28"/>
      <c r="AC33" s="8" t="s">
        <v>1584</v>
      </c>
      <c r="AD33" s="147"/>
      <c r="AE33" s="27" t="s">
        <v>1585</v>
      </c>
    </row>
    <row r="34" spans="1:32" s="35" customFormat="1">
      <c r="A34" s="1648">
        <v>44974</v>
      </c>
      <c r="B34" s="1657" t="s">
        <v>1168</v>
      </c>
      <c r="C34" s="1664">
        <v>40971</v>
      </c>
      <c r="D34" s="1570" t="s">
        <v>1178</v>
      </c>
      <c r="E34" s="1569" t="s">
        <v>1168</v>
      </c>
      <c r="F34" s="1569" t="s">
        <v>1170</v>
      </c>
      <c r="G34" s="1569" t="s">
        <v>1170</v>
      </c>
      <c r="H34" s="1655" t="s">
        <v>1170</v>
      </c>
      <c r="I34" s="1655" t="s">
        <v>1170</v>
      </c>
      <c r="J34" s="1698" t="s">
        <v>1586</v>
      </c>
      <c r="K34" s="1664" t="s">
        <v>1587</v>
      </c>
      <c r="L34" s="1655" t="s">
        <v>1170</v>
      </c>
      <c r="M34" s="1655" t="s">
        <v>1170</v>
      </c>
      <c r="N34" s="1655" t="s">
        <v>1170</v>
      </c>
      <c r="O34" s="1755">
        <v>42750</v>
      </c>
      <c r="P34" s="1755">
        <v>45305</v>
      </c>
      <c r="Q34" s="1664" t="s">
        <v>1181</v>
      </c>
      <c r="R34" s="1805">
        <v>8624</v>
      </c>
      <c r="S34" s="1664" t="s">
        <v>1182</v>
      </c>
      <c r="T34" s="1655" t="s">
        <v>1170</v>
      </c>
      <c r="U34" s="1655" t="s">
        <v>1170</v>
      </c>
      <c r="V34" s="1655"/>
      <c r="W34" s="1664" t="s">
        <v>1190</v>
      </c>
      <c r="X34" s="1664" t="s">
        <v>1175</v>
      </c>
      <c r="Y34" s="1664" t="s">
        <v>251</v>
      </c>
      <c r="Z34" s="1655" t="s">
        <v>1170</v>
      </c>
      <c r="AA34" s="1842" t="s">
        <v>1170</v>
      </c>
      <c r="AB34" s="1842" t="s">
        <v>1170</v>
      </c>
      <c r="AC34" s="1698" t="s">
        <v>1588</v>
      </c>
      <c r="AD34" s="1569" t="s">
        <v>1170</v>
      </c>
      <c r="AE34" s="1934">
        <v>8624</v>
      </c>
      <c r="AF34"/>
    </row>
    <row r="35" spans="1:32" s="56" customFormat="1" ht="203">
      <c r="A35" s="1119"/>
      <c r="B35" s="1" t="s">
        <v>44</v>
      </c>
      <c r="C35" s="4"/>
      <c r="D35" s="147" t="s">
        <v>32</v>
      </c>
      <c r="E35" s="147"/>
      <c r="F35" s="147"/>
      <c r="G35" s="147"/>
      <c r="H35" s="5" t="s">
        <v>33</v>
      </c>
      <c r="I35" s="8" t="s">
        <v>47</v>
      </c>
      <c r="J35" s="16" t="s">
        <v>1589</v>
      </c>
      <c r="K35" s="16"/>
      <c r="L35" s="16"/>
      <c r="M35" s="182">
        <v>42552</v>
      </c>
      <c r="N35" s="182"/>
      <c r="O35" s="182">
        <v>42767</v>
      </c>
      <c r="P35" s="12">
        <v>12</v>
      </c>
      <c r="Q35" s="12">
        <v>12</v>
      </c>
      <c r="R35" s="81">
        <v>1000</v>
      </c>
      <c r="S35" s="5" t="s">
        <v>176</v>
      </c>
      <c r="T35" s="12" t="s">
        <v>38</v>
      </c>
      <c r="U35" s="4"/>
      <c r="V35" s="4"/>
      <c r="W35" s="12" t="s">
        <v>1590</v>
      </c>
      <c r="X35" s="12"/>
      <c r="Y35" s="5" t="s">
        <v>40</v>
      </c>
      <c r="Z35" s="5"/>
      <c r="AA35" s="26"/>
      <c r="AB35" s="28"/>
      <c r="AC35" s="8" t="s">
        <v>1591</v>
      </c>
      <c r="AD35" s="147"/>
      <c r="AE35" s="27">
        <v>1000</v>
      </c>
      <c r="AF35"/>
    </row>
    <row r="36" spans="1:32" s="56" customFormat="1" ht="43.4" customHeight="1">
      <c r="A36" s="2754"/>
      <c r="B36" s="1" t="s">
        <v>44</v>
      </c>
      <c r="C36" s="4"/>
      <c r="D36" s="147" t="s">
        <v>32</v>
      </c>
      <c r="E36" s="147"/>
      <c r="F36" s="147"/>
      <c r="G36" s="147"/>
      <c r="H36" s="5" t="s">
        <v>33</v>
      </c>
      <c r="I36" s="8" t="s">
        <v>47</v>
      </c>
      <c r="J36" s="16" t="s">
        <v>1592</v>
      </c>
      <c r="K36" s="16"/>
      <c r="L36" s="16"/>
      <c r="M36" s="182">
        <v>42755</v>
      </c>
      <c r="N36" s="182"/>
      <c r="O36" s="182">
        <v>42794</v>
      </c>
      <c r="P36" s="12">
        <v>12</v>
      </c>
      <c r="Q36" s="13">
        <v>12</v>
      </c>
      <c r="R36" s="83">
        <v>5000</v>
      </c>
      <c r="S36" s="5" t="s">
        <v>1593</v>
      </c>
      <c r="T36" s="12" t="s">
        <v>38</v>
      </c>
      <c r="U36" s="4"/>
      <c r="V36" s="4"/>
      <c r="W36" s="5" t="s">
        <v>76</v>
      </c>
      <c r="X36" s="12"/>
      <c r="Y36" s="5" t="s">
        <v>40</v>
      </c>
      <c r="Z36" s="5"/>
      <c r="AA36" s="26"/>
      <c r="AB36" s="28"/>
      <c r="AC36" s="8" t="s">
        <v>1594</v>
      </c>
      <c r="AD36" s="147"/>
      <c r="AE36" s="27"/>
    </row>
    <row r="37" spans="1:32" s="1" customFormat="1" ht="29">
      <c r="A37" s="1119"/>
      <c r="B37" s="1" t="s">
        <v>44</v>
      </c>
      <c r="C37" s="4"/>
      <c r="D37" s="147" t="s">
        <v>32</v>
      </c>
      <c r="E37" s="147"/>
      <c r="F37" s="147"/>
      <c r="G37" s="147"/>
      <c r="H37" s="5" t="s">
        <v>1595</v>
      </c>
      <c r="I37" s="8" t="s">
        <v>47</v>
      </c>
      <c r="J37" s="16" t="s">
        <v>1596</v>
      </c>
      <c r="K37" s="16"/>
      <c r="L37" s="16"/>
      <c r="M37" s="182">
        <v>42552</v>
      </c>
      <c r="N37" s="182"/>
      <c r="O37" s="182">
        <v>42795</v>
      </c>
      <c r="P37" s="12">
        <v>24</v>
      </c>
      <c r="Q37" s="25">
        <v>24</v>
      </c>
      <c r="R37" s="81">
        <v>500000</v>
      </c>
      <c r="S37" s="31" t="s">
        <v>1189</v>
      </c>
      <c r="T37" s="12" t="s">
        <v>38</v>
      </c>
      <c r="U37" s="4"/>
      <c r="V37" s="4"/>
      <c r="W37" s="5" t="s">
        <v>1597</v>
      </c>
      <c r="X37" s="12" t="s">
        <v>1598</v>
      </c>
      <c r="Y37" s="5" t="s">
        <v>40</v>
      </c>
      <c r="Z37" s="5"/>
      <c r="AA37" s="26"/>
      <c r="AB37" s="28"/>
      <c r="AC37" s="8" t="s">
        <v>1599</v>
      </c>
      <c r="AD37" s="147"/>
      <c r="AE37" s="27"/>
    </row>
    <row r="38" spans="1:32">
      <c r="A38" s="1648">
        <v>44974</v>
      </c>
      <c r="B38" s="1657" t="s">
        <v>1168</v>
      </c>
      <c r="C38" s="1664">
        <v>28649</v>
      </c>
      <c r="D38" s="1570" t="s">
        <v>1506</v>
      </c>
      <c r="E38" s="1569" t="s">
        <v>1168</v>
      </c>
      <c r="F38" s="1569" t="s">
        <v>1170</v>
      </c>
      <c r="G38" s="1569" t="s">
        <v>1170</v>
      </c>
      <c r="H38" s="1655" t="s">
        <v>1170</v>
      </c>
      <c r="I38" s="1655" t="s">
        <v>1170</v>
      </c>
      <c r="J38" s="1698" t="s">
        <v>1600</v>
      </c>
      <c r="K38" s="1664" t="s">
        <v>1508</v>
      </c>
      <c r="L38" s="1655" t="s">
        <v>1170</v>
      </c>
      <c r="M38" s="1655" t="s">
        <v>1170</v>
      </c>
      <c r="N38" s="1655" t="s">
        <v>1170</v>
      </c>
      <c r="O38" s="1755">
        <v>42795</v>
      </c>
      <c r="P38" s="1755">
        <v>44985</v>
      </c>
      <c r="Q38" s="1664" t="s">
        <v>1509</v>
      </c>
      <c r="R38" s="1805">
        <v>15000</v>
      </c>
      <c r="S38" s="1664" t="s">
        <v>1182</v>
      </c>
      <c r="T38" s="1655" t="s">
        <v>1170</v>
      </c>
      <c r="U38" s="1655" t="s">
        <v>1170</v>
      </c>
      <c r="V38" s="1655"/>
      <c r="W38" s="1664" t="s">
        <v>1601</v>
      </c>
      <c r="X38" s="1664" t="s">
        <v>1175</v>
      </c>
      <c r="Y38" s="1664" t="s">
        <v>251</v>
      </c>
      <c r="Z38" s="1655" t="s">
        <v>1170</v>
      </c>
      <c r="AA38" s="1842" t="s">
        <v>1170</v>
      </c>
      <c r="AB38" s="1842" t="s">
        <v>1170</v>
      </c>
      <c r="AC38" s="1698" t="s">
        <v>1602</v>
      </c>
      <c r="AD38" s="1569" t="s">
        <v>1170</v>
      </c>
      <c r="AE38" s="1934">
        <v>15000</v>
      </c>
    </row>
    <row r="39" spans="1:32" s="56" customFormat="1" ht="29">
      <c r="A39" s="1185"/>
      <c r="B39" s="1" t="s">
        <v>44</v>
      </c>
      <c r="C39" s="4"/>
      <c r="D39" s="147" t="s">
        <v>57</v>
      </c>
      <c r="E39" s="147"/>
      <c r="F39" s="147"/>
      <c r="G39" s="147"/>
      <c r="H39" s="5" t="s">
        <v>165</v>
      </c>
      <c r="I39" s="8" t="s">
        <v>47</v>
      </c>
      <c r="J39" s="16" t="s">
        <v>1603</v>
      </c>
      <c r="K39" s="16"/>
      <c r="L39" s="16"/>
      <c r="M39" s="14">
        <v>42461</v>
      </c>
      <c r="N39" s="14"/>
      <c r="O39" s="14">
        <v>42826</v>
      </c>
      <c r="P39" s="12">
        <v>12</v>
      </c>
      <c r="Q39" s="5">
        <v>12</v>
      </c>
      <c r="R39" s="82">
        <v>100000</v>
      </c>
      <c r="S39" s="5" t="s">
        <v>1195</v>
      </c>
      <c r="T39" s="14" t="s">
        <v>38</v>
      </c>
      <c r="U39" s="4"/>
      <c r="V39" s="4"/>
      <c r="W39" s="5" t="s">
        <v>167</v>
      </c>
      <c r="X39" s="67"/>
      <c r="Y39" s="5" t="s">
        <v>40</v>
      </c>
      <c r="Z39" s="5"/>
      <c r="AA39" s="26"/>
      <c r="AB39" s="28"/>
      <c r="AC39" s="5" t="s">
        <v>1604</v>
      </c>
      <c r="AD39" s="147"/>
      <c r="AE39" s="223">
        <v>50000</v>
      </c>
      <c r="AF39" s="1"/>
    </row>
    <row r="40" spans="1:32" s="1" customFormat="1" ht="79.5" customHeight="1">
      <c r="A40" s="1119"/>
      <c r="B40" s="1" t="s">
        <v>44</v>
      </c>
      <c r="C40" s="4"/>
      <c r="D40" s="147" t="s">
        <v>32</v>
      </c>
      <c r="E40" s="147"/>
      <c r="F40" s="147"/>
      <c r="G40" s="147"/>
      <c r="H40" s="5" t="s">
        <v>33</v>
      </c>
      <c r="I40" s="8" t="s">
        <v>47</v>
      </c>
      <c r="J40" s="16" t="s">
        <v>1605</v>
      </c>
      <c r="K40" s="16"/>
      <c r="L40" s="16"/>
      <c r="M40" s="182">
        <v>42675</v>
      </c>
      <c r="N40" s="182"/>
      <c r="O40" s="182">
        <v>42826</v>
      </c>
      <c r="P40" s="12">
        <v>12</v>
      </c>
      <c r="Q40" s="28" t="s">
        <v>50</v>
      </c>
      <c r="R40" s="81">
        <v>19990</v>
      </c>
      <c r="S40" s="31" t="s">
        <v>1593</v>
      </c>
      <c r="T40" s="12" t="s">
        <v>612</v>
      </c>
      <c r="U40" s="4"/>
      <c r="V40" s="4"/>
      <c r="W40" s="5" t="s">
        <v>142</v>
      </c>
      <c r="X40" s="12"/>
      <c r="Y40" s="5" t="s">
        <v>40</v>
      </c>
      <c r="Z40" s="5"/>
      <c r="AA40" s="26"/>
      <c r="AB40" s="28"/>
      <c r="AC40" s="8"/>
      <c r="AD40" s="147"/>
      <c r="AE40" s="27"/>
      <c r="AF40" s="56"/>
    </row>
    <row r="41" spans="1:32" s="1" customFormat="1" ht="43.5">
      <c r="A41" s="1119"/>
      <c r="B41" s="1" t="s">
        <v>44</v>
      </c>
      <c r="C41" s="4"/>
      <c r="D41" s="147" t="s">
        <v>32</v>
      </c>
      <c r="E41" s="147"/>
      <c r="F41" s="147"/>
      <c r="G41" s="147"/>
      <c r="H41" s="5" t="s">
        <v>103</v>
      </c>
      <c r="I41" s="8" t="s">
        <v>47</v>
      </c>
      <c r="J41" s="16" t="s">
        <v>1606</v>
      </c>
      <c r="K41" s="8"/>
      <c r="L41" s="8"/>
      <c r="M41" s="14">
        <v>42705</v>
      </c>
      <c r="N41" s="14"/>
      <c r="O41" s="14">
        <v>42826</v>
      </c>
      <c r="P41" s="12">
        <v>36</v>
      </c>
      <c r="Q41" s="26">
        <v>36</v>
      </c>
      <c r="R41" s="18">
        <v>100000</v>
      </c>
      <c r="S41" s="31" t="s">
        <v>176</v>
      </c>
      <c r="T41" s="14" t="s">
        <v>38</v>
      </c>
      <c r="U41" s="4"/>
      <c r="V41" s="4"/>
      <c r="W41" s="5" t="s">
        <v>94</v>
      </c>
      <c r="X41" s="5" t="s">
        <v>108</v>
      </c>
      <c r="Y41" s="5" t="s">
        <v>40</v>
      </c>
      <c r="Z41" s="5"/>
      <c r="AA41" s="26"/>
      <c r="AB41" s="26"/>
      <c r="AC41" s="8" t="s">
        <v>1607</v>
      </c>
      <c r="AD41" s="147"/>
      <c r="AE41" s="227"/>
      <c r="AF41"/>
    </row>
    <row r="42" spans="1:32" s="1" customFormat="1" ht="101.5">
      <c r="A42" s="1119"/>
      <c r="B42" s="1" t="s">
        <v>44</v>
      </c>
      <c r="C42" s="4"/>
      <c r="D42" s="147" t="s">
        <v>32</v>
      </c>
      <c r="E42" s="147"/>
      <c r="F42" s="147"/>
      <c r="G42" s="147"/>
      <c r="H42" s="5" t="s">
        <v>33</v>
      </c>
      <c r="I42" s="10" t="s">
        <v>34</v>
      </c>
      <c r="J42" s="16" t="s">
        <v>1608</v>
      </c>
      <c r="K42" s="16"/>
      <c r="L42" s="16"/>
      <c r="M42" s="182">
        <v>42795</v>
      </c>
      <c r="N42" s="182"/>
      <c r="O42" s="182">
        <v>42826</v>
      </c>
      <c r="P42" s="12">
        <v>12</v>
      </c>
      <c r="Q42" s="28" t="s">
        <v>50</v>
      </c>
      <c r="R42" s="83" t="s">
        <v>1609</v>
      </c>
      <c r="S42" s="31" t="s">
        <v>1610</v>
      </c>
      <c r="T42" s="12" t="s">
        <v>38</v>
      </c>
      <c r="U42" s="4"/>
      <c r="V42" s="4"/>
      <c r="W42" s="5" t="s">
        <v>937</v>
      </c>
      <c r="X42" s="12"/>
      <c r="Y42" s="5" t="s">
        <v>40</v>
      </c>
      <c r="Z42" s="5"/>
      <c r="AA42" s="26"/>
      <c r="AB42" s="28"/>
      <c r="AC42" s="8" t="s">
        <v>1611</v>
      </c>
      <c r="AD42" s="147"/>
      <c r="AE42" s="228">
        <v>2497</v>
      </c>
      <c r="AF42"/>
    </row>
    <row r="43" spans="1:32" s="56" customFormat="1" ht="29">
      <c r="A43" s="1119"/>
      <c r="B43" s="1" t="s">
        <v>44</v>
      </c>
      <c r="C43" s="4"/>
      <c r="D43" s="147" t="s">
        <v>32</v>
      </c>
      <c r="E43" s="147"/>
      <c r="F43" s="147"/>
      <c r="G43" s="147"/>
      <c r="H43" s="12" t="s">
        <v>33</v>
      </c>
      <c r="I43" s="10" t="s">
        <v>47</v>
      </c>
      <c r="J43" s="16" t="s">
        <v>1612</v>
      </c>
      <c r="K43" s="16"/>
      <c r="L43" s="16"/>
      <c r="M43" s="182">
        <v>42826</v>
      </c>
      <c r="N43" s="182"/>
      <c r="O43" s="182">
        <v>42826</v>
      </c>
      <c r="P43" s="12">
        <v>12</v>
      </c>
      <c r="Q43" s="13" t="s">
        <v>50</v>
      </c>
      <c r="R43" s="86">
        <v>3266</v>
      </c>
      <c r="S43" s="5" t="s">
        <v>1593</v>
      </c>
      <c r="T43" s="12" t="s">
        <v>38</v>
      </c>
      <c r="U43" s="4"/>
      <c r="V43" s="4"/>
      <c r="W43" s="12" t="s">
        <v>383</v>
      </c>
      <c r="X43" s="12" t="s">
        <v>1613</v>
      </c>
      <c r="Y43" s="5" t="s">
        <v>40</v>
      </c>
      <c r="Z43" s="5"/>
      <c r="AA43" s="26"/>
      <c r="AB43" s="28"/>
      <c r="AC43" s="8"/>
      <c r="AD43" s="147"/>
      <c r="AE43" s="27"/>
    </row>
    <row r="44" spans="1:32" s="56" customFormat="1" ht="39">
      <c r="A44" s="1119"/>
      <c r="B44" s="957" t="s">
        <v>56</v>
      </c>
      <c r="C44" s="577" t="s">
        <v>71</v>
      </c>
      <c r="D44" s="973" t="s">
        <v>57</v>
      </c>
      <c r="E44" s="973"/>
      <c r="F44" s="973"/>
      <c r="G44" s="973"/>
      <c r="H44" s="578" t="s">
        <v>58</v>
      </c>
      <c r="I44" s="579" t="s">
        <v>47</v>
      </c>
      <c r="J44" s="1577" t="s">
        <v>1614</v>
      </c>
      <c r="K44" s="579"/>
      <c r="L44" s="580">
        <v>42835</v>
      </c>
      <c r="M44" s="580"/>
      <c r="N44" s="580"/>
      <c r="O44" s="580">
        <v>42826</v>
      </c>
      <c r="P44" s="581">
        <v>0</v>
      </c>
      <c r="Q44" s="581">
        <v>0</v>
      </c>
      <c r="R44" s="582">
        <v>14171.66</v>
      </c>
      <c r="S44" s="583" t="s">
        <v>1615</v>
      </c>
      <c r="T44" s="584" t="s">
        <v>38</v>
      </c>
      <c r="U44" s="584"/>
      <c r="V44" s="584"/>
      <c r="W44" s="577" t="s">
        <v>1616</v>
      </c>
      <c r="X44" s="120"/>
      <c r="Y44" s="120"/>
      <c r="Z44" s="120"/>
      <c r="AA44" s="186"/>
      <c r="AB44" s="186"/>
      <c r="AC44" s="120"/>
      <c r="AD44" s="336"/>
      <c r="AE44" s="186"/>
    </row>
    <row r="45" spans="1:32" s="56" customFormat="1" ht="71.25" customHeight="1">
      <c r="A45" s="1648">
        <v>44974</v>
      </c>
      <c r="B45" s="1657" t="s">
        <v>1168</v>
      </c>
      <c r="C45" s="1664">
        <v>30200</v>
      </c>
      <c r="D45" s="1570" t="s">
        <v>1178</v>
      </c>
      <c r="E45" s="1569" t="s">
        <v>1168</v>
      </c>
      <c r="F45" s="1569" t="s">
        <v>1170</v>
      </c>
      <c r="G45" s="1569" t="s">
        <v>1170</v>
      </c>
      <c r="H45" s="1655" t="s">
        <v>1170</v>
      </c>
      <c r="I45" s="1655" t="s">
        <v>1170</v>
      </c>
      <c r="J45" s="1698" t="s">
        <v>1617</v>
      </c>
      <c r="K45" s="1655" t="s">
        <v>390</v>
      </c>
      <c r="L45" s="1655" t="s">
        <v>1170</v>
      </c>
      <c r="M45" s="1655" t="s">
        <v>1170</v>
      </c>
      <c r="N45" s="1655" t="s">
        <v>1170</v>
      </c>
      <c r="O45" s="1755">
        <v>42826</v>
      </c>
      <c r="P45" s="1755">
        <v>45016</v>
      </c>
      <c r="Q45" s="1667" t="s">
        <v>1181</v>
      </c>
      <c r="R45" s="1805">
        <v>12918</v>
      </c>
      <c r="S45" s="1570" t="s">
        <v>1182</v>
      </c>
      <c r="T45" s="1655" t="s">
        <v>1170</v>
      </c>
      <c r="U45" s="1655" t="s">
        <v>1170</v>
      </c>
      <c r="V45" s="1655"/>
      <c r="W45" s="1664" t="s">
        <v>1190</v>
      </c>
      <c r="X45" s="1664" t="s">
        <v>1175</v>
      </c>
      <c r="Y45" s="1664" t="s">
        <v>251</v>
      </c>
      <c r="Z45" s="1655" t="s">
        <v>1170</v>
      </c>
      <c r="AA45" s="1842" t="s">
        <v>1170</v>
      </c>
      <c r="AB45" s="1842" t="s">
        <v>1170</v>
      </c>
      <c r="AC45" s="1698" t="s">
        <v>1618</v>
      </c>
      <c r="AD45" s="1569" t="s">
        <v>1170</v>
      </c>
      <c r="AE45" s="1934">
        <v>12918</v>
      </c>
      <c r="AF45"/>
    </row>
    <row r="46" spans="1:32" ht="29">
      <c r="A46" s="2754"/>
      <c r="B46" s="1" t="s">
        <v>44</v>
      </c>
      <c r="C46" s="4"/>
      <c r="D46" s="147" t="s">
        <v>32</v>
      </c>
      <c r="E46" s="147"/>
      <c r="F46" s="147"/>
      <c r="G46" s="147"/>
      <c r="H46" s="5" t="s">
        <v>1619</v>
      </c>
      <c r="I46" s="8" t="s">
        <v>47</v>
      </c>
      <c r="J46" s="16" t="s">
        <v>1620</v>
      </c>
      <c r="K46" s="16"/>
      <c r="L46" s="16"/>
      <c r="M46" s="182">
        <v>42751</v>
      </c>
      <c r="N46" s="182"/>
      <c r="O46" s="182">
        <v>42828</v>
      </c>
      <c r="P46" s="12">
        <v>24</v>
      </c>
      <c r="Q46" s="7">
        <v>24</v>
      </c>
      <c r="R46" s="81">
        <v>100000</v>
      </c>
      <c r="S46" s="5" t="s">
        <v>1621</v>
      </c>
      <c r="T46" s="12"/>
      <c r="U46" s="4"/>
      <c r="V46" s="4"/>
      <c r="W46" s="5" t="s">
        <v>1622</v>
      </c>
      <c r="X46" s="12"/>
      <c r="Y46" s="5" t="s">
        <v>40</v>
      </c>
      <c r="Z46" s="5"/>
      <c r="AA46" s="26"/>
      <c r="AB46" s="28"/>
      <c r="AC46" s="8" t="s">
        <v>1623</v>
      </c>
      <c r="AD46" s="147"/>
      <c r="AE46" s="27"/>
      <c r="AF46" s="56"/>
    </row>
    <row r="47" spans="1:32" ht="39">
      <c r="A47" s="1119"/>
      <c r="B47" s="957" t="s">
        <v>56</v>
      </c>
      <c r="C47" s="586" t="s">
        <v>1624</v>
      </c>
      <c r="D47" s="973" t="s">
        <v>57</v>
      </c>
      <c r="E47" s="973"/>
      <c r="F47" s="973"/>
      <c r="G47" s="973"/>
      <c r="H47" s="578" t="s">
        <v>58</v>
      </c>
      <c r="I47" s="579" t="s">
        <v>47</v>
      </c>
      <c r="J47" s="1577" t="s">
        <v>1625</v>
      </c>
      <c r="K47" s="579"/>
      <c r="L47" s="580">
        <v>42984</v>
      </c>
      <c r="M47" s="580"/>
      <c r="N47" s="580"/>
      <c r="O47" s="580">
        <v>42846</v>
      </c>
      <c r="P47" s="581">
        <v>48</v>
      </c>
      <c r="Q47" s="1017">
        <v>48</v>
      </c>
      <c r="R47" s="582">
        <v>40000</v>
      </c>
      <c r="S47" s="584" t="s">
        <v>1626</v>
      </c>
      <c r="T47" s="584" t="s">
        <v>38</v>
      </c>
      <c r="U47" s="584"/>
      <c r="V47" s="584"/>
      <c r="W47" s="585" t="s">
        <v>1627</v>
      </c>
      <c r="X47" s="120"/>
      <c r="Y47" s="120"/>
      <c r="Z47" s="120"/>
      <c r="AA47" s="186"/>
      <c r="AB47" s="186"/>
      <c r="AC47" s="120"/>
      <c r="AD47" s="336"/>
      <c r="AE47" s="186"/>
      <c r="AF47" s="56"/>
    </row>
    <row r="48" spans="1:32" s="56" customFormat="1" ht="29">
      <c r="A48" s="498"/>
      <c r="B48" s="1" t="s">
        <v>44</v>
      </c>
      <c r="C48" s="4"/>
      <c r="D48" s="147" t="s">
        <v>32</v>
      </c>
      <c r="E48" s="147"/>
      <c r="F48" s="147"/>
      <c r="G48" s="147"/>
      <c r="H48" s="12" t="s">
        <v>33</v>
      </c>
      <c r="I48" s="10" t="s">
        <v>47</v>
      </c>
      <c r="J48" s="16" t="s">
        <v>570</v>
      </c>
      <c r="K48" s="16"/>
      <c r="L48" s="16"/>
      <c r="M48" s="182">
        <v>42847</v>
      </c>
      <c r="N48" s="182"/>
      <c r="O48" s="182">
        <v>42850</v>
      </c>
      <c r="P48" s="12">
        <v>12</v>
      </c>
      <c r="Q48" s="28" t="s">
        <v>50</v>
      </c>
      <c r="R48" s="86">
        <v>655</v>
      </c>
      <c r="S48" s="31" t="s">
        <v>1593</v>
      </c>
      <c r="T48" s="12" t="s">
        <v>38</v>
      </c>
      <c r="U48" s="4"/>
      <c r="V48" s="4"/>
      <c r="W48" s="12" t="s">
        <v>383</v>
      </c>
      <c r="X48" s="12"/>
      <c r="Y48" s="5" t="s">
        <v>40</v>
      </c>
      <c r="Z48" s="5"/>
      <c r="AA48" s="26"/>
      <c r="AB48" s="28"/>
      <c r="AC48" s="87"/>
      <c r="AD48" s="147"/>
      <c r="AE48" s="27"/>
    </row>
    <row r="49" spans="1:32" ht="29">
      <c r="A49" s="498"/>
      <c r="B49" s="1" t="s">
        <v>44</v>
      </c>
      <c r="C49" s="4"/>
      <c r="D49" s="147" t="s">
        <v>32</v>
      </c>
      <c r="E49" s="147"/>
      <c r="F49" s="147"/>
      <c r="G49" s="147"/>
      <c r="H49" s="12" t="s">
        <v>33</v>
      </c>
      <c r="I49" s="10" t="s">
        <v>47</v>
      </c>
      <c r="J49" s="16" t="s">
        <v>1628</v>
      </c>
      <c r="K49" s="16"/>
      <c r="L49" s="16"/>
      <c r="M49" s="182">
        <v>42856</v>
      </c>
      <c r="N49" s="182"/>
      <c r="O49" s="182">
        <v>42856</v>
      </c>
      <c r="P49" s="12">
        <v>24</v>
      </c>
      <c r="Q49" s="28" t="s">
        <v>391</v>
      </c>
      <c r="R49" s="88">
        <v>29250</v>
      </c>
      <c r="S49" s="31" t="s">
        <v>1629</v>
      </c>
      <c r="T49" s="12" t="s">
        <v>38</v>
      </c>
      <c r="U49" s="4"/>
      <c r="V49" s="4"/>
      <c r="W49" s="12" t="s">
        <v>412</v>
      </c>
      <c r="X49" s="12"/>
      <c r="Y49" s="5" t="s">
        <v>40</v>
      </c>
      <c r="Z49" s="5"/>
      <c r="AA49" s="26"/>
      <c r="AB49" s="28"/>
      <c r="AC49" s="8" t="s">
        <v>1630</v>
      </c>
      <c r="AD49" s="147"/>
      <c r="AE49" s="26"/>
      <c r="AF49" s="35"/>
    </row>
    <row r="50" spans="1:32" s="56" customFormat="1" ht="29">
      <c r="A50" s="498"/>
      <c r="B50" s="1" t="s">
        <v>44</v>
      </c>
      <c r="C50" s="4"/>
      <c r="D50" s="147" t="s">
        <v>32</v>
      </c>
      <c r="E50" s="147"/>
      <c r="F50" s="147"/>
      <c r="G50" s="147"/>
      <c r="H50" s="12" t="s">
        <v>33</v>
      </c>
      <c r="I50" s="8" t="s">
        <v>34</v>
      </c>
      <c r="J50" s="103" t="s">
        <v>624</v>
      </c>
      <c r="K50" s="89"/>
      <c r="L50" s="89"/>
      <c r="M50" s="90">
        <v>42948</v>
      </c>
      <c r="N50" s="90"/>
      <c r="O50" s="90">
        <v>42856</v>
      </c>
      <c r="P50" s="91">
        <v>12</v>
      </c>
      <c r="Q50" s="92" t="s">
        <v>1631</v>
      </c>
      <c r="R50" s="18">
        <v>210000</v>
      </c>
      <c r="S50" s="5" t="s">
        <v>34</v>
      </c>
      <c r="T50" s="483" t="s">
        <v>38</v>
      </c>
      <c r="U50" s="4"/>
      <c r="V50" s="4"/>
      <c r="W50" s="91" t="s">
        <v>1632</v>
      </c>
      <c r="X50" s="91" t="s">
        <v>1633</v>
      </c>
      <c r="Y50" s="5" t="s">
        <v>40</v>
      </c>
      <c r="Z50" s="5"/>
      <c r="AA50" s="26"/>
      <c r="AB50" s="1109"/>
      <c r="AC50" s="8" t="s">
        <v>1634</v>
      </c>
      <c r="AD50" s="147" t="s">
        <v>1635</v>
      </c>
      <c r="AE50" s="1146">
        <v>26250</v>
      </c>
    </row>
    <row r="51" spans="1:32" s="181" customFormat="1" ht="60.75" customHeight="1">
      <c r="A51" s="1119"/>
      <c r="B51" s="957" t="s">
        <v>56</v>
      </c>
      <c r="C51" s="586" t="s">
        <v>71</v>
      </c>
      <c r="D51" s="973" t="s">
        <v>57</v>
      </c>
      <c r="E51" s="973"/>
      <c r="F51" s="973"/>
      <c r="G51" s="973"/>
      <c r="H51" s="578" t="s">
        <v>58</v>
      </c>
      <c r="I51" s="579" t="s">
        <v>47</v>
      </c>
      <c r="J51" s="1577" t="s">
        <v>1636</v>
      </c>
      <c r="K51" s="579"/>
      <c r="L51" s="580">
        <v>42880</v>
      </c>
      <c r="M51" s="580"/>
      <c r="N51" s="580"/>
      <c r="O51" s="580">
        <v>42880</v>
      </c>
      <c r="P51" s="581">
        <v>3</v>
      </c>
      <c r="Q51" s="1017">
        <v>3</v>
      </c>
      <c r="R51" s="582">
        <v>4500</v>
      </c>
      <c r="S51" s="1042" t="s">
        <v>1615</v>
      </c>
      <c r="T51" s="584" t="s">
        <v>38</v>
      </c>
      <c r="U51" s="584"/>
      <c r="V51" s="584"/>
      <c r="W51" s="585" t="s">
        <v>1637</v>
      </c>
      <c r="X51" s="120"/>
      <c r="Y51" s="120"/>
      <c r="Z51" s="120"/>
      <c r="AA51" s="186"/>
      <c r="AB51" s="186"/>
      <c r="AC51" s="120"/>
      <c r="AD51" s="336"/>
      <c r="AE51" s="186"/>
      <c r="AF51" s="56"/>
    </row>
    <row r="52" spans="1:32" s="56" customFormat="1" ht="29">
      <c r="A52" s="1119"/>
      <c r="B52" s="1" t="s">
        <v>44</v>
      </c>
      <c r="C52" s="4"/>
      <c r="D52" s="147" t="s">
        <v>32</v>
      </c>
      <c r="E52" s="147"/>
      <c r="F52" s="147"/>
      <c r="G52" s="147"/>
      <c r="H52" s="12" t="s">
        <v>33</v>
      </c>
      <c r="I52" s="10" t="s">
        <v>34</v>
      </c>
      <c r="J52" s="16" t="s">
        <v>1638</v>
      </c>
      <c r="K52" s="16"/>
      <c r="L52" s="16"/>
      <c r="M52" s="182">
        <v>42736</v>
      </c>
      <c r="N52" s="182"/>
      <c r="O52" s="182">
        <v>42887</v>
      </c>
      <c r="P52" s="12">
        <v>12</v>
      </c>
      <c r="Q52" s="28" t="s">
        <v>50</v>
      </c>
      <c r="R52" s="86">
        <v>1301.92</v>
      </c>
      <c r="S52" s="31" t="s">
        <v>1639</v>
      </c>
      <c r="T52" s="12" t="s">
        <v>38</v>
      </c>
      <c r="U52" s="4"/>
      <c r="V52" s="4"/>
      <c r="W52" s="12" t="s">
        <v>1640</v>
      </c>
      <c r="X52" s="12" t="s">
        <v>1641</v>
      </c>
      <c r="Y52" s="5" t="s">
        <v>40</v>
      </c>
      <c r="Z52" s="5"/>
      <c r="AA52" s="26"/>
      <c r="AB52" s="28"/>
      <c r="AC52" s="8" t="s">
        <v>1642</v>
      </c>
      <c r="AD52" s="147"/>
      <c r="AE52" s="27"/>
      <c r="AF52" s="1"/>
    </row>
    <row r="53" spans="1:32" ht="203">
      <c r="A53" s="1182"/>
      <c r="B53" s="1" t="s">
        <v>44</v>
      </c>
      <c r="C53" s="4"/>
      <c r="D53" s="147" t="s">
        <v>32</v>
      </c>
      <c r="E53" s="147"/>
      <c r="F53" s="147"/>
      <c r="G53" s="147"/>
      <c r="H53" s="5" t="s">
        <v>394</v>
      </c>
      <c r="I53" s="16" t="s">
        <v>1643</v>
      </c>
      <c r="J53" s="16" t="s">
        <v>1644</v>
      </c>
      <c r="K53" s="16"/>
      <c r="L53" s="16"/>
      <c r="M53" s="199">
        <v>42856</v>
      </c>
      <c r="N53" s="199"/>
      <c r="O53" s="199">
        <v>42887</v>
      </c>
      <c r="P53" s="78">
        <v>12</v>
      </c>
      <c r="Q53" s="26">
        <v>12</v>
      </c>
      <c r="R53" s="82">
        <v>350000</v>
      </c>
      <c r="S53" s="31" t="s">
        <v>1645</v>
      </c>
      <c r="T53" s="5" t="s">
        <v>38</v>
      </c>
      <c r="U53" s="4"/>
      <c r="V53" s="4"/>
      <c r="W53" s="5" t="s">
        <v>1646</v>
      </c>
      <c r="X53" s="5" t="s">
        <v>283</v>
      </c>
      <c r="Y53" s="5" t="s">
        <v>40</v>
      </c>
      <c r="Z53" s="5"/>
      <c r="AA53" s="26"/>
      <c r="AB53" s="28"/>
      <c r="AC53" s="16" t="s">
        <v>1647</v>
      </c>
      <c r="AD53" s="147"/>
      <c r="AE53" s="1139">
        <v>350000</v>
      </c>
    </row>
    <row r="54" spans="1:32" ht="91">
      <c r="A54" s="1119"/>
      <c r="B54" s="957" t="s">
        <v>56</v>
      </c>
      <c r="C54" s="586" t="s">
        <v>1648</v>
      </c>
      <c r="D54" s="973" t="s">
        <v>57</v>
      </c>
      <c r="E54" s="973"/>
      <c r="F54" s="973"/>
      <c r="G54" s="973"/>
      <c r="H54" s="578" t="s">
        <v>58</v>
      </c>
      <c r="I54" s="579" t="s">
        <v>47</v>
      </c>
      <c r="J54" s="1577" t="s">
        <v>1649</v>
      </c>
      <c r="K54" s="579"/>
      <c r="L54" s="580">
        <v>42908</v>
      </c>
      <c r="M54" s="580"/>
      <c r="N54" s="580"/>
      <c r="O54" s="580">
        <v>42897</v>
      </c>
      <c r="P54" s="581">
        <v>1</v>
      </c>
      <c r="Q54" s="581">
        <v>1</v>
      </c>
      <c r="R54" s="582">
        <v>600000</v>
      </c>
      <c r="S54" s="583" t="s">
        <v>1650</v>
      </c>
      <c r="T54" s="584" t="s">
        <v>38</v>
      </c>
      <c r="U54" s="584"/>
      <c r="V54" s="584"/>
      <c r="W54" s="585"/>
      <c r="X54" s="120"/>
      <c r="Y54" s="120"/>
      <c r="Z54" s="120"/>
      <c r="AA54" s="186"/>
      <c r="AB54" s="186"/>
      <c r="AC54" s="120"/>
      <c r="AD54" s="336"/>
      <c r="AE54" s="186"/>
      <c r="AF54" s="56"/>
    </row>
    <row r="55" spans="1:32" s="56" customFormat="1" ht="29">
      <c r="A55" s="1183"/>
      <c r="B55" s="1" t="s">
        <v>44</v>
      </c>
      <c r="C55" s="4"/>
      <c r="D55" s="147" t="s">
        <v>32</v>
      </c>
      <c r="E55" s="147"/>
      <c r="F55" s="147"/>
      <c r="G55" s="147"/>
      <c r="H55" s="12" t="s">
        <v>33</v>
      </c>
      <c r="I55" s="10" t="s">
        <v>47</v>
      </c>
      <c r="J55" s="16" t="s">
        <v>1651</v>
      </c>
      <c r="K55" s="16"/>
      <c r="L55" s="16"/>
      <c r="M55" s="182" t="s">
        <v>67</v>
      </c>
      <c r="N55" s="182"/>
      <c r="O55" s="182">
        <v>42900</v>
      </c>
      <c r="P55" s="12">
        <v>36</v>
      </c>
      <c r="Q55" s="28" t="s">
        <v>98</v>
      </c>
      <c r="R55" s="86">
        <v>1215.46</v>
      </c>
      <c r="S55" s="5" t="s">
        <v>176</v>
      </c>
      <c r="T55" s="12" t="s">
        <v>38</v>
      </c>
      <c r="U55" s="4"/>
      <c r="V55" s="4"/>
      <c r="W55" s="12" t="s">
        <v>1652</v>
      </c>
      <c r="X55" s="12" t="s">
        <v>1613</v>
      </c>
      <c r="Y55" s="5" t="s">
        <v>40</v>
      </c>
      <c r="Z55" s="5"/>
      <c r="AA55" s="26"/>
      <c r="AB55" s="28"/>
      <c r="AC55" s="8" t="s">
        <v>1653</v>
      </c>
      <c r="AD55" s="147"/>
      <c r="AE55" s="27"/>
      <c r="AF55" s="1"/>
    </row>
    <row r="56" spans="1:32" ht="29">
      <c r="A56" s="1184"/>
      <c r="B56" s="1" t="s">
        <v>44</v>
      </c>
      <c r="C56" s="72"/>
      <c r="D56" s="4" t="s">
        <v>32</v>
      </c>
      <c r="E56" s="4"/>
      <c r="F56" s="4"/>
      <c r="G56" s="4"/>
      <c r="H56" s="12" t="s">
        <v>33</v>
      </c>
      <c r="I56" s="10" t="s">
        <v>47</v>
      </c>
      <c r="J56" s="16" t="s">
        <v>1654</v>
      </c>
      <c r="K56" s="16"/>
      <c r="L56" s="16"/>
      <c r="M56" s="182" t="s">
        <v>67</v>
      </c>
      <c r="N56" s="182"/>
      <c r="O56" s="182">
        <v>42900</v>
      </c>
      <c r="P56" s="12">
        <v>36</v>
      </c>
      <c r="Q56" s="28" t="s">
        <v>98</v>
      </c>
      <c r="R56" s="86">
        <v>106.66</v>
      </c>
      <c r="S56" s="31" t="s">
        <v>176</v>
      </c>
      <c r="T56" s="12" t="s">
        <v>38</v>
      </c>
      <c r="U56" s="4"/>
      <c r="V56" s="4"/>
      <c r="W56" s="12" t="s">
        <v>1652</v>
      </c>
      <c r="X56" s="12" t="s">
        <v>1613</v>
      </c>
      <c r="Y56" s="5" t="s">
        <v>40</v>
      </c>
      <c r="Z56" s="5"/>
      <c r="AA56" s="26"/>
      <c r="AB56" s="28"/>
      <c r="AC56" s="8" t="s">
        <v>1653</v>
      </c>
      <c r="AD56" s="147"/>
      <c r="AE56" s="27"/>
      <c r="AF56" s="1"/>
    </row>
    <row r="57" spans="1:32" ht="65">
      <c r="A57" s="1119"/>
      <c r="B57" s="957" t="s">
        <v>56</v>
      </c>
      <c r="C57" s="586" t="s">
        <v>1655</v>
      </c>
      <c r="D57" s="973" t="s">
        <v>57</v>
      </c>
      <c r="E57" s="973"/>
      <c r="F57" s="973"/>
      <c r="G57" s="973"/>
      <c r="H57" s="578" t="s">
        <v>58</v>
      </c>
      <c r="I57" s="579" t="s">
        <v>47</v>
      </c>
      <c r="J57" s="1577" t="s">
        <v>1656</v>
      </c>
      <c r="K57" s="579"/>
      <c r="L57" s="580">
        <v>42878</v>
      </c>
      <c r="M57" s="580"/>
      <c r="N57" s="580"/>
      <c r="O57" s="580">
        <v>42906</v>
      </c>
      <c r="P57" s="581">
        <v>3</v>
      </c>
      <c r="Q57" s="1017">
        <v>3</v>
      </c>
      <c r="R57" s="582">
        <v>150000</v>
      </c>
      <c r="S57" s="1042" t="s">
        <v>1657</v>
      </c>
      <c r="T57" s="584" t="s">
        <v>38</v>
      </c>
      <c r="U57" s="584"/>
      <c r="V57" s="584"/>
      <c r="W57" s="585" t="s">
        <v>1627</v>
      </c>
      <c r="X57" s="120"/>
      <c r="Y57" s="120"/>
      <c r="Z57" s="120"/>
      <c r="AA57" s="186"/>
      <c r="AB57" s="186"/>
      <c r="AC57" s="120"/>
      <c r="AE57" s="186"/>
      <c r="AF57" s="1"/>
    </row>
    <row r="58" spans="1:32" ht="43.5">
      <c r="A58" s="1185"/>
      <c r="B58" s="1" t="s">
        <v>44</v>
      </c>
      <c r="C58" s="4"/>
      <c r="D58" s="147" t="s">
        <v>32</v>
      </c>
      <c r="E58" s="147"/>
      <c r="F58" s="147"/>
      <c r="G58" s="147"/>
      <c r="H58" s="5" t="s">
        <v>480</v>
      </c>
      <c r="I58" s="8" t="s">
        <v>47</v>
      </c>
      <c r="J58" s="16" t="s">
        <v>1658</v>
      </c>
      <c r="K58" s="16"/>
      <c r="L58" s="16"/>
      <c r="M58" s="199">
        <f>EDATE(O58,-12)</f>
        <v>42552</v>
      </c>
      <c r="N58" s="199"/>
      <c r="O58" s="182">
        <v>42917</v>
      </c>
      <c r="P58" s="12">
        <v>72</v>
      </c>
      <c r="Q58" s="182" t="s">
        <v>1659</v>
      </c>
      <c r="R58" s="18">
        <v>11400</v>
      </c>
      <c r="S58" s="12" t="s">
        <v>1660</v>
      </c>
      <c r="T58" s="11" t="s">
        <v>38</v>
      </c>
      <c r="U58" s="4"/>
      <c r="V58" s="4"/>
      <c r="W58" s="5" t="s">
        <v>483</v>
      </c>
      <c r="X58" s="12"/>
      <c r="Y58" s="5" t="s">
        <v>40</v>
      </c>
      <c r="Z58" s="5"/>
      <c r="AA58" s="26"/>
      <c r="AB58" s="72"/>
      <c r="AC58" s="8" t="s">
        <v>1661</v>
      </c>
      <c r="AD58" s="147"/>
      <c r="AE58" s="227">
        <v>1900</v>
      </c>
      <c r="AF58" s="56"/>
    </row>
    <row r="59" spans="1:32" ht="29">
      <c r="A59" s="1119"/>
      <c r="B59" s="1" t="s">
        <v>44</v>
      </c>
      <c r="C59" s="4"/>
      <c r="D59" s="118" t="s">
        <v>32</v>
      </c>
      <c r="E59" s="118"/>
      <c r="F59" s="118"/>
      <c r="G59" s="118"/>
      <c r="H59" s="5" t="s">
        <v>33</v>
      </c>
      <c r="I59" s="12" t="s">
        <v>34</v>
      </c>
      <c r="J59" s="16" t="s">
        <v>1662</v>
      </c>
      <c r="K59" s="16"/>
      <c r="L59" s="16"/>
      <c r="M59" s="182">
        <v>43018</v>
      </c>
      <c r="N59" s="182"/>
      <c r="O59" s="182">
        <v>42919</v>
      </c>
      <c r="P59" s="12">
        <v>60</v>
      </c>
      <c r="Q59" s="25" t="s">
        <v>1663</v>
      </c>
      <c r="R59" s="18">
        <v>79073</v>
      </c>
      <c r="S59" s="31" t="s">
        <v>176</v>
      </c>
      <c r="T59" s="11" t="s">
        <v>38</v>
      </c>
      <c r="U59" s="4"/>
      <c r="V59" s="4"/>
      <c r="W59" s="12" t="s">
        <v>1664</v>
      </c>
      <c r="X59" s="5" t="s">
        <v>1598</v>
      </c>
      <c r="Y59" s="5" t="s">
        <v>40</v>
      </c>
      <c r="Z59" s="5"/>
      <c r="AA59" s="26"/>
      <c r="AB59" s="25"/>
      <c r="AC59" s="8" t="s">
        <v>1665</v>
      </c>
      <c r="AD59" s="147"/>
      <c r="AE59" s="228">
        <v>15558</v>
      </c>
      <c r="AF59" s="56"/>
    </row>
    <row r="60" spans="1:32" s="56" customFormat="1" ht="29">
      <c r="A60" s="2754"/>
      <c r="B60" s="1" t="s">
        <v>44</v>
      </c>
      <c r="C60" s="4"/>
      <c r="D60" s="147" t="s">
        <v>32</v>
      </c>
      <c r="E60" s="147"/>
      <c r="F60" s="147"/>
      <c r="G60" s="147"/>
      <c r="H60" s="5" t="s">
        <v>33</v>
      </c>
      <c r="I60" s="8" t="s">
        <v>34</v>
      </c>
      <c r="J60" s="16" t="s">
        <v>1666</v>
      </c>
      <c r="K60" s="8"/>
      <c r="L60" s="8"/>
      <c r="M60" s="14">
        <v>42767</v>
      </c>
      <c r="N60" s="14"/>
      <c r="O60" s="14">
        <v>42920</v>
      </c>
      <c r="P60" s="12">
        <v>24</v>
      </c>
      <c r="Q60" s="26">
        <v>24</v>
      </c>
      <c r="R60" s="82">
        <v>13056</v>
      </c>
      <c r="S60" s="31" t="s">
        <v>1189</v>
      </c>
      <c r="T60" s="14" t="s">
        <v>38</v>
      </c>
      <c r="U60" s="4"/>
      <c r="V60" s="4"/>
      <c r="W60" s="5" t="s">
        <v>1667</v>
      </c>
      <c r="X60" s="4"/>
      <c r="Y60" s="5" t="s">
        <v>40</v>
      </c>
      <c r="Z60" s="5"/>
      <c r="AA60" s="26"/>
      <c r="AB60" s="26"/>
      <c r="AC60" s="8"/>
      <c r="AD60" s="147"/>
      <c r="AE60" s="26"/>
    </row>
    <row r="61" spans="1:32" s="1" customFormat="1" ht="29">
      <c r="A61" s="2756"/>
      <c r="B61" s="1" t="s">
        <v>44</v>
      </c>
      <c r="C61" s="4"/>
      <c r="D61" s="147" t="s">
        <v>32</v>
      </c>
      <c r="E61" s="147"/>
      <c r="F61" s="147"/>
      <c r="G61" s="147"/>
      <c r="H61" s="5" t="s">
        <v>33</v>
      </c>
      <c r="I61" s="8" t="s">
        <v>34</v>
      </c>
      <c r="J61" s="16" t="s">
        <v>1668</v>
      </c>
      <c r="K61" s="16"/>
      <c r="L61" s="16"/>
      <c r="M61" s="182">
        <v>42767</v>
      </c>
      <c r="N61" s="182"/>
      <c r="O61" s="182">
        <v>42929</v>
      </c>
      <c r="P61" s="12">
        <v>12</v>
      </c>
      <c r="Q61" s="28" t="s">
        <v>418</v>
      </c>
      <c r="R61" s="93">
        <v>1800</v>
      </c>
      <c r="S61" s="31" t="s">
        <v>1660</v>
      </c>
      <c r="T61" s="12" t="s">
        <v>38</v>
      </c>
      <c r="U61" s="4"/>
      <c r="V61" s="4"/>
      <c r="W61" s="5" t="s">
        <v>878</v>
      </c>
      <c r="X61" s="16" t="s">
        <v>45</v>
      </c>
      <c r="Y61" s="5" t="s">
        <v>40</v>
      </c>
      <c r="Z61" s="5"/>
      <c r="AA61" s="26"/>
      <c r="AB61" s="28"/>
      <c r="AC61" s="8" t="s">
        <v>1669</v>
      </c>
      <c r="AD61" s="147"/>
      <c r="AE61" s="228">
        <v>1800</v>
      </c>
      <c r="AF61"/>
    </row>
    <row r="62" spans="1:32" ht="101.5">
      <c r="A62" s="498"/>
      <c r="B62" s="1" t="s">
        <v>44</v>
      </c>
      <c r="C62" s="4"/>
      <c r="D62" s="147" t="s">
        <v>32</v>
      </c>
      <c r="E62" s="147"/>
      <c r="F62" s="147"/>
      <c r="G62" s="147"/>
      <c r="H62" s="12" t="s">
        <v>1670</v>
      </c>
      <c r="I62" s="10" t="s">
        <v>1343</v>
      </c>
      <c r="J62" s="16" t="s">
        <v>1671</v>
      </c>
      <c r="K62" s="16"/>
      <c r="L62" s="16"/>
      <c r="M62" s="182">
        <v>42898</v>
      </c>
      <c r="N62" s="182"/>
      <c r="O62" s="182">
        <v>42933</v>
      </c>
      <c r="P62" s="12">
        <v>6</v>
      </c>
      <c r="Q62" s="28" t="s">
        <v>589</v>
      </c>
      <c r="R62" s="86"/>
      <c r="S62" s="31" t="s">
        <v>1672</v>
      </c>
      <c r="T62" s="12" t="s">
        <v>38</v>
      </c>
      <c r="U62" s="4"/>
      <c r="V62" s="4"/>
      <c r="W62" s="8" t="s">
        <v>1673</v>
      </c>
      <c r="X62" s="12" t="s">
        <v>1674</v>
      </c>
      <c r="Y62" s="5" t="s">
        <v>40</v>
      </c>
      <c r="Z62" s="5"/>
      <c r="AA62" s="5"/>
      <c r="AB62" s="28"/>
      <c r="AC62" s="8" t="s">
        <v>1675</v>
      </c>
      <c r="AD62" s="147"/>
      <c r="AE62" s="1149">
        <v>601.70000000000005</v>
      </c>
    </row>
    <row r="63" spans="1:32" s="1" customFormat="1" ht="66" customHeight="1">
      <c r="A63" s="1119"/>
      <c r="B63" s="1" t="s">
        <v>44</v>
      </c>
      <c r="C63" s="4"/>
      <c r="D63" s="147" t="s">
        <v>32</v>
      </c>
      <c r="E63" s="147"/>
      <c r="F63" s="147"/>
      <c r="G63" s="147"/>
      <c r="H63" s="12" t="s">
        <v>1670</v>
      </c>
      <c r="I63" s="10" t="s">
        <v>1343</v>
      </c>
      <c r="J63" s="16" t="s">
        <v>1676</v>
      </c>
      <c r="K63" s="16"/>
      <c r="L63" s="16"/>
      <c r="M63" s="182">
        <v>42898</v>
      </c>
      <c r="N63" s="182"/>
      <c r="O63" s="2777">
        <v>42933</v>
      </c>
      <c r="P63" s="2763">
        <v>6</v>
      </c>
      <c r="Q63" s="2790" t="s">
        <v>589</v>
      </c>
      <c r="R63" s="2757"/>
      <c r="S63" s="2791" t="s">
        <v>1672</v>
      </c>
      <c r="T63" s="12" t="s">
        <v>38</v>
      </c>
      <c r="U63" s="4"/>
      <c r="V63" s="4"/>
      <c r="W63" s="8" t="s">
        <v>1673</v>
      </c>
      <c r="X63" s="12" t="s">
        <v>1674</v>
      </c>
      <c r="Y63" s="5" t="s">
        <v>40</v>
      </c>
      <c r="Z63" s="5"/>
      <c r="AA63" s="5"/>
      <c r="AB63" s="28"/>
      <c r="AC63" s="8" t="s">
        <v>1675</v>
      </c>
      <c r="AD63" s="2792"/>
      <c r="AE63" s="1137">
        <v>15600</v>
      </c>
      <c r="AF63" s="56"/>
    </row>
    <row r="64" spans="1:32" s="56" customFormat="1" ht="101.5">
      <c r="A64" s="498"/>
      <c r="B64" s="1" t="s">
        <v>44</v>
      </c>
      <c r="C64" s="4"/>
      <c r="D64" s="147" t="s">
        <v>32</v>
      </c>
      <c r="E64" s="147"/>
      <c r="F64" s="147"/>
      <c r="G64" s="147"/>
      <c r="H64" s="12" t="s">
        <v>1670</v>
      </c>
      <c r="I64" s="10" t="s">
        <v>1343</v>
      </c>
      <c r="J64" s="16" t="s">
        <v>1677</v>
      </c>
      <c r="K64" s="16"/>
      <c r="L64" s="16"/>
      <c r="M64" s="182">
        <v>42898</v>
      </c>
      <c r="N64" s="182"/>
      <c r="O64" s="2777">
        <v>42933</v>
      </c>
      <c r="P64" s="2763">
        <v>6</v>
      </c>
      <c r="Q64" s="2793" t="s">
        <v>589</v>
      </c>
      <c r="R64" s="2757"/>
      <c r="S64" s="2793" t="s">
        <v>1672</v>
      </c>
      <c r="T64" s="12" t="s">
        <v>38</v>
      </c>
      <c r="U64" s="4"/>
      <c r="V64" s="4"/>
      <c r="W64" s="8" t="s">
        <v>1673</v>
      </c>
      <c r="X64" s="12" t="s">
        <v>1674</v>
      </c>
      <c r="Y64" s="5" t="s">
        <v>40</v>
      </c>
      <c r="Z64" s="5"/>
      <c r="AA64" s="5"/>
      <c r="AB64" s="28"/>
      <c r="AC64" s="8" t="s">
        <v>1675</v>
      </c>
      <c r="AD64" s="2792"/>
      <c r="AE64" s="1137">
        <v>3900</v>
      </c>
      <c r="AF64"/>
    </row>
    <row r="65" spans="1:32" s="56" customFormat="1" ht="91">
      <c r="A65" s="1119"/>
      <c r="B65" s="957" t="s">
        <v>56</v>
      </c>
      <c r="C65" s="586" t="s">
        <v>1678</v>
      </c>
      <c r="D65" s="973" t="s">
        <v>57</v>
      </c>
      <c r="E65" s="973"/>
      <c r="F65" s="973"/>
      <c r="G65" s="973"/>
      <c r="H65" s="578" t="s">
        <v>58</v>
      </c>
      <c r="I65" s="579" t="s">
        <v>47</v>
      </c>
      <c r="J65" s="1577" t="s">
        <v>1679</v>
      </c>
      <c r="K65" s="579"/>
      <c r="L65" s="580">
        <v>42908</v>
      </c>
      <c r="M65" s="580"/>
      <c r="N65" s="580"/>
      <c r="O65" s="580">
        <v>42933</v>
      </c>
      <c r="P65" s="581">
        <v>1</v>
      </c>
      <c r="Q65" s="581">
        <v>1</v>
      </c>
      <c r="R65" s="582">
        <v>20000</v>
      </c>
      <c r="S65" s="583" t="s">
        <v>1650</v>
      </c>
      <c r="T65" s="584" t="s">
        <v>38</v>
      </c>
      <c r="U65" s="584"/>
      <c r="V65" s="584"/>
      <c r="W65" s="585" t="s">
        <v>1627</v>
      </c>
      <c r="X65" s="120"/>
      <c r="Y65" s="120"/>
      <c r="Z65" s="120"/>
      <c r="AA65" s="120"/>
      <c r="AB65" s="186"/>
      <c r="AC65" s="120"/>
      <c r="AD65" s="336"/>
      <c r="AE65" s="186"/>
    </row>
    <row r="66" spans="1:32" s="1" customFormat="1" ht="39">
      <c r="A66" s="1119"/>
      <c r="B66" s="957" t="s">
        <v>56</v>
      </c>
      <c r="C66" s="586" t="s">
        <v>1680</v>
      </c>
      <c r="D66" s="973" t="s">
        <v>57</v>
      </c>
      <c r="E66" s="973"/>
      <c r="F66" s="973"/>
      <c r="G66" s="973"/>
      <c r="H66" s="578" t="s">
        <v>58</v>
      </c>
      <c r="I66" s="579" t="s">
        <v>47</v>
      </c>
      <c r="J66" s="1577" t="s">
        <v>1681</v>
      </c>
      <c r="K66" s="579"/>
      <c r="L66" s="580">
        <v>42906</v>
      </c>
      <c r="M66" s="580"/>
      <c r="N66" s="580"/>
      <c r="O66" s="580">
        <v>42935</v>
      </c>
      <c r="P66" s="581">
        <v>4</v>
      </c>
      <c r="Q66" s="581">
        <v>4</v>
      </c>
      <c r="R66" s="582">
        <v>360000</v>
      </c>
      <c r="S66" s="583" t="s">
        <v>91</v>
      </c>
      <c r="T66" s="584" t="s">
        <v>38</v>
      </c>
      <c r="U66" s="584"/>
      <c r="V66" s="584"/>
      <c r="W66" s="585" t="s">
        <v>1682</v>
      </c>
      <c r="X66" s="120"/>
      <c r="Y66" s="120"/>
      <c r="Z66" s="120"/>
      <c r="AA66" s="186"/>
      <c r="AB66" s="186"/>
      <c r="AC66" s="120"/>
      <c r="AD66" s="336"/>
      <c r="AE66" s="186"/>
      <c r="AF66" s="181"/>
    </row>
    <row r="67" spans="1:32" ht="29">
      <c r="A67" s="1119"/>
      <c r="B67" s="1" t="s">
        <v>44</v>
      </c>
      <c r="C67" s="4"/>
      <c r="D67" s="4" t="s">
        <v>32</v>
      </c>
      <c r="E67" s="4"/>
      <c r="F67" s="4"/>
      <c r="G67" s="4"/>
      <c r="H67" s="12" t="s">
        <v>1670</v>
      </c>
      <c r="I67" s="10" t="s">
        <v>1343</v>
      </c>
      <c r="J67" s="16" t="s">
        <v>1683</v>
      </c>
      <c r="K67" s="16"/>
      <c r="L67" s="16"/>
      <c r="M67" s="182">
        <v>42900</v>
      </c>
      <c r="N67" s="182"/>
      <c r="O67" s="2777">
        <v>42937</v>
      </c>
      <c r="P67" s="2763">
        <v>6</v>
      </c>
      <c r="Q67" s="2793" t="s">
        <v>589</v>
      </c>
      <c r="R67" s="2794">
        <v>28000</v>
      </c>
      <c r="S67" s="2793" t="s">
        <v>1672</v>
      </c>
      <c r="T67" s="12" t="s">
        <v>38</v>
      </c>
      <c r="U67" s="4"/>
      <c r="V67" s="4"/>
      <c r="W67" s="8" t="s">
        <v>1673</v>
      </c>
      <c r="X67" s="12" t="s">
        <v>1674</v>
      </c>
      <c r="Y67" s="5" t="s">
        <v>40</v>
      </c>
      <c r="Z67" s="5"/>
      <c r="AA67" s="5"/>
      <c r="AB67" s="28"/>
      <c r="AC67" s="8"/>
      <c r="AD67" s="2792"/>
      <c r="AE67" s="1137">
        <v>3800</v>
      </c>
      <c r="AF67" s="56"/>
    </row>
    <row r="68" spans="1:32" ht="39">
      <c r="A68" s="1119"/>
      <c r="B68" s="957" t="s">
        <v>56</v>
      </c>
      <c r="C68" s="577" t="s">
        <v>71</v>
      </c>
      <c r="D68" s="578" t="s">
        <v>57</v>
      </c>
      <c r="E68" s="578"/>
      <c r="F68" s="578"/>
      <c r="G68" s="578"/>
      <c r="H68" s="578" t="s">
        <v>58</v>
      </c>
      <c r="I68" s="579" t="s">
        <v>47</v>
      </c>
      <c r="J68" s="1577" t="s">
        <v>1684</v>
      </c>
      <c r="K68" s="579"/>
      <c r="L68" s="580">
        <v>42929</v>
      </c>
      <c r="M68" s="580"/>
      <c r="N68" s="580"/>
      <c r="O68" s="580">
        <v>42940</v>
      </c>
      <c r="P68" s="581">
        <v>2</v>
      </c>
      <c r="Q68" s="581">
        <v>2</v>
      </c>
      <c r="R68" s="582">
        <v>25018.77</v>
      </c>
      <c r="S68" s="583" t="s">
        <v>1615</v>
      </c>
      <c r="T68" s="584" t="s">
        <v>38</v>
      </c>
      <c r="U68" s="584"/>
      <c r="V68" s="584"/>
      <c r="W68" s="577" t="s">
        <v>1685</v>
      </c>
      <c r="X68" s="120"/>
      <c r="Y68" s="120"/>
      <c r="Z68" s="120"/>
      <c r="AA68" s="120"/>
      <c r="AB68" s="186"/>
      <c r="AC68" s="120"/>
      <c r="AD68" s="336"/>
      <c r="AE68" s="186"/>
    </row>
    <row r="69" spans="1:32" s="56" customFormat="1" ht="92.25" customHeight="1">
      <c r="A69" s="1185"/>
      <c r="B69" s="1" t="s">
        <v>44</v>
      </c>
      <c r="C69" s="4"/>
      <c r="D69" s="147" t="s">
        <v>32</v>
      </c>
      <c r="E69" s="147"/>
      <c r="F69" s="147"/>
      <c r="G69" s="147"/>
      <c r="H69" s="5" t="s">
        <v>1686</v>
      </c>
      <c r="I69" s="16" t="s">
        <v>34</v>
      </c>
      <c r="J69" s="16" t="s">
        <v>1687</v>
      </c>
      <c r="K69" s="16"/>
      <c r="L69" s="16"/>
      <c r="M69" s="199">
        <v>42583</v>
      </c>
      <c r="N69" s="199"/>
      <c r="O69" s="199">
        <v>42948</v>
      </c>
      <c r="P69" s="5" t="s">
        <v>45</v>
      </c>
      <c r="Q69" s="5" t="s">
        <v>45</v>
      </c>
      <c r="R69" s="86" t="s">
        <v>1688</v>
      </c>
      <c r="S69" s="5" t="s">
        <v>1660</v>
      </c>
      <c r="T69" s="26"/>
      <c r="U69" s="4"/>
      <c r="V69" s="4"/>
      <c r="W69" s="5" t="s">
        <v>1590</v>
      </c>
      <c r="X69" s="5"/>
      <c r="Y69" s="5" t="s">
        <v>40</v>
      </c>
      <c r="Z69" s="5"/>
      <c r="AA69" s="5"/>
      <c r="AB69" s="28"/>
      <c r="AC69" s="16" t="s">
        <v>1689</v>
      </c>
      <c r="AD69" s="4"/>
      <c r="AE69" s="45"/>
      <c r="AF69"/>
    </row>
    <row r="70" spans="1:32" s="195" customFormat="1" ht="58">
      <c r="A70" s="2754"/>
      <c r="B70" s="1" t="s">
        <v>44</v>
      </c>
      <c r="C70" s="4"/>
      <c r="D70" s="147" t="s">
        <v>32</v>
      </c>
      <c r="E70" s="147"/>
      <c r="F70" s="147"/>
      <c r="G70" s="147"/>
      <c r="H70" s="5" t="s">
        <v>33</v>
      </c>
      <c r="I70" s="16" t="s">
        <v>47</v>
      </c>
      <c r="J70" s="16" t="s">
        <v>1690</v>
      </c>
      <c r="K70" s="16"/>
      <c r="L70" s="16"/>
      <c r="M70" s="199">
        <v>42614</v>
      </c>
      <c r="N70" s="199"/>
      <c r="O70" s="182">
        <v>42948</v>
      </c>
      <c r="P70" s="5">
        <v>6</v>
      </c>
      <c r="Q70" s="5">
        <v>6</v>
      </c>
      <c r="R70" s="86">
        <v>15000</v>
      </c>
      <c r="S70" s="5" t="s">
        <v>1691</v>
      </c>
      <c r="T70" s="5" t="s">
        <v>38</v>
      </c>
      <c r="U70" s="4"/>
      <c r="V70" s="4"/>
      <c r="W70" s="5" t="s">
        <v>1692</v>
      </c>
      <c r="X70" s="5" t="s">
        <v>1693</v>
      </c>
      <c r="Y70" s="5" t="s">
        <v>40</v>
      </c>
      <c r="Z70" s="5"/>
      <c r="AA70" s="5"/>
      <c r="AB70" s="28"/>
      <c r="AC70" s="16" t="s">
        <v>1694</v>
      </c>
      <c r="AD70" s="147"/>
      <c r="AE70" s="45"/>
      <c r="AF70" s="56"/>
    </row>
    <row r="71" spans="1:32" s="56" customFormat="1" ht="29">
      <c r="A71" s="1185"/>
      <c r="B71" s="1" t="s">
        <v>44</v>
      </c>
      <c r="C71" s="4"/>
      <c r="D71" s="147" t="s">
        <v>32</v>
      </c>
      <c r="E71" s="147"/>
      <c r="F71" s="147"/>
      <c r="G71" s="147"/>
      <c r="H71" s="12" t="s">
        <v>33</v>
      </c>
      <c r="I71" s="10" t="s">
        <v>47</v>
      </c>
      <c r="J71" s="16" t="s">
        <v>1695</v>
      </c>
      <c r="K71" s="16"/>
      <c r="L71" s="16"/>
      <c r="M71" s="182">
        <v>42675</v>
      </c>
      <c r="N71" s="182"/>
      <c r="O71" s="182">
        <v>42948</v>
      </c>
      <c r="P71" s="12">
        <v>60</v>
      </c>
      <c r="Q71" s="28">
        <v>60</v>
      </c>
      <c r="R71" s="86">
        <v>1000000</v>
      </c>
      <c r="S71" s="31" t="s">
        <v>1189</v>
      </c>
      <c r="T71" s="12" t="s">
        <v>38</v>
      </c>
      <c r="U71" s="4"/>
      <c r="V71" s="4"/>
      <c r="W71" s="12" t="s">
        <v>1640</v>
      </c>
      <c r="X71" s="5" t="s">
        <v>54</v>
      </c>
      <c r="Y71" s="5" t="s">
        <v>40</v>
      </c>
      <c r="Z71" s="5"/>
      <c r="AA71" s="5"/>
      <c r="AB71" s="28"/>
      <c r="AC71" s="8" t="s">
        <v>1696</v>
      </c>
      <c r="AD71" s="147"/>
      <c r="AE71" s="27"/>
      <c r="AF71"/>
    </row>
    <row r="72" spans="1:32" s="1" customFormat="1" ht="60.75" customHeight="1">
      <c r="A72" s="498"/>
      <c r="B72" s="1" t="s">
        <v>44</v>
      </c>
      <c r="C72" s="4"/>
      <c r="D72" s="147" t="s">
        <v>32</v>
      </c>
      <c r="E72" s="147"/>
      <c r="F72" s="147"/>
      <c r="G72" s="147"/>
      <c r="H72" s="5" t="s">
        <v>1697</v>
      </c>
      <c r="I72" s="8" t="s">
        <v>34</v>
      </c>
      <c r="J72" s="16" t="s">
        <v>1698</v>
      </c>
      <c r="K72" s="16"/>
      <c r="L72" s="16"/>
      <c r="M72" s="182">
        <v>42826</v>
      </c>
      <c r="N72" s="182"/>
      <c r="O72" s="182">
        <v>42948</v>
      </c>
      <c r="P72" s="12">
        <v>12</v>
      </c>
      <c r="Q72" s="28" t="s">
        <v>50</v>
      </c>
      <c r="R72" s="93">
        <v>446.4</v>
      </c>
      <c r="S72" s="31" t="s">
        <v>1639</v>
      </c>
      <c r="T72" s="11" t="s">
        <v>38</v>
      </c>
      <c r="U72" s="4"/>
      <c r="V72" s="4"/>
      <c r="W72" s="5" t="s">
        <v>1699</v>
      </c>
      <c r="X72" s="12" t="s">
        <v>1641</v>
      </c>
      <c r="Y72" s="5" t="s">
        <v>40</v>
      </c>
      <c r="Z72" s="5"/>
      <c r="AA72" s="5"/>
      <c r="AB72" s="28"/>
      <c r="AC72" s="8" t="s">
        <v>1700</v>
      </c>
      <c r="AD72" s="147"/>
      <c r="AE72" s="27"/>
      <c r="AF72"/>
    </row>
    <row r="73" spans="1:32" s="1" customFormat="1" ht="58">
      <c r="A73" s="498"/>
      <c r="B73" s="1" t="s">
        <v>44</v>
      </c>
      <c r="C73" s="4"/>
      <c r="D73" s="147" t="s">
        <v>32</v>
      </c>
      <c r="E73" s="147"/>
      <c r="F73" s="147"/>
      <c r="G73" s="147"/>
      <c r="H73" s="12" t="s">
        <v>33</v>
      </c>
      <c r="I73" s="10" t="s">
        <v>34</v>
      </c>
      <c r="J73" s="16" t="s">
        <v>1701</v>
      </c>
      <c r="K73" s="16"/>
      <c r="L73" s="16"/>
      <c r="M73" s="182">
        <v>42917</v>
      </c>
      <c r="N73" s="182"/>
      <c r="O73" s="182">
        <v>42948</v>
      </c>
      <c r="P73" s="12">
        <v>96</v>
      </c>
      <c r="Q73" s="13" t="s">
        <v>1702</v>
      </c>
      <c r="R73" s="86" t="s">
        <v>45</v>
      </c>
      <c r="S73" s="31" t="s">
        <v>34</v>
      </c>
      <c r="T73" s="12" t="s">
        <v>38</v>
      </c>
      <c r="U73" s="4"/>
      <c r="V73" s="4"/>
      <c r="W73" s="5" t="s">
        <v>1703</v>
      </c>
      <c r="X73" s="12" t="s">
        <v>86</v>
      </c>
      <c r="Y73" s="5" t="s">
        <v>40</v>
      </c>
      <c r="Z73" s="5"/>
      <c r="AA73" s="5"/>
      <c r="AB73" s="28"/>
      <c r="AC73" s="8" t="s">
        <v>1704</v>
      </c>
      <c r="AD73" s="147"/>
      <c r="AE73" s="27"/>
      <c r="AF73"/>
    </row>
    <row r="74" spans="1:32" ht="101.5">
      <c r="A74" s="1184"/>
      <c r="B74" s="1" t="s">
        <v>44</v>
      </c>
      <c r="C74" s="2757"/>
      <c r="D74" s="147" t="s">
        <v>32</v>
      </c>
      <c r="E74" s="147"/>
      <c r="F74" s="147"/>
      <c r="G74" s="147"/>
      <c r="H74" s="5" t="s">
        <v>33</v>
      </c>
      <c r="I74" s="8" t="s">
        <v>47</v>
      </c>
      <c r="J74" s="16" t="s">
        <v>1705</v>
      </c>
      <c r="K74" s="8"/>
      <c r="L74" s="8"/>
      <c r="M74" s="14" t="s">
        <v>67</v>
      </c>
      <c r="N74" s="14"/>
      <c r="O74" s="14">
        <v>42948</v>
      </c>
      <c r="P74" s="12">
        <v>12</v>
      </c>
      <c r="Q74" s="26" t="s">
        <v>50</v>
      </c>
      <c r="R74" s="82">
        <v>18648</v>
      </c>
      <c r="S74" s="31" t="s">
        <v>176</v>
      </c>
      <c r="T74" s="14" t="s">
        <v>38</v>
      </c>
      <c r="U74" s="2757"/>
      <c r="V74" s="2757"/>
      <c r="W74" s="5" t="s">
        <v>1640</v>
      </c>
      <c r="X74" s="5"/>
      <c r="Y74" s="5" t="s">
        <v>40</v>
      </c>
      <c r="Z74" s="5"/>
      <c r="AA74" s="5"/>
      <c r="AB74" s="28"/>
      <c r="AC74" s="8" t="s">
        <v>1706</v>
      </c>
      <c r="AD74" s="147"/>
      <c r="AE74" s="26"/>
    </row>
    <row r="75" spans="1:32" s="1" customFormat="1" ht="116">
      <c r="A75" s="1184"/>
      <c r="B75" s="1" t="s">
        <v>44</v>
      </c>
      <c r="C75" s="4"/>
      <c r="D75" s="147" t="s">
        <v>32</v>
      </c>
      <c r="E75" s="147"/>
      <c r="F75" s="147"/>
      <c r="G75" s="147"/>
      <c r="H75" s="5" t="s">
        <v>33</v>
      </c>
      <c r="I75" s="8" t="s">
        <v>47</v>
      </c>
      <c r="J75" s="16" t="s">
        <v>1707</v>
      </c>
      <c r="K75" s="16"/>
      <c r="L75" s="16"/>
      <c r="M75" s="182" t="s">
        <v>67</v>
      </c>
      <c r="N75" s="182"/>
      <c r="O75" s="14">
        <v>42948</v>
      </c>
      <c r="P75" s="12">
        <v>12</v>
      </c>
      <c r="Q75" s="28" t="s">
        <v>50</v>
      </c>
      <c r="R75" s="93">
        <v>24105.5</v>
      </c>
      <c r="S75" s="31" t="s">
        <v>176</v>
      </c>
      <c r="T75" s="12" t="s">
        <v>38</v>
      </c>
      <c r="U75" s="4"/>
      <c r="V75" s="4"/>
      <c r="W75" s="5" t="s">
        <v>1640</v>
      </c>
      <c r="X75" s="12"/>
      <c r="Y75" s="5" t="s">
        <v>40</v>
      </c>
      <c r="Z75" s="5"/>
      <c r="AA75" s="5"/>
      <c r="AB75" s="28"/>
      <c r="AC75" s="8" t="s">
        <v>1708</v>
      </c>
      <c r="AD75" s="147"/>
      <c r="AE75" s="27"/>
      <c r="AF75" s="56"/>
    </row>
    <row r="76" spans="1:32" s="56" customFormat="1" ht="39">
      <c r="A76" s="1119"/>
      <c r="B76" s="957" t="s">
        <v>56</v>
      </c>
      <c r="C76" s="586" t="s">
        <v>1709</v>
      </c>
      <c r="D76" s="973" t="s">
        <v>57</v>
      </c>
      <c r="E76" s="973"/>
      <c r="F76" s="973"/>
      <c r="G76" s="973"/>
      <c r="H76" s="578" t="s">
        <v>58</v>
      </c>
      <c r="I76" s="579" t="s">
        <v>47</v>
      </c>
      <c r="J76" s="1577" t="s">
        <v>1710</v>
      </c>
      <c r="K76" s="579"/>
      <c r="L76" s="580">
        <v>42856</v>
      </c>
      <c r="M76" s="580"/>
      <c r="N76" s="580"/>
      <c r="O76" s="580">
        <v>42948</v>
      </c>
      <c r="P76" s="581">
        <v>12</v>
      </c>
      <c r="Q76" s="1017">
        <v>12</v>
      </c>
      <c r="R76" s="582">
        <v>50000</v>
      </c>
      <c r="S76" s="1049" t="s">
        <v>1626</v>
      </c>
      <c r="T76" s="584" t="s">
        <v>38</v>
      </c>
      <c r="U76" s="584"/>
      <c r="V76" s="584"/>
      <c r="W76" s="585" t="s">
        <v>1711</v>
      </c>
      <c r="X76" s="120"/>
      <c r="Y76" s="120"/>
      <c r="Z76" s="120"/>
      <c r="AA76" s="120"/>
      <c r="AB76" s="186"/>
      <c r="AC76" s="120"/>
      <c r="AD76" s="336"/>
      <c r="AE76" s="186"/>
      <c r="AF76" s="1"/>
    </row>
    <row r="77" spans="1:32" s="1" customFormat="1" ht="39">
      <c r="A77" s="1119"/>
      <c r="B77" s="957" t="s">
        <v>56</v>
      </c>
      <c r="C77" s="577" t="s">
        <v>71</v>
      </c>
      <c r="D77" s="973" t="s">
        <v>57</v>
      </c>
      <c r="E77" s="973"/>
      <c r="F77" s="973"/>
      <c r="G77" s="973"/>
      <c r="H77" s="578" t="s">
        <v>58</v>
      </c>
      <c r="I77" s="579" t="s">
        <v>47</v>
      </c>
      <c r="J77" s="1577" t="s">
        <v>1712</v>
      </c>
      <c r="K77" s="579"/>
      <c r="L77" s="580">
        <v>42944</v>
      </c>
      <c r="M77" s="580"/>
      <c r="N77" s="580"/>
      <c r="O77" s="580">
        <v>42948</v>
      </c>
      <c r="P77" s="581">
        <v>1</v>
      </c>
      <c r="Q77" s="1017">
        <v>1</v>
      </c>
      <c r="R77" s="582">
        <v>2500</v>
      </c>
      <c r="S77" s="1042" t="s">
        <v>1615</v>
      </c>
      <c r="T77" s="584" t="s">
        <v>38</v>
      </c>
      <c r="U77" s="584"/>
      <c r="V77" s="584"/>
      <c r="W77" s="585" t="s">
        <v>1713</v>
      </c>
      <c r="X77" s="120"/>
      <c r="Y77" s="120"/>
      <c r="Z77" s="120"/>
      <c r="AA77" s="120"/>
      <c r="AB77" s="186"/>
      <c r="AC77" s="120"/>
      <c r="AD77" s="336"/>
      <c r="AE77" s="186"/>
      <c r="AF77"/>
    </row>
    <row r="78" spans="1:32" s="1" customFormat="1" ht="91">
      <c r="A78" s="1119"/>
      <c r="B78" s="957" t="s">
        <v>56</v>
      </c>
      <c r="C78" s="587" t="s">
        <v>1714</v>
      </c>
      <c r="D78" s="973" t="s">
        <v>57</v>
      </c>
      <c r="E78" s="973"/>
      <c r="F78" s="973"/>
      <c r="G78" s="973"/>
      <c r="H78" s="578" t="s">
        <v>58</v>
      </c>
      <c r="I78" s="579" t="s">
        <v>47</v>
      </c>
      <c r="J78" s="1577" t="s">
        <v>1715</v>
      </c>
      <c r="K78" s="579"/>
      <c r="L78" s="580">
        <v>42856</v>
      </c>
      <c r="M78" s="580"/>
      <c r="N78" s="580"/>
      <c r="O78" s="580">
        <v>42961</v>
      </c>
      <c r="P78" s="581">
        <v>1</v>
      </c>
      <c r="Q78" s="1017">
        <v>1</v>
      </c>
      <c r="R78" s="582">
        <v>400000</v>
      </c>
      <c r="S78" s="1042" t="s">
        <v>1650</v>
      </c>
      <c r="T78" s="584" t="s">
        <v>38</v>
      </c>
      <c r="U78" s="584"/>
      <c r="V78" s="584"/>
      <c r="W78" s="585" t="s">
        <v>1716</v>
      </c>
      <c r="X78" s="120"/>
      <c r="Y78" s="120"/>
      <c r="Z78" s="120"/>
      <c r="AA78" s="120"/>
      <c r="AB78" s="186"/>
      <c r="AC78" s="120"/>
      <c r="AD78" s="336"/>
      <c r="AE78" s="186"/>
    </row>
    <row r="79" spans="1:32" ht="91">
      <c r="A79" s="1119"/>
      <c r="B79" s="957" t="s">
        <v>56</v>
      </c>
      <c r="C79" s="586" t="s">
        <v>1717</v>
      </c>
      <c r="D79" s="973" t="s">
        <v>57</v>
      </c>
      <c r="E79" s="973"/>
      <c r="F79" s="973"/>
      <c r="G79" s="973"/>
      <c r="H79" s="578" t="s">
        <v>58</v>
      </c>
      <c r="I79" s="579" t="s">
        <v>47</v>
      </c>
      <c r="J79" s="1577" t="s">
        <v>1718</v>
      </c>
      <c r="K79" s="579"/>
      <c r="L79" s="580">
        <v>42856</v>
      </c>
      <c r="M79" s="580"/>
      <c r="N79" s="580"/>
      <c r="O79" s="580">
        <v>42961</v>
      </c>
      <c r="P79" s="581">
        <v>2</v>
      </c>
      <c r="Q79" s="1017">
        <v>2</v>
      </c>
      <c r="R79" s="582">
        <v>160000</v>
      </c>
      <c r="S79" s="1042" t="s">
        <v>1650</v>
      </c>
      <c r="T79" s="584" t="s">
        <v>38</v>
      </c>
      <c r="U79" s="584"/>
      <c r="V79" s="584"/>
      <c r="W79" s="585" t="s">
        <v>1716</v>
      </c>
      <c r="X79" s="120"/>
      <c r="Y79" s="120"/>
      <c r="Z79" s="120"/>
      <c r="AA79" s="120"/>
      <c r="AB79" s="186"/>
      <c r="AC79" s="120"/>
      <c r="AD79" s="336"/>
      <c r="AE79" s="186"/>
      <c r="AF79" s="56"/>
    </row>
    <row r="80" spans="1:32" s="1" customFormat="1" ht="91">
      <c r="A80" s="1119"/>
      <c r="B80" s="957" t="s">
        <v>56</v>
      </c>
      <c r="C80" s="586" t="s">
        <v>1719</v>
      </c>
      <c r="D80" s="973" t="s">
        <v>57</v>
      </c>
      <c r="E80" s="973"/>
      <c r="F80" s="973"/>
      <c r="G80" s="973"/>
      <c r="H80" s="578" t="s">
        <v>58</v>
      </c>
      <c r="I80" s="579" t="s">
        <v>47</v>
      </c>
      <c r="J80" s="1577" t="s">
        <v>1720</v>
      </c>
      <c r="K80" s="579"/>
      <c r="L80" s="580">
        <v>42927</v>
      </c>
      <c r="M80" s="580"/>
      <c r="N80" s="580"/>
      <c r="O80" s="580">
        <v>42961</v>
      </c>
      <c r="P80" s="581">
        <v>2</v>
      </c>
      <c r="Q80" s="1017">
        <v>2</v>
      </c>
      <c r="R80" s="582">
        <v>130000</v>
      </c>
      <c r="S80" s="1042" t="s">
        <v>1650</v>
      </c>
      <c r="T80" s="584" t="s">
        <v>38</v>
      </c>
      <c r="U80" s="584"/>
      <c r="V80" s="584"/>
      <c r="W80" s="585" t="s">
        <v>1716</v>
      </c>
      <c r="X80" s="120"/>
      <c r="Y80" s="120"/>
      <c r="Z80" s="120"/>
      <c r="AA80" s="120"/>
      <c r="AB80" s="186"/>
      <c r="AC80" s="120"/>
      <c r="AD80" s="336"/>
      <c r="AE80" s="186"/>
      <c r="AF80" s="56"/>
    </row>
    <row r="81" spans="1:32" s="277" customFormat="1" ht="91">
      <c r="A81" s="1119"/>
      <c r="B81" s="957" t="s">
        <v>56</v>
      </c>
      <c r="C81" s="586" t="s">
        <v>1721</v>
      </c>
      <c r="D81" s="973" t="s">
        <v>57</v>
      </c>
      <c r="E81" s="973"/>
      <c r="F81" s="973"/>
      <c r="G81" s="973"/>
      <c r="H81" s="578" t="s">
        <v>58</v>
      </c>
      <c r="I81" s="579" t="s">
        <v>47</v>
      </c>
      <c r="J81" s="1577" t="s">
        <v>1722</v>
      </c>
      <c r="K81" s="579"/>
      <c r="L81" s="580">
        <v>42927</v>
      </c>
      <c r="M81" s="580"/>
      <c r="N81" s="580"/>
      <c r="O81" s="580">
        <v>42961</v>
      </c>
      <c r="P81" s="581">
        <v>2</v>
      </c>
      <c r="Q81" s="1017">
        <v>2</v>
      </c>
      <c r="R81" s="582">
        <v>100000</v>
      </c>
      <c r="S81" s="1042" t="s">
        <v>1650</v>
      </c>
      <c r="T81" s="584" t="s">
        <v>38</v>
      </c>
      <c r="U81" s="584"/>
      <c r="V81" s="584"/>
      <c r="W81" s="585" t="s">
        <v>1716</v>
      </c>
      <c r="X81" s="120"/>
      <c r="Y81" s="120"/>
      <c r="Z81" s="120"/>
      <c r="AA81" s="120"/>
      <c r="AB81" s="186"/>
      <c r="AC81" s="120"/>
      <c r="AD81" s="336"/>
      <c r="AE81" s="186"/>
      <c r="AF81" s="1"/>
    </row>
    <row r="82" spans="1:32" s="1" customFormat="1" ht="78" customHeight="1">
      <c r="A82" s="1119"/>
      <c r="B82" s="957" t="s">
        <v>56</v>
      </c>
      <c r="C82" s="586" t="s">
        <v>1723</v>
      </c>
      <c r="D82" s="973" t="s">
        <v>57</v>
      </c>
      <c r="E82" s="973"/>
      <c r="F82" s="973"/>
      <c r="G82" s="973"/>
      <c r="H82" s="578" t="s">
        <v>58</v>
      </c>
      <c r="I82" s="579" t="s">
        <v>47</v>
      </c>
      <c r="J82" s="1577" t="s">
        <v>1724</v>
      </c>
      <c r="K82" s="579"/>
      <c r="L82" s="580">
        <v>42878</v>
      </c>
      <c r="M82" s="580"/>
      <c r="N82" s="580"/>
      <c r="O82" s="580">
        <v>42968</v>
      </c>
      <c r="P82" s="581">
        <v>1</v>
      </c>
      <c r="Q82" s="1017">
        <v>1</v>
      </c>
      <c r="R82" s="582">
        <v>50000</v>
      </c>
      <c r="S82" s="1042" t="s">
        <v>1650</v>
      </c>
      <c r="T82" s="584" t="s">
        <v>38</v>
      </c>
      <c r="U82" s="584"/>
      <c r="V82" s="584"/>
      <c r="W82" s="585" t="s">
        <v>1627</v>
      </c>
      <c r="X82" s="120"/>
      <c r="Y82" s="120"/>
      <c r="Z82" s="120"/>
      <c r="AA82" s="120"/>
      <c r="AB82" s="186"/>
      <c r="AC82" s="120"/>
      <c r="AD82" s="336"/>
      <c r="AE82" s="186"/>
      <c r="AF82"/>
    </row>
    <row r="83" spans="1:32" ht="43.5">
      <c r="A83" s="1119"/>
      <c r="B83" s="1" t="s">
        <v>44</v>
      </c>
      <c r="C83" s="2757"/>
      <c r="D83" s="147" t="s">
        <v>32</v>
      </c>
      <c r="E83" s="147"/>
      <c r="F83" s="147"/>
      <c r="G83" s="147"/>
      <c r="H83" s="5" t="s">
        <v>386</v>
      </c>
      <c r="I83" s="8" t="s">
        <v>34</v>
      </c>
      <c r="J83" s="16" t="s">
        <v>934</v>
      </c>
      <c r="K83" s="8"/>
      <c r="L83" s="8"/>
      <c r="M83" s="199">
        <v>42795</v>
      </c>
      <c r="N83" s="199"/>
      <c r="O83" s="199">
        <v>42975</v>
      </c>
      <c r="P83" s="5">
        <v>120</v>
      </c>
      <c r="Q83" s="25" t="s">
        <v>1725</v>
      </c>
      <c r="R83" s="1037">
        <v>110000</v>
      </c>
      <c r="S83" s="31" t="s">
        <v>176</v>
      </c>
      <c r="T83" s="11" t="s">
        <v>38</v>
      </c>
      <c r="U83" s="2757"/>
      <c r="V83" s="2757"/>
      <c r="W83" s="5" t="s">
        <v>937</v>
      </c>
      <c r="X83" s="5" t="s">
        <v>1726</v>
      </c>
      <c r="Y83" s="5" t="s">
        <v>40</v>
      </c>
      <c r="Z83" s="5"/>
      <c r="AA83" s="5"/>
      <c r="AB83" s="26"/>
      <c r="AC83" s="8" t="s">
        <v>1727</v>
      </c>
      <c r="AD83" s="147"/>
      <c r="AE83" s="227"/>
    </row>
    <row r="84" spans="1:32" s="1" customFormat="1" ht="39">
      <c r="A84" s="1119"/>
      <c r="B84" s="957" t="s">
        <v>56</v>
      </c>
      <c r="C84" s="586" t="s">
        <v>1728</v>
      </c>
      <c r="D84" s="973" t="s">
        <v>57</v>
      </c>
      <c r="E84" s="973"/>
      <c r="F84" s="973"/>
      <c r="G84" s="973"/>
      <c r="H84" s="578" t="s">
        <v>58</v>
      </c>
      <c r="I84" s="579" t="s">
        <v>47</v>
      </c>
      <c r="J84" s="1577" t="s">
        <v>1729</v>
      </c>
      <c r="K84" s="579"/>
      <c r="L84" s="580">
        <v>42887</v>
      </c>
      <c r="M84" s="580"/>
      <c r="N84" s="580"/>
      <c r="O84" s="580">
        <v>42978</v>
      </c>
      <c r="P84" s="581">
        <v>43</v>
      </c>
      <c r="Q84" s="581">
        <v>43</v>
      </c>
      <c r="R84" s="582">
        <v>25000</v>
      </c>
      <c r="S84" s="1049" t="s">
        <v>1730</v>
      </c>
      <c r="T84" s="584" t="s">
        <v>38</v>
      </c>
      <c r="U84" s="584"/>
      <c r="V84" s="584"/>
      <c r="W84" s="585" t="s">
        <v>1731</v>
      </c>
      <c r="X84" s="120"/>
      <c r="Y84" s="120"/>
      <c r="Z84" s="120"/>
      <c r="AA84" s="120"/>
      <c r="AB84" s="186"/>
      <c r="AC84" s="120"/>
      <c r="AD84" s="336"/>
      <c r="AE84" s="186"/>
      <c r="AF84" s="56"/>
    </row>
    <row r="85" spans="1:32" s="56" customFormat="1" ht="29">
      <c r="A85" s="1119"/>
      <c r="B85" s="1" t="s">
        <v>44</v>
      </c>
      <c r="C85" s="2757"/>
      <c r="D85" s="147" t="s">
        <v>32</v>
      </c>
      <c r="E85" s="147"/>
      <c r="F85" s="147"/>
      <c r="G85" s="147"/>
      <c r="H85" s="5" t="s">
        <v>127</v>
      </c>
      <c r="I85" s="8" t="s">
        <v>47</v>
      </c>
      <c r="J85" s="16" t="s">
        <v>423</v>
      </c>
      <c r="K85" s="16"/>
      <c r="L85" s="16"/>
      <c r="M85" s="182">
        <v>42795</v>
      </c>
      <c r="N85" s="182"/>
      <c r="O85" s="182">
        <v>42979</v>
      </c>
      <c r="P85" s="12">
        <v>60</v>
      </c>
      <c r="Q85" s="25" t="s">
        <v>1732</v>
      </c>
      <c r="R85" s="18">
        <v>105825</v>
      </c>
      <c r="S85" s="5" t="s">
        <v>176</v>
      </c>
      <c r="T85" s="11" t="s">
        <v>38</v>
      </c>
      <c r="U85" s="2757"/>
      <c r="V85" s="2757"/>
      <c r="W85" s="12" t="s">
        <v>425</v>
      </c>
      <c r="X85" s="12" t="s">
        <v>1674</v>
      </c>
      <c r="Y85" s="5" t="s">
        <v>40</v>
      </c>
      <c r="Z85" s="5"/>
      <c r="AA85" s="5"/>
      <c r="AB85" s="12"/>
      <c r="AC85" s="13"/>
      <c r="AD85" s="2792"/>
      <c r="AE85" s="227">
        <v>21165</v>
      </c>
      <c r="AF85" s="195"/>
    </row>
    <row r="86" spans="1:32" ht="58">
      <c r="A86" s="498"/>
      <c r="B86" s="1" t="s">
        <v>44</v>
      </c>
      <c r="C86" s="2757"/>
      <c r="D86" s="147" t="s">
        <v>32</v>
      </c>
      <c r="E86" s="147"/>
      <c r="F86" s="147"/>
      <c r="G86" s="147"/>
      <c r="H86" s="12" t="s">
        <v>1670</v>
      </c>
      <c r="I86" s="10" t="s">
        <v>1343</v>
      </c>
      <c r="J86" s="16" t="s">
        <v>1733</v>
      </c>
      <c r="K86" s="16"/>
      <c r="L86" s="16"/>
      <c r="M86" s="182">
        <v>42900</v>
      </c>
      <c r="N86" s="182"/>
      <c r="O86" s="2777">
        <v>42979</v>
      </c>
      <c r="P86" s="2763">
        <v>4</v>
      </c>
      <c r="Q86" s="2790" t="s">
        <v>589</v>
      </c>
      <c r="R86" s="2794">
        <v>12000</v>
      </c>
      <c r="S86" s="2791" t="s">
        <v>1672</v>
      </c>
      <c r="T86" s="12" t="s">
        <v>38</v>
      </c>
      <c r="U86" s="2757"/>
      <c r="V86" s="2757"/>
      <c r="W86" s="8" t="s">
        <v>1673</v>
      </c>
      <c r="X86" s="12" t="s">
        <v>1674</v>
      </c>
      <c r="Y86" s="5" t="s">
        <v>40</v>
      </c>
      <c r="Z86" s="5"/>
      <c r="AA86" s="26"/>
      <c r="AB86" s="28"/>
      <c r="AC86" s="8" t="s">
        <v>1734</v>
      </c>
      <c r="AD86" s="2792"/>
      <c r="AE86" s="1137">
        <v>8870</v>
      </c>
      <c r="AF86" s="56"/>
    </row>
    <row r="87" spans="1:32" s="35" customFormat="1" ht="43.5">
      <c r="A87" s="1186"/>
      <c r="B87" s="1" t="s">
        <v>44</v>
      </c>
      <c r="C87" s="2757"/>
      <c r="D87" s="2792" t="s">
        <v>32</v>
      </c>
      <c r="E87" s="2792"/>
      <c r="F87" s="2792"/>
      <c r="G87" s="2792"/>
      <c r="H87" s="2793" t="s">
        <v>1670</v>
      </c>
      <c r="I87" s="2793" t="s">
        <v>47</v>
      </c>
      <c r="J87" s="2757" t="s">
        <v>1735</v>
      </c>
      <c r="K87" s="2757"/>
      <c r="L87" s="2757"/>
      <c r="M87" s="2764">
        <v>42909</v>
      </c>
      <c r="N87" s="2764"/>
      <c r="O87" s="96">
        <v>42979</v>
      </c>
      <c r="P87" s="97" t="s">
        <v>1251</v>
      </c>
      <c r="Q87" s="2751" t="s">
        <v>589</v>
      </c>
      <c r="R87" s="98">
        <v>540000</v>
      </c>
      <c r="S87" s="2751" t="s">
        <v>1736</v>
      </c>
      <c r="T87" s="2763"/>
      <c r="U87" s="2757"/>
      <c r="V87" s="2757"/>
      <c r="W87" s="2763" t="s">
        <v>1737</v>
      </c>
      <c r="X87" s="2763" t="s">
        <v>1738</v>
      </c>
      <c r="Y87" s="5" t="s">
        <v>40</v>
      </c>
      <c r="Z87" s="5"/>
      <c r="AA87" s="2757"/>
      <c r="AB87" s="2753"/>
      <c r="AC87" s="2795" t="s">
        <v>1739</v>
      </c>
      <c r="AD87" s="147"/>
      <c r="AE87" s="2796"/>
      <c r="AF87" s="1"/>
    </row>
    <row r="88" spans="1:32" s="56" customFormat="1" ht="43.5">
      <c r="A88" s="498"/>
      <c r="B88" s="1" t="s">
        <v>44</v>
      </c>
      <c r="C88" s="173"/>
      <c r="D88" s="147" t="s">
        <v>57</v>
      </c>
      <c r="E88" s="147"/>
      <c r="F88" s="147"/>
      <c r="G88" s="147"/>
      <c r="H88" s="5" t="s">
        <v>1619</v>
      </c>
      <c r="I88" s="8" t="s">
        <v>1564</v>
      </c>
      <c r="J88" s="16" t="s">
        <v>1740</v>
      </c>
      <c r="K88" s="16"/>
      <c r="L88" s="16"/>
      <c r="M88" s="199">
        <v>42917</v>
      </c>
      <c r="N88" s="199"/>
      <c r="O88" s="182">
        <v>42979</v>
      </c>
      <c r="P88" s="12">
        <v>7</v>
      </c>
      <c r="Q88" s="152" t="s">
        <v>1741</v>
      </c>
      <c r="R88" s="18">
        <v>20000</v>
      </c>
      <c r="S88" s="20" t="s">
        <v>1195</v>
      </c>
      <c r="T88" s="11" t="s">
        <v>38</v>
      </c>
      <c r="U88" s="173"/>
      <c r="V88" s="173"/>
      <c r="W88" s="5" t="s">
        <v>1742</v>
      </c>
      <c r="X88" s="12" t="s">
        <v>1633</v>
      </c>
      <c r="Y88" s="5" t="s">
        <v>40</v>
      </c>
      <c r="Z88" s="5"/>
      <c r="AA88" s="5"/>
      <c r="AB88" s="72"/>
      <c r="AC88" s="8" t="s">
        <v>1743</v>
      </c>
      <c r="AD88" s="147"/>
      <c r="AE88" s="227"/>
      <c r="AF88" s="1"/>
    </row>
    <row r="89" spans="1:32" s="56" customFormat="1" ht="29">
      <c r="A89" s="1187"/>
      <c r="B89" s="1" t="s">
        <v>44</v>
      </c>
      <c r="C89" s="4"/>
      <c r="D89" s="147" t="s">
        <v>32</v>
      </c>
      <c r="E89" s="147"/>
      <c r="F89" s="147"/>
      <c r="G89" s="147"/>
      <c r="H89" s="12" t="s">
        <v>1670</v>
      </c>
      <c r="I89" s="10" t="s">
        <v>1343</v>
      </c>
      <c r="J89" s="16" t="s">
        <v>1744</v>
      </c>
      <c r="K89" s="16"/>
      <c r="L89" s="16"/>
      <c r="M89" s="182">
        <v>42923</v>
      </c>
      <c r="N89" s="182"/>
      <c r="O89" s="2777">
        <v>42979</v>
      </c>
      <c r="P89" s="2763">
        <v>12</v>
      </c>
      <c r="Q89" s="2763" t="s">
        <v>589</v>
      </c>
      <c r="R89" s="2794">
        <v>18000</v>
      </c>
      <c r="S89" s="2791" t="s">
        <v>1660</v>
      </c>
      <c r="T89" s="12" t="s">
        <v>38</v>
      </c>
      <c r="U89" s="4"/>
      <c r="V89" s="4"/>
      <c r="W89" s="8" t="s">
        <v>1745</v>
      </c>
      <c r="X89" s="12" t="s">
        <v>1674</v>
      </c>
      <c r="Y89" s="5" t="s">
        <v>40</v>
      </c>
      <c r="Z89" s="5"/>
      <c r="AA89" s="5"/>
      <c r="AB89" s="28"/>
      <c r="AC89" s="8" t="s">
        <v>1746</v>
      </c>
      <c r="AD89" s="2792"/>
      <c r="AE89" s="27"/>
      <c r="AF89"/>
    </row>
    <row r="90" spans="1:32" s="56" customFormat="1">
      <c r="A90" s="498"/>
      <c r="B90" s="1" t="s">
        <v>44</v>
      </c>
      <c r="C90" s="4"/>
      <c r="D90" s="4" t="s">
        <v>32</v>
      </c>
      <c r="E90" s="4"/>
      <c r="F90" s="4"/>
      <c r="G90" s="4"/>
      <c r="H90" s="12" t="s">
        <v>33</v>
      </c>
      <c r="I90" s="10" t="s">
        <v>47</v>
      </c>
      <c r="J90" s="16" t="s">
        <v>1747</v>
      </c>
      <c r="K90" s="16"/>
      <c r="L90" s="16"/>
      <c r="M90" s="182">
        <v>42968</v>
      </c>
      <c r="N90" s="182"/>
      <c r="O90" s="182">
        <v>42979</v>
      </c>
      <c r="P90" s="12">
        <v>12</v>
      </c>
      <c r="Q90" s="13">
        <v>12</v>
      </c>
      <c r="R90" s="86">
        <v>22500</v>
      </c>
      <c r="S90" s="5" t="s">
        <v>1660</v>
      </c>
      <c r="T90" s="12" t="s">
        <v>38</v>
      </c>
      <c r="U90" s="4"/>
      <c r="V90" s="4"/>
      <c r="W90" s="5" t="s">
        <v>645</v>
      </c>
      <c r="X90" s="12" t="s">
        <v>54</v>
      </c>
      <c r="Y90" s="5" t="s">
        <v>40</v>
      </c>
      <c r="Z90" s="5"/>
      <c r="AA90" s="5"/>
      <c r="AB90" s="28"/>
      <c r="AC90" s="8" t="s">
        <v>1748</v>
      </c>
      <c r="AD90" s="147"/>
      <c r="AE90" s="27">
        <v>22500</v>
      </c>
      <c r="AF90" s="1"/>
    </row>
    <row r="91" spans="1:32" ht="65">
      <c r="A91" s="1119"/>
      <c r="B91" s="957" t="s">
        <v>56</v>
      </c>
      <c r="C91" s="586" t="s">
        <v>1749</v>
      </c>
      <c r="D91" s="973" t="s">
        <v>57</v>
      </c>
      <c r="E91" s="973"/>
      <c r="F91" s="973"/>
      <c r="G91" s="973"/>
      <c r="H91" s="578" t="s">
        <v>58</v>
      </c>
      <c r="I91" s="579" t="s">
        <v>47</v>
      </c>
      <c r="J91" s="1577" t="s">
        <v>1750</v>
      </c>
      <c r="K91" s="579"/>
      <c r="L91" s="580">
        <v>42856</v>
      </c>
      <c r="M91" s="580"/>
      <c r="N91" s="580"/>
      <c r="O91" s="580">
        <v>42982</v>
      </c>
      <c r="P91" s="581">
        <v>2</v>
      </c>
      <c r="Q91" s="581">
        <v>2</v>
      </c>
      <c r="R91" s="582">
        <v>175000</v>
      </c>
      <c r="S91" s="583" t="s">
        <v>1657</v>
      </c>
      <c r="T91" s="584" t="s">
        <v>38</v>
      </c>
      <c r="U91" s="584"/>
      <c r="V91" s="584"/>
      <c r="W91" s="585" t="s">
        <v>1751</v>
      </c>
      <c r="X91" s="120"/>
      <c r="Y91" s="120"/>
      <c r="Z91" s="120"/>
      <c r="AA91" s="120"/>
      <c r="AB91" s="186"/>
      <c r="AC91" s="120"/>
      <c r="AD91" s="336"/>
      <c r="AE91" s="186"/>
      <c r="AF91" s="56"/>
    </row>
    <row r="92" spans="1:32" s="56" customFormat="1" ht="65">
      <c r="A92" s="1119"/>
      <c r="B92" s="957" t="s">
        <v>56</v>
      </c>
      <c r="C92" s="589" t="s">
        <v>1752</v>
      </c>
      <c r="D92" s="973" t="s">
        <v>57</v>
      </c>
      <c r="E92" s="973"/>
      <c r="F92" s="973"/>
      <c r="G92" s="973"/>
      <c r="H92" s="578" t="s">
        <v>58</v>
      </c>
      <c r="I92" s="579" t="s">
        <v>47</v>
      </c>
      <c r="J92" s="1577" t="s">
        <v>1753</v>
      </c>
      <c r="K92" s="579"/>
      <c r="L92" s="580">
        <v>42944</v>
      </c>
      <c r="M92" s="580"/>
      <c r="N92" s="580"/>
      <c r="O92" s="580">
        <v>42982</v>
      </c>
      <c r="P92" s="590">
        <v>1</v>
      </c>
      <c r="Q92" s="590">
        <v>1</v>
      </c>
      <c r="R92" s="588">
        <v>58000</v>
      </c>
      <c r="S92" s="1042" t="s">
        <v>1657</v>
      </c>
      <c r="T92" s="584" t="s">
        <v>38</v>
      </c>
      <c r="U92" s="584"/>
      <c r="V92" s="584"/>
      <c r="W92" s="578"/>
      <c r="X92" s="120"/>
      <c r="Y92" s="120"/>
      <c r="Z92" s="120"/>
      <c r="AA92" s="120"/>
      <c r="AB92" s="186"/>
      <c r="AC92" s="120"/>
      <c r="AD92" s="336"/>
      <c r="AE92" s="186"/>
      <c r="AF92" s="1"/>
    </row>
    <row r="93" spans="1:32" s="56" customFormat="1" ht="188.5">
      <c r="A93" s="498"/>
      <c r="B93" s="1" t="s">
        <v>44</v>
      </c>
      <c r="C93" s="4"/>
      <c r="D93" s="147" t="s">
        <v>32</v>
      </c>
      <c r="E93" s="147"/>
      <c r="F93" s="147"/>
      <c r="G93" s="147"/>
      <c r="H93" s="5" t="s">
        <v>33</v>
      </c>
      <c r="I93" s="8" t="s">
        <v>1754</v>
      </c>
      <c r="J93" s="16" t="s">
        <v>1755</v>
      </c>
      <c r="K93" s="8"/>
      <c r="L93" s="8"/>
      <c r="M93" s="182">
        <v>42947</v>
      </c>
      <c r="N93" s="182"/>
      <c r="O93" s="182">
        <v>42989</v>
      </c>
      <c r="P93" s="12" t="s">
        <v>45</v>
      </c>
      <c r="Q93" s="7" t="s">
        <v>45</v>
      </c>
      <c r="R93" s="18" t="s">
        <v>45</v>
      </c>
      <c r="S93" s="207" t="s">
        <v>1691</v>
      </c>
      <c r="T93" s="11" t="s">
        <v>38</v>
      </c>
      <c r="U93" s="4"/>
      <c r="V93" s="4"/>
      <c r="W93" s="5" t="s">
        <v>479</v>
      </c>
      <c r="X93" s="5" t="s">
        <v>1633</v>
      </c>
      <c r="Y93" s="5" t="s">
        <v>40</v>
      </c>
      <c r="Z93" s="5"/>
      <c r="AA93" s="5"/>
      <c r="AB93" s="26"/>
      <c r="AC93" s="8" t="s">
        <v>1756</v>
      </c>
      <c r="AD93" s="147"/>
      <c r="AE93" s="228"/>
      <c r="AF93" s="1"/>
    </row>
    <row r="94" spans="1:32" s="1" customFormat="1" ht="39">
      <c r="A94" s="1119"/>
      <c r="B94" s="957" t="s">
        <v>56</v>
      </c>
      <c r="C94" s="586" t="s">
        <v>1757</v>
      </c>
      <c r="D94" s="973" t="s">
        <v>57</v>
      </c>
      <c r="E94" s="973"/>
      <c r="F94" s="973"/>
      <c r="G94" s="973"/>
      <c r="H94" s="578" t="s">
        <v>58</v>
      </c>
      <c r="I94" s="579" t="s">
        <v>47</v>
      </c>
      <c r="J94" s="1577" t="s">
        <v>1758</v>
      </c>
      <c r="K94" s="579"/>
      <c r="L94" s="580">
        <v>42879</v>
      </c>
      <c r="M94" s="580"/>
      <c r="N94" s="580"/>
      <c r="O94" s="580">
        <v>42989</v>
      </c>
      <c r="P94" s="581">
        <v>1</v>
      </c>
      <c r="Q94" s="581">
        <v>1</v>
      </c>
      <c r="R94" s="582">
        <v>30000</v>
      </c>
      <c r="S94" s="584" t="s">
        <v>1626</v>
      </c>
      <c r="T94" s="584" t="s">
        <v>38</v>
      </c>
      <c r="U94" s="584"/>
      <c r="V94" s="584"/>
      <c r="W94" s="585" t="s">
        <v>1627</v>
      </c>
      <c r="X94" s="120"/>
      <c r="Y94" s="120"/>
      <c r="Z94" s="120"/>
      <c r="AA94" s="120"/>
      <c r="AB94" s="186"/>
      <c r="AC94" s="120"/>
      <c r="AD94" s="336"/>
      <c r="AE94" s="186"/>
      <c r="AF94"/>
    </row>
    <row r="95" spans="1:32" ht="65">
      <c r="A95" s="1119"/>
      <c r="B95" s="957" t="s">
        <v>56</v>
      </c>
      <c r="C95" s="586" t="s">
        <v>1759</v>
      </c>
      <c r="D95" s="578" t="s">
        <v>57</v>
      </c>
      <c r="E95" s="578"/>
      <c r="F95" s="578"/>
      <c r="G95" s="578"/>
      <c r="H95" s="578" t="s">
        <v>58</v>
      </c>
      <c r="I95" s="579" t="s">
        <v>47</v>
      </c>
      <c r="J95" s="1577" t="s">
        <v>1760</v>
      </c>
      <c r="K95" s="579"/>
      <c r="L95" s="580">
        <v>42958</v>
      </c>
      <c r="M95" s="580"/>
      <c r="N95" s="580"/>
      <c r="O95" s="580">
        <v>43003</v>
      </c>
      <c r="P95" s="581">
        <v>1</v>
      </c>
      <c r="Q95" s="1017">
        <v>1</v>
      </c>
      <c r="R95" s="588">
        <v>25000</v>
      </c>
      <c r="S95" s="1042" t="s">
        <v>1657</v>
      </c>
      <c r="T95" s="584" t="s">
        <v>38</v>
      </c>
      <c r="U95" s="584"/>
      <c r="V95" s="584"/>
      <c r="W95" s="585" t="s">
        <v>1627</v>
      </c>
      <c r="X95" s="120"/>
      <c r="Y95" s="120"/>
      <c r="Z95" s="120"/>
      <c r="AA95" s="120"/>
      <c r="AB95" s="120"/>
      <c r="AC95" s="120"/>
      <c r="AD95" s="336"/>
      <c r="AE95" s="186"/>
      <c r="AF95" s="1"/>
    </row>
    <row r="96" spans="1:32" s="3" customFormat="1" ht="65">
      <c r="A96" s="1119"/>
      <c r="B96" s="957" t="s">
        <v>56</v>
      </c>
      <c r="C96" s="577" t="s">
        <v>1759</v>
      </c>
      <c r="D96" s="973" t="s">
        <v>57</v>
      </c>
      <c r="E96" s="973"/>
      <c r="F96" s="973"/>
      <c r="G96" s="973"/>
      <c r="H96" s="578" t="s">
        <v>58</v>
      </c>
      <c r="I96" s="579" t="s">
        <v>47</v>
      </c>
      <c r="J96" s="1577" t="s">
        <v>1761</v>
      </c>
      <c r="K96" s="579"/>
      <c r="L96" s="580">
        <v>42958</v>
      </c>
      <c r="M96" s="580"/>
      <c r="N96" s="580"/>
      <c r="O96" s="580">
        <v>43003</v>
      </c>
      <c r="P96" s="581">
        <v>1</v>
      </c>
      <c r="Q96" s="1017">
        <v>1</v>
      </c>
      <c r="R96" s="582">
        <v>100000</v>
      </c>
      <c r="S96" s="1042" t="s">
        <v>1657</v>
      </c>
      <c r="T96" s="584" t="s">
        <v>38</v>
      </c>
      <c r="U96" s="584"/>
      <c r="V96" s="584"/>
      <c r="W96" s="585" t="s">
        <v>1627</v>
      </c>
      <c r="X96" s="120"/>
      <c r="Y96" s="120"/>
      <c r="Z96" s="120"/>
      <c r="AA96" s="120"/>
      <c r="AB96" s="120"/>
      <c r="AC96" s="120"/>
      <c r="AD96" s="336"/>
      <c r="AE96" s="186"/>
      <c r="AF96" s="277"/>
    </row>
    <row r="97" spans="1:32" ht="29">
      <c r="A97" s="2756"/>
      <c r="B97" s="1" t="s">
        <v>44</v>
      </c>
      <c r="C97" s="4"/>
      <c r="D97" s="118" t="s">
        <v>32</v>
      </c>
      <c r="E97" s="118"/>
      <c r="F97" s="118"/>
      <c r="G97" s="118"/>
      <c r="H97" s="5" t="s">
        <v>33</v>
      </c>
      <c r="I97" s="5" t="s">
        <v>47</v>
      </c>
      <c r="J97" s="16" t="s">
        <v>1762</v>
      </c>
      <c r="K97" s="8"/>
      <c r="L97" s="8"/>
      <c r="M97" s="14">
        <v>42767</v>
      </c>
      <c r="N97" s="14"/>
      <c r="O97" s="14">
        <v>43009</v>
      </c>
      <c r="P97" s="12">
        <v>12</v>
      </c>
      <c r="Q97" s="26">
        <v>12</v>
      </c>
      <c r="R97" s="18">
        <v>8394</v>
      </c>
      <c r="S97" s="31" t="s">
        <v>1763</v>
      </c>
      <c r="T97" s="14" t="s">
        <v>38</v>
      </c>
      <c r="U97" s="4"/>
      <c r="V97" s="4"/>
      <c r="W97" s="5" t="s">
        <v>1667</v>
      </c>
      <c r="X97" s="5" t="s">
        <v>1764</v>
      </c>
      <c r="Y97" s="5" t="s">
        <v>40</v>
      </c>
      <c r="Z97" s="5"/>
      <c r="AA97" s="26"/>
      <c r="AB97" s="7"/>
      <c r="AC97" s="8" t="s">
        <v>1765</v>
      </c>
      <c r="AD97" s="147"/>
      <c r="AE97" s="227"/>
      <c r="AF97" s="1"/>
    </row>
    <row r="98" spans="1:32" ht="58">
      <c r="A98" s="1119"/>
      <c r="B98" s="1" t="s">
        <v>44</v>
      </c>
      <c r="C98" s="4"/>
      <c r="D98" s="147" t="s">
        <v>32</v>
      </c>
      <c r="E98" s="147"/>
      <c r="F98" s="147"/>
      <c r="G98" s="147"/>
      <c r="H98" s="5" t="s">
        <v>33</v>
      </c>
      <c r="I98" s="8" t="s">
        <v>47</v>
      </c>
      <c r="J98" s="16" t="s">
        <v>1762</v>
      </c>
      <c r="K98" s="8"/>
      <c r="L98" s="8"/>
      <c r="M98" s="14">
        <v>42795</v>
      </c>
      <c r="N98" s="14"/>
      <c r="O98" s="14">
        <v>43009</v>
      </c>
      <c r="P98" s="12">
        <v>12</v>
      </c>
      <c r="Q98" s="26" t="s">
        <v>50</v>
      </c>
      <c r="R98" s="82">
        <v>8394</v>
      </c>
      <c r="S98" s="5" t="s">
        <v>1660</v>
      </c>
      <c r="T98" s="14" t="s">
        <v>38</v>
      </c>
      <c r="U98" s="4"/>
      <c r="V98" s="4"/>
      <c r="W98" s="5" t="s">
        <v>1766</v>
      </c>
      <c r="X98" s="5" t="s">
        <v>1613</v>
      </c>
      <c r="Y98" s="5" t="s">
        <v>40</v>
      </c>
      <c r="Z98" s="5"/>
      <c r="AA98" s="5"/>
      <c r="AB98" s="100"/>
      <c r="AC98" s="8" t="s">
        <v>1767</v>
      </c>
      <c r="AD98" s="147"/>
      <c r="AE98" s="26"/>
    </row>
    <row r="99" spans="1:32" s="56" customFormat="1" ht="43.5">
      <c r="A99" s="1188"/>
      <c r="B99" s="1" t="s">
        <v>44</v>
      </c>
      <c r="C99" s="4"/>
      <c r="D99" s="147" t="s">
        <v>32</v>
      </c>
      <c r="E99" s="147"/>
      <c r="F99" s="147"/>
      <c r="G99" s="147"/>
      <c r="H99" s="5" t="s">
        <v>127</v>
      </c>
      <c r="I99" s="8" t="s">
        <v>47</v>
      </c>
      <c r="J99" s="16" t="s">
        <v>1768</v>
      </c>
      <c r="K99" s="8"/>
      <c r="L99" s="8"/>
      <c r="M99" s="199">
        <v>42948</v>
      </c>
      <c r="N99" s="199"/>
      <c r="O99" s="182">
        <v>43009</v>
      </c>
      <c r="P99" s="5">
        <v>18</v>
      </c>
      <c r="Q99" s="25" t="s">
        <v>275</v>
      </c>
      <c r="R99" s="18">
        <v>250000</v>
      </c>
      <c r="S99" s="199" t="s">
        <v>1629</v>
      </c>
      <c r="T99" s="11" t="s">
        <v>38</v>
      </c>
      <c r="U99" s="4"/>
      <c r="V99" s="4"/>
      <c r="W99" s="5" t="s">
        <v>425</v>
      </c>
      <c r="X99" s="12" t="s">
        <v>1674</v>
      </c>
      <c r="Y99" s="5" t="s">
        <v>40</v>
      </c>
      <c r="Z99" s="5"/>
      <c r="AA99" s="5"/>
      <c r="AB99" s="5"/>
      <c r="AC99" s="8" t="s">
        <v>1769</v>
      </c>
      <c r="AD99" s="147"/>
      <c r="AE99" s="227">
        <v>100000</v>
      </c>
      <c r="AF99" s="1"/>
    </row>
    <row r="100" spans="1:32" s="56" customFormat="1" ht="29">
      <c r="A100" s="1119"/>
      <c r="B100" s="1" t="s">
        <v>44</v>
      </c>
      <c r="C100" s="4"/>
      <c r="D100" s="118" t="s">
        <v>32</v>
      </c>
      <c r="E100" s="118"/>
      <c r="F100" s="118"/>
      <c r="G100" s="118"/>
      <c r="H100" s="5" t="s">
        <v>1770</v>
      </c>
      <c r="I100" s="5" t="s">
        <v>34</v>
      </c>
      <c r="J100" s="16" t="s">
        <v>1771</v>
      </c>
      <c r="K100" s="16"/>
      <c r="L100" s="16"/>
      <c r="M100" s="182">
        <v>43040</v>
      </c>
      <c r="N100" s="182"/>
      <c r="O100" s="182">
        <v>43009</v>
      </c>
      <c r="P100" s="12">
        <v>48</v>
      </c>
      <c r="Q100" s="25" t="s">
        <v>1772</v>
      </c>
      <c r="R100" s="18">
        <v>1600</v>
      </c>
      <c r="S100" s="31" t="s">
        <v>1639</v>
      </c>
      <c r="T100" s="12" t="s">
        <v>38</v>
      </c>
      <c r="U100" s="4"/>
      <c r="V100" s="4"/>
      <c r="W100" s="5" t="s">
        <v>1076</v>
      </c>
      <c r="X100" s="12" t="s">
        <v>413</v>
      </c>
      <c r="Y100" s="5" t="s">
        <v>40</v>
      </c>
      <c r="Z100" s="5"/>
      <c r="AA100" s="26"/>
      <c r="AB100" s="7"/>
      <c r="AC100" s="8" t="s">
        <v>1773</v>
      </c>
      <c r="AD100" s="147"/>
      <c r="AE100" s="228"/>
    </row>
    <row r="101" spans="1:32" s="56" customFormat="1" ht="65">
      <c r="A101" s="1119"/>
      <c r="B101" s="957" t="s">
        <v>56</v>
      </c>
      <c r="C101" s="586" t="s">
        <v>1774</v>
      </c>
      <c r="D101" s="973" t="s">
        <v>57</v>
      </c>
      <c r="E101" s="973"/>
      <c r="F101" s="973"/>
      <c r="G101" s="973"/>
      <c r="H101" s="578" t="s">
        <v>58</v>
      </c>
      <c r="I101" s="579" t="s">
        <v>47</v>
      </c>
      <c r="J101" s="1577" t="s">
        <v>1775</v>
      </c>
      <c r="K101" s="579"/>
      <c r="L101" s="580">
        <v>43010</v>
      </c>
      <c r="M101" s="580"/>
      <c r="N101" s="580"/>
      <c r="O101" s="580">
        <v>43009</v>
      </c>
      <c r="P101" s="581">
        <v>1</v>
      </c>
      <c r="Q101" s="581">
        <v>1</v>
      </c>
      <c r="R101" s="582">
        <v>60000</v>
      </c>
      <c r="S101" s="1042" t="s">
        <v>1657</v>
      </c>
      <c r="T101" s="584" t="s">
        <v>38</v>
      </c>
      <c r="U101" s="584"/>
      <c r="V101" s="584"/>
      <c r="W101" s="585" t="s">
        <v>1627</v>
      </c>
      <c r="X101" s="120"/>
      <c r="Y101" s="120"/>
      <c r="Z101" s="120"/>
      <c r="AA101" s="120"/>
      <c r="AB101" s="120"/>
      <c r="AC101" s="120"/>
      <c r="AD101" s="336"/>
      <c r="AE101" s="186"/>
      <c r="AF101"/>
    </row>
    <row r="102" spans="1:32" s="56" customFormat="1" ht="39">
      <c r="A102" s="1119"/>
      <c r="B102" s="957" t="s">
        <v>56</v>
      </c>
      <c r="C102" s="586" t="s">
        <v>1776</v>
      </c>
      <c r="D102" s="973" t="s">
        <v>57</v>
      </c>
      <c r="E102" s="973"/>
      <c r="F102" s="973"/>
      <c r="G102" s="973"/>
      <c r="H102" s="578" t="s">
        <v>58</v>
      </c>
      <c r="I102" s="579" t="s">
        <v>47</v>
      </c>
      <c r="J102" s="1577" t="s">
        <v>1777</v>
      </c>
      <c r="K102" s="579"/>
      <c r="L102" s="580">
        <v>43010</v>
      </c>
      <c r="M102" s="580"/>
      <c r="N102" s="580"/>
      <c r="O102" s="580">
        <v>43009</v>
      </c>
      <c r="P102" s="581">
        <v>1</v>
      </c>
      <c r="Q102" s="581">
        <v>1</v>
      </c>
      <c r="R102" s="582">
        <v>40000</v>
      </c>
      <c r="S102" s="584" t="s">
        <v>1626</v>
      </c>
      <c r="T102" s="584" t="s">
        <v>38</v>
      </c>
      <c r="U102" s="584"/>
      <c r="V102" s="584"/>
      <c r="W102" s="585" t="s">
        <v>1627</v>
      </c>
      <c r="X102" s="120"/>
      <c r="Y102" s="120"/>
      <c r="Z102" s="120"/>
      <c r="AA102" s="186"/>
      <c r="AB102" s="120"/>
      <c r="AC102" s="120"/>
      <c r="AD102" s="336"/>
      <c r="AE102" s="186"/>
      <c r="AF102" s="35"/>
    </row>
    <row r="103" spans="1:32" s="1" customFormat="1" ht="65">
      <c r="A103" s="1119"/>
      <c r="B103" s="957" t="s">
        <v>56</v>
      </c>
      <c r="C103" s="586" t="s">
        <v>1778</v>
      </c>
      <c r="D103" s="973" t="s">
        <v>57</v>
      </c>
      <c r="E103" s="973"/>
      <c r="F103" s="973"/>
      <c r="G103" s="973"/>
      <c r="H103" s="578" t="s">
        <v>58</v>
      </c>
      <c r="I103" s="579" t="s">
        <v>47</v>
      </c>
      <c r="J103" s="1577" t="s">
        <v>1779</v>
      </c>
      <c r="K103" s="579"/>
      <c r="L103" s="580">
        <v>43004</v>
      </c>
      <c r="M103" s="580"/>
      <c r="N103" s="580"/>
      <c r="O103" s="580">
        <v>43010</v>
      </c>
      <c r="P103" s="581">
        <v>3</v>
      </c>
      <c r="Q103" s="1017">
        <v>3</v>
      </c>
      <c r="R103" s="582">
        <v>505000</v>
      </c>
      <c r="S103" s="1042" t="s">
        <v>1780</v>
      </c>
      <c r="T103" s="584" t="s">
        <v>38</v>
      </c>
      <c r="U103" s="584"/>
      <c r="V103" s="584"/>
      <c r="W103" s="585" t="s">
        <v>1627</v>
      </c>
      <c r="X103" s="120"/>
      <c r="Y103" s="120"/>
      <c r="Z103" s="120"/>
      <c r="AA103" s="120"/>
      <c r="AB103" s="120"/>
      <c r="AC103" s="120"/>
      <c r="AD103" s="336"/>
      <c r="AE103" s="186"/>
      <c r="AF103" s="56"/>
    </row>
    <row r="104" spans="1:32" s="1" customFormat="1" ht="39">
      <c r="A104" s="1119"/>
      <c r="B104" s="957" t="s">
        <v>56</v>
      </c>
      <c r="C104" s="586" t="s">
        <v>1781</v>
      </c>
      <c r="D104" s="973" t="s">
        <v>57</v>
      </c>
      <c r="E104" s="973"/>
      <c r="F104" s="973"/>
      <c r="G104" s="973"/>
      <c r="H104" s="578" t="s">
        <v>58</v>
      </c>
      <c r="I104" s="579" t="s">
        <v>47</v>
      </c>
      <c r="J104" s="1577" t="s">
        <v>1782</v>
      </c>
      <c r="K104" s="579"/>
      <c r="L104" s="580">
        <v>42872</v>
      </c>
      <c r="M104" s="580"/>
      <c r="N104" s="580"/>
      <c r="O104" s="580">
        <v>43010</v>
      </c>
      <c r="P104" s="581">
        <v>2</v>
      </c>
      <c r="Q104" s="581">
        <v>2</v>
      </c>
      <c r="R104" s="582">
        <v>25000</v>
      </c>
      <c r="S104" s="1049" t="s">
        <v>1730</v>
      </c>
      <c r="T104" s="584" t="s">
        <v>38</v>
      </c>
      <c r="U104" s="584"/>
      <c r="V104" s="584"/>
      <c r="W104" s="585" t="s">
        <v>1627</v>
      </c>
      <c r="X104" s="120"/>
      <c r="Y104" s="120"/>
      <c r="Z104" s="120"/>
      <c r="AA104" s="120"/>
      <c r="AB104" s="120"/>
      <c r="AC104" s="120"/>
      <c r="AD104" s="336"/>
      <c r="AE104" s="186"/>
      <c r="AF104" s="56"/>
    </row>
    <row r="105" spans="1:32" s="1" customFormat="1" ht="65">
      <c r="A105" s="1119"/>
      <c r="B105" s="957" t="s">
        <v>56</v>
      </c>
      <c r="C105" s="586" t="s">
        <v>1783</v>
      </c>
      <c r="D105" s="973" t="s">
        <v>57</v>
      </c>
      <c r="E105" s="973"/>
      <c r="F105" s="973"/>
      <c r="G105" s="973"/>
      <c r="H105" s="578" t="s">
        <v>58</v>
      </c>
      <c r="I105" s="579" t="s">
        <v>47</v>
      </c>
      <c r="J105" s="1577" t="s">
        <v>1784</v>
      </c>
      <c r="K105" s="579"/>
      <c r="L105" s="580">
        <v>42943</v>
      </c>
      <c r="M105" s="580"/>
      <c r="N105" s="580"/>
      <c r="O105" s="580">
        <v>43017</v>
      </c>
      <c r="P105" s="581">
        <v>2</v>
      </c>
      <c r="Q105" s="581">
        <v>2</v>
      </c>
      <c r="R105" s="582">
        <v>250000</v>
      </c>
      <c r="S105" s="1042" t="s">
        <v>1657</v>
      </c>
      <c r="T105" s="584" t="s">
        <v>38</v>
      </c>
      <c r="U105" s="584"/>
      <c r="V105" s="584"/>
      <c r="W105" s="578"/>
      <c r="X105" s="120"/>
      <c r="Y105" s="120"/>
      <c r="Z105" s="120"/>
      <c r="AA105" s="120"/>
      <c r="AB105" s="120"/>
      <c r="AC105" s="120"/>
      <c r="AD105" s="336"/>
      <c r="AE105" s="186"/>
      <c r="AF105" s="56"/>
    </row>
    <row r="106" spans="1:32" s="56" customFormat="1" ht="39">
      <c r="A106" s="1119"/>
      <c r="B106" s="957" t="s">
        <v>56</v>
      </c>
      <c r="C106" s="586" t="s">
        <v>1785</v>
      </c>
      <c r="D106" s="973" t="s">
        <v>57</v>
      </c>
      <c r="E106" s="973"/>
      <c r="F106" s="973"/>
      <c r="G106" s="973"/>
      <c r="H106" s="578" t="s">
        <v>58</v>
      </c>
      <c r="I106" s="579" t="s">
        <v>47</v>
      </c>
      <c r="J106" s="1577" t="s">
        <v>1786</v>
      </c>
      <c r="K106" s="579"/>
      <c r="L106" s="580">
        <v>42872</v>
      </c>
      <c r="M106" s="580"/>
      <c r="N106" s="580"/>
      <c r="O106" s="580">
        <v>43017</v>
      </c>
      <c r="P106" s="581">
        <v>1</v>
      </c>
      <c r="Q106" s="581">
        <v>1</v>
      </c>
      <c r="R106" s="582">
        <v>20000</v>
      </c>
      <c r="S106" s="1049" t="s">
        <v>1730</v>
      </c>
      <c r="T106" s="584" t="s">
        <v>38</v>
      </c>
      <c r="U106" s="584"/>
      <c r="V106" s="584"/>
      <c r="W106" s="585" t="s">
        <v>1627</v>
      </c>
      <c r="X106" s="120"/>
      <c r="Y106" s="120"/>
      <c r="Z106" s="120"/>
      <c r="AA106" s="120"/>
      <c r="AB106" s="120"/>
      <c r="AC106" s="120"/>
      <c r="AD106" s="336"/>
      <c r="AE106" s="186"/>
      <c r="AF106"/>
    </row>
    <row r="107" spans="1:32" ht="65">
      <c r="A107" s="1119"/>
      <c r="B107" s="957" t="s">
        <v>56</v>
      </c>
      <c r="C107" s="586" t="s">
        <v>1787</v>
      </c>
      <c r="D107" s="973" t="s">
        <v>57</v>
      </c>
      <c r="E107" s="973"/>
      <c r="F107" s="973"/>
      <c r="G107" s="973"/>
      <c r="H107" s="578" t="s">
        <v>58</v>
      </c>
      <c r="I107" s="579" t="s">
        <v>47</v>
      </c>
      <c r="J107" s="1577" t="s">
        <v>1788</v>
      </c>
      <c r="K107" s="579"/>
      <c r="L107" s="580">
        <v>42954</v>
      </c>
      <c r="M107" s="580"/>
      <c r="N107" s="580"/>
      <c r="O107" s="580">
        <v>43017</v>
      </c>
      <c r="P107" s="581">
        <v>2</v>
      </c>
      <c r="Q107" s="1017">
        <v>2</v>
      </c>
      <c r="R107" s="582">
        <v>200000</v>
      </c>
      <c r="S107" s="1042" t="s">
        <v>1657</v>
      </c>
      <c r="T107" s="584" t="s">
        <v>38</v>
      </c>
      <c r="U107" s="584"/>
      <c r="V107" s="584"/>
      <c r="W107" s="585" t="s">
        <v>1627</v>
      </c>
      <c r="X107" s="120"/>
      <c r="Y107" s="120"/>
      <c r="Z107" s="120"/>
      <c r="AA107" s="120"/>
      <c r="AB107" s="120"/>
      <c r="AC107" s="120"/>
      <c r="AD107" s="336"/>
      <c r="AE107" s="186"/>
      <c r="AF107" s="56"/>
    </row>
    <row r="108" spans="1:32" ht="65">
      <c r="A108" s="1119"/>
      <c r="B108" s="957" t="s">
        <v>56</v>
      </c>
      <c r="C108" s="586" t="s">
        <v>1789</v>
      </c>
      <c r="D108" s="973" t="s">
        <v>57</v>
      </c>
      <c r="E108" s="973"/>
      <c r="F108" s="973"/>
      <c r="G108" s="973"/>
      <c r="H108" s="578" t="s">
        <v>58</v>
      </c>
      <c r="I108" s="579" t="s">
        <v>47</v>
      </c>
      <c r="J108" s="1577" t="s">
        <v>1790</v>
      </c>
      <c r="K108" s="579"/>
      <c r="L108" s="580">
        <v>42996</v>
      </c>
      <c r="M108" s="580"/>
      <c r="N108" s="580"/>
      <c r="O108" s="580">
        <v>43021</v>
      </c>
      <c r="P108" s="581">
        <v>0</v>
      </c>
      <c r="Q108" s="1017">
        <v>0</v>
      </c>
      <c r="R108" s="588">
        <v>10000</v>
      </c>
      <c r="S108" s="1042" t="s">
        <v>1780</v>
      </c>
      <c r="T108" s="584" t="s">
        <v>38</v>
      </c>
      <c r="U108" s="584"/>
      <c r="V108" s="584"/>
      <c r="W108" s="585" t="s">
        <v>1627</v>
      </c>
      <c r="X108" s="120"/>
      <c r="Y108" s="120"/>
      <c r="Z108" s="120"/>
      <c r="AA108" s="120"/>
      <c r="AB108" s="120"/>
      <c r="AC108" s="120"/>
      <c r="AD108" s="336"/>
      <c r="AE108" s="186"/>
      <c r="AF108" s="56"/>
    </row>
    <row r="109" spans="1:32" s="56" customFormat="1" ht="65.25" customHeight="1">
      <c r="A109" s="1119"/>
      <c r="B109" s="957" t="s">
        <v>56</v>
      </c>
      <c r="C109" s="586" t="s">
        <v>1791</v>
      </c>
      <c r="D109" s="578" t="s">
        <v>57</v>
      </c>
      <c r="E109" s="578"/>
      <c r="F109" s="578"/>
      <c r="G109" s="578"/>
      <c r="H109" s="578" t="s">
        <v>58</v>
      </c>
      <c r="I109" s="579" t="s">
        <v>47</v>
      </c>
      <c r="J109" s="1577" t="s">
        <v>1792</v>
      </c>
      <c r="K109" s="579"/>
      <c r="L109" s="580">
        <v>42964</v>
      </c>
      <c r="M109" s="580"/>
      <c r="N109" s="580"/>
      <c r="O109" s="580">
        <v>43024</v>
      </c>
      <c r="P109" s="581">
        <v>2</v>
      </c>
      <c r="Q109" s="1017">
        <v>2</v>
      </c>
      <c r="R109" s="582">
        <v>450000</v>
      </c>
      <c r="S109" s="1042" t="s">
        <v>1657</v>
      </c>
      <c r="T109" s="584" t="s">
        <v>38</v>
      </c>
      <c r="U109" s="584"/>
      <c r="V109" s="584"/>
      <c r="W109" s="585" t="s">
        <v>1627</v>
      </c>
      <c r="X109" s="120"/>
      <c r="Y109" s="120"/>
      <c r="Z109" s="120"/>
      <c r="AA109" s="120"/>
      <c r="AB109" s="120"/>
      <c r="AC109" s="120"/>
      <c r="AD109" s="336"/>
      <c r="AE109" s="186"/>
      <c r="AF109" s="1"/>
    </row>
    <row r="110" spans="1:32" s="56" customFormat="1" ht="43.5">
      <c r="A110" s="1119"/>
      <c r="B110" s="1" t="s">
        <v>44</v>
      </c>
      <c r="C110" s="4"/>
      <c r="D110" s="147" t="s">
        <v>32</v>
      </c>
      <c r="E110" s="147"/>
      <c r="F110" s="147"/>
      <c r="G110" s="147"/>
      <c r="H110" s="5" t="s">
        <v>33</v>
      </c>
      <c r="I110" s="8" t="s">
        <v>34</v>
      </c>
      <c r="J110" s="16" t="s">
        <v>1793</v>
      </c>
      <c r="K110" s="16"/>
      <c r="L110" s="16"/>
      <c r="M110" s="182">
        <v>42736</v>
      </c>
      <c r="N110" s="182"/>
      <c r="O110" s="182">
        <v>43028</v>
      </c>
      <c r="P110" s="12">
        <v>120</v>
      </c>
      <c r="Q110" s="25" t="s">
        <v>1794</v>
      </c>
      <c r="R110" s="18">
        <v>184465</v>
      </c>
      <c r="S110" s="5" t="s">
        <v>91</v>
      </c>
      <c r="T110" s="12" t="s">
        <v>38</v>
      </c>
      <c r="U110" s="4"/>
      <c r="V110" s="4"/>
      <c r="W110" s="5" t="s">
        <v>1667</v>
      </c>
      <c r="X110" s="12" t="s">
        <v>1795</v>
      </c>
      <c r="Y110" s="5" t="s">
        <v>40</v>
      </c>
      <c r="Z110" s="5"/>
      <c r="AA110" s="5"/>
      <c r="AB110" s="12"/>
      <c r="AC110" s="8" t="s">
        <v>1796</v>
      </c>
      <c r="AD110" s="147"/>
      <c r="AE110" s="228"/>
      <c r="AF110"/>
    </row>
    <row r="111" spans="1:32" s="56" customFormat="1" ht="159.5">
      <c r="A111" s="1119"/>
      <c r="B111" s="1" t="s">
        <v>44</v>
      </c>
      <c r="C111" s="4"/>
      <c r="D111" s="118" t="s">
        <v>32</v>
      </c>
      <c r="E111" s="118"/>
      <c r="F111" s="118"/>
      <c r="G111" s="118"/>
      <c r="H111" s="5" t="s">
        <v>33</v>
      </c>
      <c r="I111" s="5" t="s">
        <v>47</v>
      </c>
      <c r="J111" s="16" t="s">
        <v>1797</v>
      </c>
      <c r="K111" s="16"/>
      <c r="L111" s="16"/>
      <c r="M111" s="182">
        <v>42736</v>
      </c>
      <c r="N111" s="182"/>
      <c r="O111" s="182">
        <v>43029</v>
      </c>
      <c r="P111" s="12">
        <v>12</v>
      </c>
      <c r="Q111" s="5">
        <v>12</v>
      </c>
      <c r="R111" s="18">
        <v>21962.19</v>
      </c>
      <c r="S111" s="5" t="s">
        <v>1639</v>
      </c>
      <c r="T111" s="12" t="s">
        <v>612</v>
      </c>
      <c r="U111" s="4"/>
      <c r="V111" s="4"/>
      <c r="W111" s="5" t="s">
        <v>383</v>
      </c>
      <c r="X111" s="5" t="s">
        <v>543</v>
      </c>
      <c r="Y111" s="5" t="s">
        <v>40</v>
      </c>
      <c r="Z111" s="5"/>
      <c r="AA111" s="5"/>
      <c r="AB111" s="7"/>
      <c r="AC111" s="8" t="s">
        <v>1798</v>
      </c>
      <c r="AD111" s="147"/>
      <c r="AE111" s="228">
        <v>11143.38</v>
      </c>
      <c r="AF111" s="3"/>
    </row>
    <row r="112" spans="1:32" ht="39">
      <c r="A112" s="1119"/>
      <c r="B112" s="957" t="s">
        <v>56</v>
      </c>
      <c r="C112" s="586" t="s">
        <v>1799</v>
      </c>
      <c r="D112" s="973" t="s">
        <v>57</v>
      </c>
      <c r="E112" s="973"/>
      <c r="F112" s="973"/>
      <c r="G112" s="973"/>
      <c r="H112" s="578" t="s">
        <v>58</v>
      </c>
      <c r="I112" s="579" t="s">
        <v>47</v>
      </c>
      <c r="J112" s="1577" t="s">
        <v>1800</v>
      </c>
      <c r="K112" s="579"/>
      <c r="L112" s="580">
        <v>42968</v>
      </c>
      <c r="M112" s="580"/>
      <c r="N112" s="580"/>
      <c r="O112" s="580">
        <v>43035</v>
      </c>
      <c r="P112" s="581">
        <v>0</v>
      </c>
      <c r="Q112" s="581">
        <v>0</v>
      </c>
      <c r="R112" s="582">
        <v>20000</v>
      </c>
      <c r="S112" s="584" t="s">
        <v>1730</v>
      </c>
      <c r="T112" s="584" t="s">
        <v>38</v>
      </c>
      <c r="U112" s="584"/>
      <c r="V112" s="584"/>
      <c r="W112" s="585" t="s">
        <v>1627</v>
      </c>
      <c r="X112" s="120"/>
      <c r="Y112" s="120"/>
      <c r="Z112" s="120"/>
      <c r="AA112" s="120"/>
      <c r="AB112" s="120"/>
      <c r="AC112" s="120"/>
      <c r="AD112" s="336"/>
      <c r="AE112" s="186"/>
    </row>
    <row r="113" spans="1:32" ht="65">
      <c r="A113" s="1119"/>
      <c r="B113" s="957" t="s">
        <v>56</v>
      </c>
      <c r="C113" s="577" t="s">
        <v>1801</v>
      </c>
      <c r="D113" s="973" t="s">
        <v>32</v>
      </c>
      <c r="E113" s="973"/>
      <c r="F113" s="973"/>
      <c r="G113" s="973"/>
      <c r="H113" s="578" t="s">
        <v>308</v>
      </c>
      <c r="I113" s="579" t="s">
        <v>47</v>
      </c>
      <c r="J113" s="1577" t="s">
        <v>1802</v>
      </c>
      <c r="K113" s="579"/>
      <c r="L113" s="580">
        <v>43014</v>
      </c>
      <c r="M113" s="580"/>
      <c r="N113" s="580"/>
      <c r="O113" s="580">
        <v>43039</v>
      </c>
      <c r="P113" s="581">
        <v>1</v>
      </c>
      <c r="Q113" s="581">
        <v>1</v>
      </c>
      <c r="R113" s="582">
        <v>100000</v>
      </c>
      <c r="S113" s="583" t="s">
        <v>1803</v>
      </c>
      <c r="T113" s="584" t="s">
        <v>612</v>
      </c>
      <c r="U113" s="584"/>
      <c r="V113" s="584"/>
      <c r="W113" s="585" t="s">
        <v>1804</v>
      </c>
      <c r="X113" s="120"/>
      <c r="Y113" s="120"/>
      <c r="Z113" s="120"/>
      <c r="AA113" s="120"/>
      <c r="AB113" s="120"/>
      <c r="AC113" s="120"/>
      <c r="AD113" s="336"/>
      <c r="AE113" s="186"/>
    </row>
    <row r="114" spans="1:32" s="1" customFormat="1" ht="58">
      <c r="A114" s="1119"/>
      <c r="B114" s="1" t="s">
        <v>44</v>
      </c>
      <c r="C114" s="2757"/>
      <c r="D114" s="147" t="s">
        <v>32</v>
      </c>
      <c r="E114" s="147"/>
      <c r="F114" s="147"/>
      <c r="G114" s="147"/>
      <c r="H114" s="5" t="s">
        <v>33</v>
      </c>
      <c r="I114" s="8" t="s">
        <v>47</v>
      </c>
      <c r="J114" s="16" t="s">
        <v>1805</v>
      </c>
      <c r="K114" s="8"/>
      <c r="L114" s="8"/>
      <c r="M114" s="14">
        <v>42795</v>
      </c>
      <c r="N114" s="14"/>
      <c r="O114" s="14">
        <v>43040</v>
      </c>
      <c r="P114" s="12">
        <v>12</v>
      </c>
      <c r="Q114" s="5">
        <v>12</v>
      </c>
      <c r="R114" s="82">
        <v>3500</v>
      </c>
      <c r="S114" s="5" t="s">
        <v>1660</v>
      </c>
      <c r="T114" s="14" t="s">
        <v>38</v>
      </c>
      <c r="U114" s="2757"/>
      <c r="V114" s="2757"/>
      <c r="W114" s="5" t="s">
        <v>1806</v>
      </c>
      <c r="X114" s="5" t="s">
        <v>1613</v>
      </c>
      <c r="Y114" s="5" t="s">
        <v>40</v>
      </c>
      <c r="Z114" s="5"/>
      <c r="AA114" s="26"/>
      <c r="AB114" s="13"/>
      <c r="AC114" s="8" t="s">
        <v>1807</v>
      </c>
      <c r="AD114" s="147"/>
      <c r="AE114" s="26"/>
      <c r="AF114" s="56"/>
    </row>
    <row r="115" spans="1:32" s="1" customFormat="1" ht="43.5">
      <c r="A115" s="1189"/>
      <c r="B115" s="1" t="s">
        <v>44</v>
      </c>
      <c r="C115" s="2757"/>
      <c r="D115" s="147" t="s">
        <v>32</v>
      </c>
      <c r="E115" s="147"/>
      <c r="F115" s="147"/>
      <c r="G115" s="147"/>
      <c r="H115" s="5" t="s">
        <v>502</v>
      </c>
      <c r="I115" s="10" t="s">
        <v>34</v>
      </c>
      <c r="J115" s="16" t="s">
        <v>507</v>
      </c>
      <c r="K115" s="8"/>
      <c r="L115" s="8"/>
      <c r="M115" s="182">
        <v>42887</v>
      </c>
      <c r="N115" s="182"/>
      <c r="O115" s="182">
        <v>43040</v>
      </c>
      <c r="P115" s="12">
        <v>48</v>
      </c>
      <c r="Q115" s="7" t="s">
        <v>1808</v>
      </c>
      <c r="R115" s="18">
        <v>500000</v>
      </c>
      <c r="S115" s="5" t="s">
        <v>1691</v>
      </c>
      <c r="T115" s="12" t="s">
        <v>38</v>
      </c>
      <c r="U115" s="2757"/>
      <c r="V115" s="2757"/>
      <c r="W115" s="5" t="s">
        <v>509</v>
      </c>
      <c r="X115" s="12" t="s">
        <v>54</v>
      </c>
      <c r="Y115" s="5" t="s">
        <v>40</v>
      </c>
      <c r="Z115" s="5"/>
      <c r="AA115" s="5"/>
      <c r="AB115" s="5"/>
      <c r="AC115" s="8" t="s">
        <v>1809</v>
      </c>
      <c r="AD115" s="147"/>
      <c r="AE115" s="227"/>
      <c r="AF115" s="56"/>
    </row>
    <row r="116" spans="1:32" s="1" customFormat="1" ht="58">
      <c r="A116" s="498"/>
      <c r="B116" s="1" t="s">
        <v>44</v>
      </c>
      <c r="C116" s="2757"/>
      <c r="D116" s="4" t="s">
        <v>32</v>
      </c>
      <c r="E116" s="4"/>
      <c r="F116" s="4"/>
      <c r="G116" s="4"/>
      <c r="H116" s="5" t="s">
        <v>1810</v>
      </c>
      <c r="I116" s="8" t="s">
        <v>47</v>
      </c>
      <c r="J116" s="16" t="s">
        <v>1811</v>
      </c>
      <c r="K116" s="16"/>
      <c r="L116" s="16"/>
      <c r="M116" s="199">
        <v>42917</v>
      </c>
      <c r="N116" s="199"/>
      <c r="O116" s="182">
        <v>43040</v>
      </c>
      <c r="P116" s="12">
        <v>36</v>
      </c>
      <c r="Q116" s="152" t="s">
        <v>215</v>
      </c>
      <c r="R116" s="18">
        <v>80000</v>
      </c>
      <c r="S116" s="12" t="s">
        <v>176</v>
      </c>
      <c r="T116" s="11" t="s">
        <v>38</v>
      </c>
      <c r="U116" s="2757"/>
      <c r="V116" s="2757"/>
      <c r="W116" s="5" t="s">
        <v>1766</v>
      </c>
      <c r="X116" s="12" t="s">
        <v>1633</v>
      </c>
      <c r="Y116" s="5" t="s">
        <v>40</v>
      </c>
      <c r="Z116" s="5"/>
      <c r="AA116" s="5"/>
      <c r="AB116" s="4"/>
      <c r="AC116" s="8" t="s">
        <v>1812</v>
      </c>
      <c r="AD116" s="147"/>
      <c r="AE116" s="227">
        <v>120000</v>
      </c>
      <c r="AF116" s="56"/>
    </row>
    <row r="117" spans="1:32" ht="43.5">
      <c r="A117" s="498"/>
      <c r="B117" s="1" t="s">
        <v>44</v>
      </c>
      <c r="C117" s="2757"/>
      <c r="D117" s="147" t="s">
        <v>57</v>
      </c>
      <c r="E117" s="147"/>
      <c r="F117" s="147"/>
      <c r="G117" s="147"/>
      <c r="H117" s="5" t="s">
        <v>496</v>
      </c>
      <c r="I117" s="8" t="s">
        <v>47</v>
      </c>
      <c r="J117" s="16" t="s">
        <v>1813</v>
      </c>
      <c r="K117" s="16"/>
      <c r="L117" s="16"/>
      <c r="M117" s="182">
        <v>42927</v>
      </c>
      <c r="N117" s="182"/>
      <c r="O117" s="182">
        <v>43040</v>
      </c>
      <c r="P117" s="12">
        <v>36</v>
      </c>
      <c r="Q117" s="25"/>
      <c r="R117" s="18">
        <v>21300</v>
      </c>
      <c r="S117" s="31" t="s">
        <v>1763</v>
      </c>
      <c r="T117" s="12" t="s">
        <v>612</v>
      </c>
      <c r="U117" s="2757"/>
      <c r="V117" s="2757"/>
      <c r="W117" s="5" t="s">
        <v>798</v>
      </c>
      <c r="X117" s="12" t="s">
        <v>1674</v>
      </c>
      <c r="Y117" s="5" t="s">
        <v>40</v>
      </c>
      <c r="Z117" s="5"/>
      <c r="AA117" s="5"/>
      <c r="AB117" s="12"/>
      <c r="AC117" s="8" t="s">
        <v>1814</v>
      </c>
      <c r="AD117" s="2792"/>
      <c r="AE117" s="228"/>
      <c r="AF117" s="56"/>
    </row>
    <row r="118" spans="1:32" s="295" customFormat="1" ht="43.5">
      <c r="A118" s="1119"/>
      <c r="B118" s="1" t="s">
        <v>44</v>
      </c>
      <c r="C118" s="2757"/>
      <c r="D118" s="147" t="s">
        <v>57</v>
      </c>
      <c r="E118" s="147"/>
      <c r="F118" s="147"/>
      <c r="G118" s="147"/>
      <c r="H118" s="5"/>
      <c r="I118" s="8" t="s">
        <v>47</v>
      </c>
      <c r="J118" s="16" t="s">
        <v>1815</v>
      </c>
      <c r="K118" s="16"/>
      <c r="L118" s="16"/>
      <c r="M118" s="182">
        <v>43040</v>
      </c>
      <c r="N118" s="182"/>
      <c r="O118" s="182">
        <v>43040</v>
      </c>
      <c r="P118" s="182" t="s">
        <v>45</v>
      </c>
      <c r="Q118" s="182" t="s">
        <v>45</v>
      </c>
      <c r="R118" s="182" t="s">
        <v>45</v>
      </c>
      <c r="S118" s="16" t="s">
        <v>1816</v>
      </c>
      <c r="T118" s="12" t="s">
        <v>612</v>
      </c>
      <c r="U118" s="2757"/>
      <c r="V118" s="2757"/>
      <c r="W118" s="5" t="s">
        <v>1817</v>
      </c>
      <c r="X118" s="12" t="s">
        <v>715</v>
      </c>
      <c r="Y118" s="5" t="s">
        <v>40</v>
      </c>
      <c r="Z118" s="5"/>
      <c r="AA118" s="5"/>
      <c r="AB118" s="12"/>
      <c r="AC118" s="8" t="s">
        <v>1818</v>
      </c>
      <c r="AD118" s="2792"/>
      <c r="AE118" s="228"/>
      <c r="AF118" s="1"/>
    </row>
    <row r="119" spans="1:32" ht="65">
      <c r="A119" s="1119"/>
      <c r="B119" s="957" t="s">
        <v>56</v>
      </c>
      <c r="C119" s="586" t="s">
        <v>1819</v>
      </c>
      <c r="D119" s="973" t="s">
        <v>57</v>
      </c>
      <c r="E119" s="973"/>
      <c r="F119" s="973"/>
      <c r="G119" s="973"/>
      <c r="H119" s="578" t="s">
        <v>58</v>
      </c>
      <c r="I119" s="579" t="s">
        <v>47</v>
      </c>
      <c r="J119" s="1577" t="s">
        <v>1820</v>
      </c>
      <c r="K119" s="579"/>
      <c r="L119" s="580">
        <v>43019</v>
      </c>
      <c r="M119" s="580"/>
      <c r="N119" s="580"/>
      <c r="O119" s="580">
        <v>43059</v>
      </c>
      <c r="P119" s="581">
        <v>0.25</v>
      </c>
      <c r="Q119" s="581">
        <v>0.25</v>
      </c>
      <c r="R119" s="582">
        <v>15000</v>
      </c>
      <c r="S119" s="1042" t="s">
        <v>1780</v>
      </c>
      <c r="T119" s="584" t="s">
        <v>38</v>
      </c>
      <c r="U119" s="584"/>
      <c r="V119" s="584"/>
      <c r="W119" s="585" t="s">
        <v>1627</v>
      </c>
      <c r="X119" s="120"/>
      <c r="Y119" s="120"/>
      <c r="Z119" s="120"/>
      <c r="AA119" s="120"/>
      <c r="AB119" s="120"/>
      <c r="AC119" s="120"/>
      <c r="AD119" s="336"/>
      <c r="AE119" s="186"/>
      <c r="AF119" s="1"/>
    </row>
    <row r="120" spans="1:32" ht="29">
      <c r="A120" s="498"/>
      <c r="B120" s="1" t="s">
        <v>44</v>
      </c>
      <c r="C120" s="4"/>
      <c r="D120" s="147" t="s">
        <v>32</v>
      </c>
      <c r="E120" s="147"/>
      <c r="F120" s="147"/>
      <c r="G120" s="147"/>
      <c r="H120" s="5" t="s">
        <v>33</v>
      </c>
      <c r="I120" s="8" t="s">
        <v>47</v>
      </c>
      <c r="J120" s="16" t="s">
        <v>1821</v>
      </c>
      <c r="K120" s="8"/>
      <c r="L120" s="8"/>
      <c r="M120" s="199">
        <v>43046</v>
      </c>
      <c r="N120" s="199"/>
      <c r="O120" s="199">
        <v>43065</v>
      </c>
      <c r="P120" s="5">
        <v>12</v>
      </c>
      <c r="Q120" s="25" t="s">
        <v>50</v>
      </c>
      <c r="R120" s="18">
        <v>5000</v>
      </c>
      <c r="S120" s="5" t="s">
        <v>1639</v>
      </c>
      <c r="T120" s="11" t="s">
        <v>38</v>
      </c>
      <c r="U120" s="4"/>
      <c r="V120" s="4"/>
      <c r="W120" s="5" t="s">
        <v>598</v>
      </c>
      <c r="X120" s="5" t="s">
        <v>54</v>
      </c>
      <c r="Y120" s="5" t="s">
        <v>40</v>
      </c>
      <c r="Z120" s="5"/>
      <c r="AA120" s="5"/>
      <c r="AB120" s="5"/>
      <c r="AC120" s="8" t="s">
        <v>89</v>
      </c>
      <c r="AD120" s="147"/>
      <c r="AE120" s="227">
        <v>5000</v>
      </c>
      <c r="AF120" s="1"/>
    </row>
    <row r="121" spans="1:32" s="56" customFormat="1" ht="43.5">
      <c r="A121" s="1184"/>
      <c r="B121" s="1" t="s">
        <v>44</v>
      </c>
      <c r="C121" s="2757"/>
      <c r="D121" s="147" t="s">
        <v>32</v>
      </c>
      <c r="E121" s="147"/>
      <c r="F121" s="147"/>
      <c r="G121" s="147"/>
      <c r="H121" s="5" t="s">
        <v>33</v>
      </c>
      <c r="I121" s="8" t="s">
        <v>47</v>
      </c>
      <c r="J121" s="16" t="s">
        <v>1822</v>
      </c>
      <c r="K121" s="16"/>
      <c r="L121" s="16"/>
      <c r="M121" s="182">
        <v>42755</v>
      </c>
      <c r="N121" s="182"/>
      <c r="O121" s="182">
        <v>43070</v>
      </c>
      <c r="P121" s="12">
        <v>48</v>
      </c>
      <c r="Q121" s="12" t="s">
        <v>215</v>
      </c>
      <c r="R121" s="81">
        <v>800000</v>
      </c>
      <c r="S121" s="31" t="s">
        <v>1691</v>
      </c>
      <c r="T121" s="12" t="s">
        <v>38</v>
      </c>
      <c r="U121" s="2757"/>
      <c r="V121" s="2757"/>
      <c r="W121" s="12" t="s">
        <v>1823</v>
      </c>
      <c r="X121" s="12"/>
      <c r="Y121" s="5" t="s">
        <v>40</v>
      </c>
      <c r="Z121" s="5"/>
      <c r="AA121" s="5"/>
      <c r="AB121" s="13"/>
      <c r="AC121" s="8" t="s">
        <v>1824</v>
      </c>
      <c r="AD121" s="147"/>
      <c r="AE121" s="228">
        <v>200000</v>
      </c>
    </row>
    <row r="122" spans="1:32" s="1" customFormat="1" ht="29">
      <c r="A122" s="498"/>
      <c r="B122" s="1" t="s">
        <v>44</v>
      </c>
      <c r="C122" s="4"/>
      <c r="D122" s="147" t="s">
        <v>32</v>
      </c>
      <c r="E122" s="147"/>
      <c r="F122" s="147"/>
      <c r="G122" s="147"/>
      <c r="H122" s="5" t="s">
        <v>502</v>
      </c>
      <c r="I122" s="8" t="s">
        <v>47</v>
      </c>
      <c r="J122" s="16" t="s">
        <v>1825</v>
      </c>
      <c r="K122" s="16"/>
      <c r="L122" s="16"/>
      <c r="M122" s="199">
        <v>42826</v>
      </c>
      <c r="N122" s="199"/>
      <c r="O122" s="182">
        <v>43070</v>
      </c>
      <c r="P122" s="12">
        <v>48</v>
      </c>
      <c r="Q122" s="152" t="s">
        <v>258</v>
      </c>
      <c r="R122" s="18">
        <v>182000</v>
      </c>
      <c r="S122" s="20" t="s">
        <v>1826</v>
      </c>
      <c r="T122" s="11" t="s">
        <v>38</v>
      </c>
      <c r="U122" s="4"/>
      <c r="V122" s="4"/>
      <c r="W122" s="5" t="s">
        <v>517</v>
      </c>
      <c r="X122" s="12" t="s">
        <v>1633</v>
      </c>
      <c r="Y122" s="5" t="s">
        <v>40</v>
      </c>
      <c r="Z122" s="5"/>
      <c r="AA122" s="5"/>
      <c r="AB122" s="4"/>
      <c r="AC122" s="8" t="s">
        <v>1827</v>
      </c>
      <c r="AD122" s="147"/>
      <c r="AE122" s="227"/>
      <c r="AF122"/>
    </row>
    <row r="123" spans="1:32" s="56" customFormat="1" ht="43.5">
      <c r="A123" s="498"/>
      <c r="B123" s="1" t="s">
        <v>44</v>
      </c>
      <c r="C123" s="4"/>
      <c r="D123" s="147" t="s">
        <v>32</v>
      </c>
      <c r="E123" s="147"/>
      <c r="F123" s="147"/>
      <c r="G123" s="147"/>
      <c r="H123" s="5" t="s">
        <v>1828</v>
      </c>
      <c r="I123" s="8" t="s">
        <v>34</v>
      </c>
      <c r="J123" s="16" t="s">
        <v>1074</v>
      </c>
      <c r="K123" s="8"/>
      <c r="L123" s="8"/>
      <c r="M123" s="199">
        <v>42979</v>
      </c>
      <c r="N123" s="199"/>
      <c r="O123" s="199">
        <v>43070</v>
      </c>
      <c r="P123" s="5">
        <v>12</v>
      </c>
      <c r="Q123" s="26">
        <v>12</v>
      </c>
      <c r="R123" s="18">
        <v>50000</v>
      </c>
      <c r="S123" s="5" t="s">
        <v>34</v>
      </c>
      <c r="T123" s="11" t="s">
        <v>38</v>
      </c>
      <c r="U123" s="4"/>
      <c r="V123" s="4"/>
      <c r="W123" s="5" t="s">
        <v>1829</v>
      </c>
      <c r="X123" s="12" t="s">
        <v>283</v>
      </c>
      <c r="Y123" s="5" t="s">
        <v>40</v>
      </c>
      <c r="Z123" s="5"/>
      <c r="AA123" s="5"/>
      <c r="AB123" s="5"/>
      <c r="AC123" s="8" t="s">
        <v>1830</v>
      </c>
      <c r="AD123" s="147"/>
      <c r="AE123" s="227"/>
      <c r="AF123"/>
    </row>
    <row r="124" spans="1:32" s="1" customFormat="1" ht="43.5">
      <c r="A124" s="498"/>
      <c r="B124" s="1" t="s">
        <v>44</v>
      </c>
      <c r="C124" s="4"/>
      <c r="D124" s="147" t="s">
        <v>57</v>
      </c>
      <c r="E124" s="147"/>
      <c r="F124" s="147"/>
      <c r="G124" s="147"/>
      <c r="H124" s="5" t="s">
        <v>496</v>
      </c>
      <c r="I124" s="8" t="s">
        <v>1643</v>
      </c>
      <c r="J124" s="16" t="s">
        <v>1831</v>
      </c>
      <c r="K124" s="16"/>
      <c r="L124" s="16"/>
      <c r="M124" s="14">
        <v>42979</v>
      </c>
      <c r="N124" s="14"/>
      <c r="O124" s="14">
        <v>43070</v>
      </c>
      <c r="P124" s="12">
        <v>13</v>
      </c>
      <c r="Q124" s="26">
        <v>13</v>
      </c>
      <c r="R124" s="18">
        <v>33000</v>
      </c>
      <c r="S124" s="31" t="s">
        <v>34</v>
      </c>
      <c r="T124" s="14" t="s">
        <v>38</v>
      </c>
      <c r="U124" s="4"/>
      <c r="V124" s="4"/>
      <c r="W124" s="5" t="s">
        <v>798</v>
      </c>
      <c r="X124" s="12" t="s">
        <v>1674</v>
      </c>
      <c r="Y124" s="73" t="s">
        <v>40</v>
      </c>
      <c r="Z124" s="5"/>
      <c r="AA124" s="5"/>
      <c r="AB124" s="5"/>
      <c r="AC124" s="8" t="s">
        <v>1832</v>
      </c>
      <c r="AD124" s="2792"/>
      <c r="AE124" s="229" t="s">
        <v>589</v>
      </c>
      <c r="AF124" s="56"/>
    </row>
    <row r="125" spans="1:32" s="56" customFormat="1" ht="29">
      <c r="A125" s="1119"/>
      <c r="B125" s="1" t="s">
        <v>44</v>
      </c>
      <c r="C125" s="4"/>
      <c r="D125" s="147" t="s">
        <v>32</v>
      </c>
      <c r="E125" s="147"/>
      <c r="F125" s="147"/>
      <c r="G125" s="147"/>
      <c r="H125" s="12" t="s">
        <v>33</v>
      </c>
      <c r="I125" s="10" t="s">
        <v>47</v>
      </c>
      <c r="J125" s="16" t="s">
        <v>1833</v>
      </c>
      <c r="K125" s="16"/>
      <c r="L125" s="16"/>
      <c r="M125" s="182">
        <v>43043</v>
      </c>
      <c r="N125" s="182"/>
      <c r="O125" s="182">
        <v>43070</v>
      </c>
      <c r="P125" s="12">
        <v>24</v>
      </c>
      <c r="Q125" s="25" t="s">
        <v>391</v>
      </c>
      <c r="R125" s="18">
        <v>5400</v>
      </c>
      <c r="S125" s="5" t="s">
        <v>84</v>
      </c>
      <c r="T125" s="12" t="s">
        <v>38</v>
      </c>
      <c r="U125" s="4"/>
      <c r="V125" s="4"/>
      <c r="W125" s="12" t="s">
        <v>598</v>
      </c>
      <c r="X125" s="12" t="s">
        <v>54</v>
      </c>
      <c r="Y125" s="5" t="s">
        <v>40</v>
      </c>
      <c r="Z125" s="5"/>
      <c r="AA125" s="5"/>
      <c r="AB125" s="12"/>
      <c r="AC125" s="8" t="s">
        <v>1834</v>
      </c>
      <c r="AD125" s="147"/>
      <c r="AE125" s="228">
        <v>2700</v>
      </c>
    </row>
    <row r="126" spans="1:32" s="56" customFormat="1" ht="37.5">
      <c r="A126" s="1119"/>
      <c r="B126" s="957" t="s">
        <v>56</v>
      </c>
      <c r="C126" s="510"/>
      <c r="D126" s="611" t="s">
        <v>57</v>
      </c>
      <c r="E126" s="611"/>
      <c r="F126" s="611"/>
      <c r="G126" s="611"/>
      <c r="H126" s="511" t="s">
        <v>58</v>
      </c>
      <c r="I126" s="519" t="s">
        <v>47</v>
      </c>
      <c r="J126" s="1578" t="s">
        <v>1835</v>
      </c>
      <c r="K126" s="512"/>
      <c r="L126" s="597" t="s">
        <v>251</v>
      </c>
      <c r="M126" s="597"/>
      <c r="N126" s="597"/>
      <c r="O126" s="597">
        <v>43070</v>
      </c>
      <c r="P126" s="536">
        <v>8</v>
      </c>
      <c r="Q126" s="1013">
        <v>8</v>
      </c>
      <c r="R126" s="607">
        <v>3500000</v>
      </c>
      <c r="S126" s="1043" t="s">
        <v>91</v>
      </c>
      <c r="T126" s="515" t="s">
        <v>70</v>
      </c>
      <c r="U126" s="515"/>
      <c r="V126" s="515"/>
      <c r="W126" s="511" t="s">
        <v>1836</v>
      </c>
      <c r="X126" s="120"/>
      <c r="Y126" s="120"/>
      <c r="Z126" s="120"/>
      <c r="AA126" s="120"/>
      <c r="AB126" s="120"/>
      <c r="AC126" s="120"/>
      <c r="AD126" s="336"/>
      <c r="AE126" s="186"/>
    </row>
    <row r="127" spans="1:32" s="56" customFormat="1" ht="43.5">
      <c r="A127" s="1185"/>
      <c r="B127" s="1" t="s">
        <v>44</v>
      </c>
      <c r="C127" s="4"/>
      <c r="D127" s="147" t="s">
        <v>32</v>
      </c>
      <c r="E127" s="147"/>
      <c r="F127" s="147"/>
      <c r="G127" s="147"/>
      <c r="H127" s="5" t="s">
        <v>1837</v>
      </c>
      <c r="I127" s="8" t="s">
        <v>47</v>
      </c>
      <c r="J127" s="16" t="s">
        <v>1838</v>
      </c>
      <c r="K127" s="16"/>
      <c r="L127" s="16"/>
      <c r="M127" s="199">
        <v>42736</v>
      </c>
      <c r="N127" s="199"/>
      <c r="O127" s="182">
        <v>43101</v>
      </c>
      <c r="P127" s="12">
        <v>48</v>
      </c>
      <c r="Q127" s="152" t="s">
        <v>82</v>
      </c>
      <c r="R127" s="18">
        <v>1000000</v>
      </c>
      <c r="S127" s="20" t="s">
        <v>1629</v>
      </c>
      <c r="T127" s="11" t="s">
        <v>38</v>
      </c>
      <c r="U127" s="4"/>
      <c r="V127" s="4"/>
      <c r="W127" s="5" t="s">
        <v>1839</v>
      </c>
      <c r="X127" s="12" t="s">
        <v>1840</v>
      </c>
      <c r="Y127" s="5" t="s">
        <v>40</v>
      </c>
      <c r="Z127" s="5"/>
      <c r="AA127" s="5"/>
      <c r="AB127" s="4"/>
      <c r="AC127" s="8" t="s">
        <v>1841</v>
      </c>
      <c r="AD127" s="147"/>
      <c r="AE127" s="227"/>
      <c r="AF127"/>
    </row>
    <row r="128" spans="1:32" s="56" customFormat="1" ht="130.5">
      <c r="A128" s="1182"/>
      <c r="B128" s="1" t="s">
        <v>44</v>
      </c>
      <c r="C128" s="4"/>
      <c r="D128" s="118" t="s">
        <v>32</v>
      </c>
      <c r="E128" s="118"/>
      <c r="F128" s="118"/>
      <c r="G128" s="118"/>
      <c r="H128" s="5" t="s">
        <v>1770</v>
      </c>
      <c r="I128" s="5" t="s">
        <v>34</v>
      </c>
      <c r="J128" s="16" t="s">
        <v>1842</v>
      </c>
      <c r="K128" s="16"/>
      <c r="L128" s="16"/>
      <c r="M128" s="182">
        <v>42887</v>
      </c>
      <c r="N128" s="182"/>
      <c r="O128" s="182">
        <v>43101</v>
      </c>
      <c r="P128" s="12">
        <v>12</v>
      </c>
      <c r="Q128" s="25" t="s">
        <v>50</v>
      </c>
      <c r="R128" s="18">
        <v>5458</v>
      </c>
      <c r="S128" s="31" t="s">
        <v>1639</v>
      </c>
      <c r="T128" s="12" t="s">
        <v>38</v>
      </c>
      <c r="U128" s="4"/>
      <c r="V128" s="4"/>
      <c r="W128" s="5" t="s">
        <v>1843</v>
      </c>
      <c r="X128" s="5" t="s">
        <v>543</v>
      </c>
      <c r="Y128" s="5" t="s">
        <v>40</v>
      </c>
      <c r="Z128" s="5"/>
      <c r="AA128" s="12"/>
      <c r="AB128" s="7"/>
      <c r="AC128" s="8" t="s">
        <v>1844</v>
      </c>
      <c r="AD128" s="147"/>
      <c r="AE128" s="228">
        <v>2806</v>
      </c>
      <c r="AF128"/>
    </row>
    <row r="129" spans="1:32" s="1" customFormat="1" ht="29.15" customHeight="1">
      <c r="A129" s="1119"/>
      <c r="B129" s="1" t="s">
        <v>44</v>
      </c>
      <c r="C129" s="4"/>
      <c r="D129" s="118" t="s">
        <v>32</v>
      </c>
      <c r="E129" s="118"/>
      <c r="F129" s="118"/>
      <c r="G129" s="118"/>
      <c r="H129" s="5" t="s">
        <v>1770</v>
      </c>
      <c r="I129" s="12" t="s">
        <v>47</v>
      </c>
      <c r="J129" s="16" t="s">
        <v>1845</v>
      </c>
      <c r="K129" s="16"/>
      <c r="L129" s="16"/>
      <c r="M129" s="182">
        <v>42979</v>
      </c>
      <c r="N129" s="182"/>
      <c r="O129" s="182">
        <v>43101</v>
      </c>
      <c r="P129" s="12">
        <v>12</v>
      </c>
      <c r="Q129" s="7" t="s">
        <v>50</v>
      </c>
      <c r="R129" s="18">
        <v>8000</v>
      </c>
      <c r="S129" s="31" t="s">
        <v>1639</v>
      </c>
      <c r="T129" s="12" t="s">
        <v>38</v>
      </c>
      <c r="U129" s="4"/>
      <c r="V129" s="4"/>
      <c r="W129" s="12" t="s">
        <v>383</v>
      </c>
      <c r="X129" s="12" t="s">
        <v>543</v>
      </c>
      <c r="Y129" s="5" t="s">
        <v>40</v>
      </c>
      <c r="Z129" s="5"/>
      <c r="AA129" s="5"/>
      <c r="AB129" s="7"/>
      <c r="AC129" s="8" t="s">
        <v>1846</v>
      </c>
      <c r="AD129" s="147" t="s">
        <v>67</v>
      </c>
      <c r="AE129" s="228"/>
    </row>
    <row r="130" spans="1:32" s="1" customFormat="1" ht="29">
      <c r="A130" s="498"/>
      <c r="B130" s="1" t="s">
        <v>44</v>
      </c>
      <c r="C130" s="4"/>
      <c r="D130" s="147" t="s">
        <v>32</v>
      </c>
      <c r="E130" s="147"/>
      <c r="F130" s="147"/>
      <c r="G130" s="147"/>
      <c r="H130" s="5" t="s">
        <v>1770</v>
      </c>
      <c r="I130" s="8" t="s">
        <v>34</v>
      </c>
      <c r="J130" s="16" t="s">
        <v>1847</v>
      </c>
      <c r="K130" s="8"/>
      <c r="L130" s="8"/>
      <c r="M130" s="199">
        <v>42979</v>
      </c>
      <c r="N130" s="199"/>
      <c r="O130" s="199">
        <v>43101</v>
      </c>
      <c r="P130" s="5">
        <v>120</v>
      </c>
      <c r="Q130" s="25" t="s">
        <v>396</v>
      </c>
      <c r="R130" s="18">
        <v>25000</v>
      </c>
      <c r="S130" s="31" t="s">
        <v>1848</v>
      </c>
      <c r="T130" s="11"/>
      <c r="U130" s="4"/>
      <c r="V130" s="4"/>
      <c r="W130" s="5" t="s">
        <v>1849</v>
      </c>
      <c r="X130" s="12" t="s">
        <v>1598</v>
      </c>
      <c r="Y130" s="5" t="s">
        <v>40</v>
      </c>
      <c r="Z130" s="5"/>
      <c r="AA130" s="26"/>
      <c r="AB130" s="5"/>
      <c r="AC130" s="8" t="s">
        <v>1850</v>
      </c>
      <c r="AD130" s="147"/>
      <c r="AE130" s="227"/>
    </row>
    <row r="131" spans="1:32" s="35" customFormat="1" ht="58">
      <c r="A131" s="498"/>
      <c r="B131" s="1" t="s">
        <v>44</v>
      </c>
      <c r="C131" s="204"/>
      <c r="D131" s="187" t="s">
        <v>32</v>
      </c>
      <c r="E131" s="187"/>
      <c r="F131" s="187"/>
      <c r="G131" s="187"/>
      <c r="H131" s="58" t="s">
        <v>33</v>
      </c>
      <c r="I131" s="58" t="s">
        <v>47</v>
      </c>
      <c r="J131" s="989" t="s">
        <v>1851</v>
      </c>
      <c r="K131" s="989"/>
      <c r="L131" s="16"/>
      <c r="M131" s="182">
        <v>43009</v>
      </c>
      <c r="N131" s="182"/>
      <c r="O131" s="221">
        <v>43101</v>
      </c>
      <c r="P131" s="202">
        <v>12</v>
      </c>
      <c r="Q131" s="1803" t="s">
        <v>50</v>
      </c>
      <c r="R131" s="1832">
        <v>1920</v>
      </c>
      <c r="S131" s="58" t="s">
        <v>1639</v>
      </c>
      <c r="T131" s="202" t="s">
        <v>38</v>
      </c>
      <c r="U131" s="204"/>
      <c r="V131" s="204"/>
      <c r="W131" s="58" t="s">
        <v>1852</v>
      </c>
      <c r="X131" s="58" t="s">
        <v>413</v>
      </c>
      <c r="Y131" s="58" t="s">
        <v>40</v>
      </c>
      <c r="Z131" s="5"/>
      <c r="AA131" s="5"/>
      <c r="AB131" s="199">
        <v>43361</v>
      </c>
      <c r="AC131" s="187" t="s">
        <v>1853</v>
      </c>
      <c r="AD131" s="147"/>
      <c r="AE131" s="1945"/>
      <c r="AF131" s="1"/>
    </row>
    <row r="132" spans="1:32" ht="58">
      <c r="A132" s="1119"/>
      <c r="B132" s="1" t="s">
        <v>44</v>
      </c>
      <c r="C132" s="4"/>
      <c r="D132" s="118" t="s">
        <v>32</v>
      </c>
      <c r="E132" s="118"/>
      <c r="F132" s="118"/>
      <c r="G132" s="118"/>
      <c r="H132" s="5" t="s">
        <v>1770</v>
      </c>
      <c r="I132" s="5" t="s">
        <v>34</v>
      </c>
      <c r="J132" s="16" t="s">
        <v>1854</v>
      </c>
      <c r="K132" s="16"/>
      <c r="L132" s="16"/>
      <c r="M132" s="182">
        <v>43040</v>
      </c>
      <c r="N132" s="182"/>
      <c r="O132" s="182">
        <v>43101</v>
      </c>
      <c r="P132" s="12">
        <v>120</v>
      </c>
      <c r="Q132" s="7" t="s">
        <v>1855</v>
      </c>
      <c r="R132" s="18">
        <v>84000</v>
      </c>
      <c r="S132" s="31" t="s">
        <v>1189</v>
      </c>
      <c r="T132" s="12" t="s">
        <v>38</v>
      </c>
      <c r="U132" s="4"/>
      <c r="V132" s="4"/>
      <c r="W132" s="5" t="s">
        <v>1076</v>
      </c>
      <c r="X132" s="5" t="s">
        <v>413</v>
      </c>
      <c r="Y132" s="5" t="s">
        <v>40</v>
      </c>
      <c r="Z132" s="5"/>
      <c r="AA132" s="5"/>
      <c r="AB132" s="199" t="s">
        <v>1856</v>
      </c>
      <c r="AC132" s="8" t="s">
        <v>1857</v>
      </c>
      <c r="AD132" s="147"/>
      <c r="AE132" s="228"/>
    </row>
    <row r="133" spans="1:32" s="56" customFormat="1" ht="65">
      <c r="A133" s="1119"/>
      <c r="B133" s="957" t="s">
        <v>56</v>
      </c>
      <c r="C133" s="577" t="s">
        <v>1858</v>
      </c>
      <c r="D133" s="973" t="s">
        <v>57</v>
      </c>
      <c r="E133" s="973"/>
      <c r="F133" s="973"/>
      <c r="G133" s="973"/>
      <c r="H133" s="578" t="s">
        <v>58</v>
      </c>
      <c r="I133" s="579" t="s">
        <v>47</v>
      </c>
      <c r="J133" s="1577" t="s">
        <v>1859</v>
      </c>
      <c r="K133" s="579"/>
      <c r="L133" s="580">
        <v>43039</v>
      </c>
      <c r="M133" s="580"/>
      <c r="N133" s="580"/>
      <c r="O133" s="580">
        <v>43102</v>
      </c>
      <c r="P133" s="581">
        <v>3</v>
      </c>
      <c r="Q133" s="581">
        <v>3</v>
      </c>
      <c r="R133" s="582">
        <v>500000</v>
      </c>
      <c r="S133" s="583" t="s">
        <v>1657</v>
      </c>
      <c r="T133" s="584" t="s">
        <v>38</v>
      </c>
      <c r="U133" s="584"/>
      <c r="V133" s="584"/>
      <c r="W133" s="585" t="s">
        <v>1860</v>
      </c>
      <c r="X133" s="120"/>
      <c r="Y133" s="120"/>
      <c r="Z133" s="120"/>
      <c r="AA133" s="120"/>
      <c r="AB133" s="120"/>
      <c r="AC133" s="120"/>
      <c r="AD133" s="336"/>
      <c r="AE133" s="186"/>
      <c r="AF133" s="2773"/>
    </row>
    <row r="134" spans="1:32" ht="29.15" customHeight="1">
      <c r="A134" s="1119"/>
      <c r="B134" s="957" t="s">
        <v>56</v>
      </c>
      <c r="C134" s="577" t="s">
        <v>1861</v>
      </c>
      <c r="D134" s="973" t="s">
        <v>32</v>
      </c>
      <c r="E134" s="973"/>
      <c r="F134" s="973"/>
      <c r="G134" s="973"/>
      <c r="H134" s="578" t="s">
        <v>308</v>
      </c>
      <c r="I134" s="579" t="s">
        <v>47</v>
      </c>
      <c r="J134" s="1577" t="s">
        <v>1862</v>
      </c>
      <c r="K134" s="579"/>
      <c r="L134" s="580" t="s">
        <v>60</v>
      </c>
      <c r="M134" s="580"/>
      <c r="N134" s="580"/>
      <c r="O134" s="580">
        <v>43105</v>
      </c>
      <c r="P134" s="581">
        <v>4</v>
      </c>
      <c r="Q134" s="581">
        <v>4</v>
      </c>
      <c r="R134" s="582">
        <v>900000</v>
      </c>
      <c r="S134" s="1042" t="s">
        <v>1863</v>
      </c>
      <c r="T134" s="584" t="s">
        <v>38</v>
      </c>
      <c r="U134" s="584"/>
      <c r="V134" s="584"/>
      <c r="W134" s="585" t="s">
        <v>714</v>
      </c>
      <c r="X134" s="120"/>
      <c r="Y134" s="120"/>
      <c r="Z134" s="120"/>
      <c r="AA134" s="120"/>
      <c r="AB134" s="120"/>
      <c r="AC134" s="120"/>
      <c r="AD134" s="336"/>
      <c r="AE134" s="186"/>
    </row>
    <row r="135" spans="1:32" s="1" customFormat="1" ht="67.400000000000006" customHeight="1">
      <c r="A135" s="1119"/>
      <c r="B135" s="957" t="s">
        <v>56</v>
      </c>
      <c r="C135" s="586" t="s">
        <v>1864</v>
      </c>
      <c r="D135" s="973" t="s">
        <v>57</v>
      </c>
      <c r="E135" s="973"/>
      <c r="F135" s="973"/>
      <c r="G135" s="973"/>
      <c r="H135" s="578" t="s">
        <v>58</v>
      </c>
      <c r="I135" s="579" t="s">
        <v>47</v>
      </c>
      <c r="J135" s="1577" t="s">
        <v>1865</v>
      </c>
      <c r="K135" s="579"/>
      <c r="L135" s="580">
        <v>42856</v>
      </c>
      <c r="M135" s="580"/>
      <c r="N135" s="580"/>
      <c r="O135" s="580">
        <v>43108</v>
      </c>
      <c r="P135" s="581">
        <v>3</v>
      </c>
      <c r="Q135" s="1017">
        <v>3</v>
      </c>
      <c r="R135" s="582">
        <v>200000</v>
      </c>
      <c r="S135" s="1042" t="s">
        <v>1657</v>
      </c>
      <c r="T135" s="584" t="s">
        <v>38</v>
      </c>
      <c r="U135" s="584"/>
      <c r="V135" s="584"/>
      <c r="W135" s="585" t="s">
        <v>1627</v>
      </c>
      <c r="X135" s="120"/>
      <c r="Y135" s="120"/>
      <c r="Z135" s="120"/>
      <c r="AA135" s="186"/>
      <c r="AB135" s="120"/>
      <c r="AC135" s="120"/>
      <c r="AD135" s="336"/>
      <c r="AE135" s="186"/>
      <c r="AF135"/>
    </row>
    <row r="136" spans="1:32" s="56" customFormat="1" ht="37.5">
      <c r="A136" s="1119"/>
      <c r="B136" s="957" t="s">
        <v>56</v>
      </c>
      <c r="C136" s="510" t="s">
        <v>1866</v>
      </c>
      <c r="D136" s="611" t="s">
        <v>57</v>
      </c>
      <c r="E136" s="611"/>
      <c r="F136" s="611"/>
      <c r="G136" s="611"/>
      <c r="H136" s="511" t="s">
        <v>58</v>
      </c>
      <c r="I136" s="519" t="s">
        <v>47</v>
      </c>
      <c r="J136" s="1578" t="s">
        <v>1867</v>
      </c>
      <c r="K136" s="512"/>
      <c r="L136" s="597" t="s">
        <v>251</v>
      </c>
      <c r="M136" s="597"/>
      <c r="N136" s="597"/>
      <c r="O136" s="597">
        <v>43108</v>
      </c>
      <c r="P136" s="516">
        <v>2</v>
      </c>
      <c r="Q136" s="1009">
        <v>2</v>
      </c>
      <c r="R136" s="599">
        <v>440000</v>
      </c>
      <c r="S136" s="1043" t="s">
        <v>130</v>
      </c>
      <c r="T136" s="515" t="s">
        <v>38</v>
      </c>
      <c r="U136" s="515"/>
      <c r="V136" s="515"/>
      <c r="W136" s="519" t="s">
        <v>1868</v>
      </c>
      <c r="X136" s="120"/>
      <c r="Y136" s="120"/>
      <c r="Z136" s="120"/>
      <c r="AA136" s="120"/>
      <c r="AB136" s="120"/>
      <c r="AC136" s="120"/>
      <c r="AD136" s="336"/>
      <c r="AE136" s="186"/>
    </row>
    <row r="137" spans="1:32" ht="29">
      <c r="A137" s="1119"/>
      <c r="B137" s="1" t="s">
        <v>44</v>
      </c>
      <c r="C137" s="4"/>
      <c r="D137" s="176" t="s">
        <v>32</v>
      </c>
      <c r="E137" s="176"/>
      <c r="F137" s="176"/>
      <c r="G137" s="176"/>
      <c r="H137" s="5" t="s">
        <v>386</v>
      </c>
      <c r="I137" s="5" t="s">
        <v>1564</v>
      </c>
      <c r="J137" s="16" t="s">
        <v>1869</v>
      </c>
      <c r="K137" s="16"/>
      <c r="L137" s="16"/>
      <c r="M137" s="199">
        <v>43040</v>
      </c>
      <c r="N137" s="199"/>
      <c r="O137" s="199">
        <v>43115</v>
      </c>
      <c r="P137" s="12">
        <v>12</v>
      </c>
      <c r="Q137" s="26">
        <v>12</v>
      </c>
      <c r="R137" s="18">
        <v>80000</v>
      </c>
      <c r="S137" s="31" t="s">
        <v>1629</v>
      </c>
      <c r="T137" s="5" t="s">
        <v>38</v>
      </c>
      <c r="U137" s="4"/>
      <c r="V137" s="4"/>
      <c r="W137" s="5" t="s">
        <v>388</v>
      </c>
      <c r="X137" s="5" t="s">
        <v>413</v>
      </c>
      <c r="Y137" s="5" t="s">
        <v>40</v>
      </c>
      <c r="Z137" s="5"/>
      <c r="AA137" s="5"/>
      <c r="AB137" s="7"/>
      <c r="AC137" s="1123" t="s">
        <v>567</v>
      </c>
      <c r="AD137" s="147"/>
      <c r="AE137" s="227"/>
      <c r="AF137" s="1"/>
    </row>
    <row r="138" spans="1:32" s="1" customFormat="1" ht="29">
      <c r="A138" s="1119"/>
      <c r="B138" s="1" t="s">
        <v>44</v>
      </c>
      <c r="C138" s="10"/>
      <c r="D138" s="147" t="s">
        <v>32</v>
      </c>
      <c r="E138" s="147"/>
      <c r="F138" s="147"/>
      <c r="G138" s="147"/>
      <c r="H138" s="12" t="s">
        <v>33</v>
      </c>
      <c r="I138" s="10" t="s">
        <v>47</v>
      </c>
      <c r="J138" s="16" t="s">
        <v>1870</v>
      </c>
      <c r="K138" s="16"/>
      <c r="L138" s="16"/>
      <c r="M138" s="182">
        <v>42948</v>
      </c>
      <c r="N138" s="182"/>
      <c r="O138" s="182">
        <v>43119</v>
      </c>
      <c r="P138" s="12">
        <v>60</v>
      </c>
      <c r="Q138" s="25" t="s">
        <v>1871</v>
      </c>
      <c r="R138" s="18">
        <v>12000</v>
      </c>
      <c r="S138" s="5" t="s">
        <v>176</v>
      </c>
      <c r="T138" s="12" t="s">
        <v>38</v>
      </c>
      <c r="U138" s="10"/>
      <c r="V138" s="10"/>
      <c r="W138" s="12" t="s">
        <v>1640</v>
      </c>
      <c r="X138" s="5" t="s">
        <v>1764</v>
      </c>
      <c r="Y138" s="5" t="s">
        <v>40</v>
      </c>
      <c r="Z138" s="5"/>
      <c r="AA138" s="26"/>
      <c r="AB138" s="12"/>
      <c r="AC138" s="8" t="s">
        <v>1872</v>
      </c>
      <c r="AD138" s="147"/>
      <c r="AE138" s="228"/>
      <c r="AF138" s="56"/>
    </row>
    <row r="139" spans="1:32" s="56" customFormat="1" ht="65">
      <c r="A139" s="1119"/>
      <c r="B139" s="957" t="s">
        <v>56</v>
      </c>
      <c r="C139" s="586" t="s">
        <v>1873</v>
      </c>
      <c r="D139" s="973" t="s">
        <v>57</v>
      </c>
      <c r="E139" s="973"/>
      <c r="F139" s="973"/>
      <c r="G139" s="973"/>
      <c r="H139" s="578" t="s">
        <v>58</v>
      </c>
      <c r="I139" s="579" t="s">
        <v>47</v>
      </c>
      <c r="J139" s="1577" t="s">
        <v>1874</v>
      </c>
      <c r="K139" s="579"/>
      <c r="L139" s="580">
        <v>43021</v>
      </c>
      <c r="M139" s="580"/>
      <c r="N139" s="580"/>
      <c r="O139" s="580">
        <v>43122</v>
      </c>
      <c r="P139" s="581">
        <v>2</v>
      </c>
      <c r="Q139" s="1017">
        <v>2</v>
      </c>
      <c r="R139" s="582">
        <v>140000</v>
      </c>
      <c r="S139" s="1042" t="s">
        <v>1657</v>
      </c>
      <c r="T139" s="584" t="s">
        <v>38</v>
      </c>
      <c r="U139" s="584"/>
      <c r="V139" s="584"/>
      <c r="W139" s="585" t="s">
        <v>1627</v>
      </c>
      <c r="X139" s="120"/>
      <c r="Y139" s="120"/>
      <c r="Z139" s="120"/>
      <c r="AA139" s="120"/>
      <c r="AB139" s="120"/>
      <c r="AC139" s="120"/>
      <c r="AD139" s="336"/>
      <c r="AE139" s="186"/>
      <c r="AF139" s="1"/>
    </row>
    <row r="140" spans="1:32" s="56" customFormat="1" ht="65">
      <c r="A140" s="1119"/>
      <c r="B140" s="957" t="s">
        <v>56</v>
      </c>
      <c r="C140" s="577" t="s">
        <v>1875</v>
      </c>
      <c r="D140" s="973" t="s">
        <v>32</v>
      </c>
      <c r="E140" s="973"/>
      <c r="F140" s="973"/>
      <c r="G140" s="973"/>
      <c r="H140" s="578" t="s">
        <v>308</v>
      </c>
      <c r="I140" s="579" t="s">
        <v>47</v>
      </c>
      <c r="J140" s="1577" t="s">
        <v>1876</v>
      </c>
      <c r="K140" s="579"/>
      <c r="L140" s="580">
        <v>43047</v>
      </c>
      <c r="M140" s="580"/>
      <c r="N140" s="580"/>
      <c r="O140" s="580">
        <v>43122</v>
      </c>
      <c r="P140" s="581">
        <v>3</v>
      </c>
      <c r="Q140" s="1017">
        <v>3</v>
      </c>
      <c r="R140" s="582">
        <v>130000</v>
      </c>
      <c r="S140" s="583" t="s">
        <v>1803</v>
      </c>
      <c r="T140" s="584" t="s">
        <v>38</v>
      </c>
      <c r="U140" s="584"/>
      <c r="V140" s="584"/>
      <c r="W140" s="585" t="s">
        <v>1877</v>
      </c>
      <c r="X140" s="120"/>
      <c r="Y140" s="120"/>
      <c r="Z140" s="120"/>
      <c r="AA140" s="120"/>
      <c r="AB140" s="120"/>
      <c r="AC140" s="120"/>
      <c r="AD140" s="336"/>
      <c r="AE140" s="186"/>
    </row>
    <row r="141" spans="1:32" s="1" customFormat="1" ht="96" customHeight="1">
      <c r="A141" s="498"/>
      <c r="B141" s="1" t="s">
        <v>44</v>
      </c>
      <c r="C141" s="4"/>
      <c r="D141" s="147" t="s">
        <v>57</v>
      </c>
      <c r="E141" s="147"/>
      <c r="F141" s="147"/>
      <c r="G141" s="147"/>
      <c r="H141" s="5" t="s">
        <v>496</v>
      </c>
      <c r="I141" s="8" t="s">
        <v>47</v>
      </c>
      <c r="J141" s="16" t="s">
        <v>1878</v>
      </c>
      <c r="K141" s="16"/>
      <c r="L141" s="16"/>
      <c r="M141" s="14">
        <v>42887</v>
      </c>
      <c r="N141" s="14"/>
      <c r="O141" s="14">
        <v>43132</v>
      </c>
      <c r="P141" s="12">
        <v>26</v>
      </c>
      <c r="Q141" s="26" t="s">
        <v>1879</v>
      </c>
      <c r="R141" s="18">
        <v>872237</v>
      </c>
      <c r="S141" s="31" t="s">
        <v>84</v>
      </c>
      <c r="T141" s="14" t="s">
        <v>38</v>
      </c>
      <c r="U141" s="4"/>
      <c r="V141" s="4"/>
      <c r="W141" s="5" t="s">
        <v>798</v>
      </c>
      <c r="X141" s="12" t="s">
        <v>1674</v>
      </c>
      <c r="Y141" s="5" t="s">
        <v>40</v>
      </c>
      <c r="Z141" s="5"/>
      <c r="AA141" s="26"/>
      <c r="AB141" s="5"/>
      <c r="AC141" s="8" t="s">
        <v>1880</v>
      </c>
      <c r="AD141" s="147"/>
      <c r="AE141" s="229">
        <v>387661</v>
      </c>
      <c r="AF141" s="56"/>
    </row>
    <row r="142" spans="1:32" s="56" customFormat="1" ht="72" customHeight="1">
      <c r="A142" s="1184"/>
      <c r="B142" s="1" t="s">
        <v>44</v>
      </c>
      <c r="C142" s="4"/>
      <c r="D142" s="147" t="s">
        <v>32</v>
      </c>
      <c r="E142" s="147"/>
      <c r="F142" s="147"/>
      <c r="G142" s="147"/>
      <c r="H142" s="5" t="s">
        <v>323</v>
      </c>
      <c r="I142" s="8" t="s">
        <v>47</v>
      </c>
      <c r="J142" s="16" t="s">
        <v>457</v>
      </c>
      <c r="K142" s="8"/>
      <c r="L142" s="8"/>
      <c r="M142" s="199">
        <v>43252</v>
      </c>
      <c r="N142" s="199"/>
      <c r="O142" s="199">
        <v>43132</v>
      </c>
      <c r="P142" s="5">
        <v>60</v>
      </c>
      <c r="Q142" s="26" t="s">
        <v>171</v>
      </c>
      <c r="R142" s="18">
        <v>740000</v>
      </c>
      <c r="S142" s="207" t="s">
        <v>1629</v>
      </c>
      <c r="T142" s="11" t="s">
        <v>38</v>
      </c>
      <c r="U142" s="4"/>
      <c r="V142" s="4"/>
      <c r="W142" s="5" t="s">
        <v>1839</v>
      </c>
      <c r="X142" s="5" t="s">
        <v>1674</v>
      </c>
      <c r="Y142" s="5" t="s">
        <v>40</v>
      </c>
      <c r="Z142" s="5"/>
      <c r="AA142" s="5"/>
      <c r="AB142" s="5"/>
      <c r="AC142" s="8" t="s">
        <v>1881</v>
      </c>
      <c r="AD142" s="147"/>
      <c r="AE142" s="227">
        <v>142000</v>
      </c>
    </row>
    <row r="143" spans="1:32" s="56" customFormat="1" ht="43.5">
      <c r="A143" s="1184"/>
      <c r="B143" s="1" t="s">
        <v>44</v>
      </c>
      <c r="C143" s="4"/>
      <c r="D143" s="4" t="s">
        <v>32</v>
      </c>
      <c r="E143" s="4"/>
      <c r="F143" s="4"/>
      <c r="G143" s="4"/>
      <c r="H143" s="5" t="s">
        <v>323</v>
      </c>
      <c r="I143" s="8" t="s">
        <v>47</v>
      </c>
      <c r="J143" s="16" t="s">
        <v>457</v>
      </c>
      <c r="K143" s="8"/>
      <c r="L143" s="8"/>
      <c r="M143" s="199">
        <v>43252</v>
      </c>
      <c r="N143" s="199"/>
      <c r="O143" s="199">
        <v>43132</v>
      </c>
      <c r="P143" s="5">
        <v>60</v>
      </c>
      <c r="Q143" s="5" t="s">
        <v>171</v>
      </c>
      <c r="R143" s="18">
        <v>740000</v>
      </c>
      <c r="S143" s="207" t="s">
        <v>1629</v>
      </c>
      <c r="T143" s="11" t="s">
        <v>38</v>
      </c>
      <c r="U143" s="4"/>
      <c r="V143" s="4"/>
      <c r="W143" s="5" t="s">
        <v>1839</v>
      </c>
      <c r="X143" s="5" t="s">
        <v>1674</v>
      </c>
      <c r="Y143" s="5" t="s">
        <v>40</v>
      </c>
      <c r="Z143" s="5"/>
      <c r="AA143" s="5"/>
      <c r="AB143" s="5"/>
      <c r="AC143" s="8" t="s">
        <v>1881</v>
      </c>
      <c r="AD143" s="147"/>
      <c r="AE143" s="227">
        <v>142000</v>
      </c>
    </row>
    <row r="144" spans="1:32" ht="37.5">
      <c r="A144" s="1119"/>
      <c r="B144" s="957" t="s">
        <v>56</v>
      </c>
      <c r="C144" s="617" t="s">
        <v>1882</v>
      </c>
      <c r="D144" s="611" t="s">
        <v>57</v>
      </c>
      <c r="E144" s="611"/>
      <c r="F144" s="611"/>
      <c r="G144" s="611"/>
      <c r="H144" s="511" t="s">
        <v>58</v>
      </c>
      <c r="I144" s="519" t="s">
        <v>47</v>
      </c>
      <c r="J144" s="1578" t="s">
        <v>1883</v>
      </c>
      <c r="K144" s="512"/>
      <c r="L144" s="530" t="s">
        <v>60</v>
      </c>
      <c r="M144" s="530"/>
      <c r="N144" s="530"/>
      <c r="O144" s="530">
        <v>43132</v>
      </c>
      <c r="P144" s="516">
        <v>1</v>
      </c>
      <c r="Q144" s="516">
        <v>1</v>
      </c>
      <c r="R144" s="599">
        <v>30000</v>
      </c>
      <c r="S144" s="1043" t="s">
        <v>176</v>
      </c>
      <c r="T144" s="515" t="s">
        <v>38</v>
      </c>
      <c r="U144" s="515"/>
      <c r="V144" s="515"/>
      <c r="W144" s="519" t="s">
        <v>60</v>
      </c>
      <c r="X144" s="120"/>
      <c r="Y144" s="120"/>
      <c r="Z144" s="120"/>
      <c r="AA144" s="120"/>
      <c r="AB144" s="120"/>
      <c r="AC144" s="120"/>
      <c r="AD144" s="336"/>
      <c r="AE144" s="186"/>
      <c r="AF144" s="1"/>
    </row>
    <row r="145" spans="1:32" ht="65">
      <c r="A145" s="1119"/>
      <c r="B145" s="957" t="s">
        <v>56</v>
      </c>
      <c r="C145" s="577" t="s">
        <v>1884</v>
      </c>
      <c r="D145" s="973" t="s">
        <v>32</v>
      </c>
      <c r="E145" s="973"/>
      <c r="F145" s="973"/>
      <c r="G145" s="973"/>
      <c r="H145" s="578" t="s">
        <v>308</v>
      </c>
      <c r="I145" s="579" t="s">
        <v>47</v>
      </c>
      <c r="J145" s="1577" t="s">
        <v>1885</v>
      </c>
      <c r="K145" s="579"/>
      <c r="L145" s="580">
        <v>43068</v>
      </c>
      <c r="M145" s="580"/>
      <c r="N145" s="580"/>
      <c r="O145" s="580">
        <v>43133</v>
      </c>
      <c r="P145" s="581">
        <v>6</v>
      </c>
      <c r="Q145" s="1017">
        <v>6</v>
      </c>
      <c r="R145" s="582">
        <v>215000</v>
      </c>
      <c r="S145" s="1042" t="s">
        <v>1803</v>
      </c>
      <c r="T145" s="584" t="s">
        <v>38</v>
      </c>
      <c r="U145" s="584"/>
      <c r="V145" s="584"/>
      <c r="W145" s="585" t="s">
        <v>1886</v>
      </c>
      <c r="X145" s="120"/>
      <c r="Y145" s="120"/>
      <c r="Z145" s="120"/>
      <c r="AA145" s="120"/>
      <c r="AB145" s="120"/>
      <c r="AC145" s="120"/>
      <c r="AD145" s="336"/>
      <c r="AE145" s="186"/>
      <c r="AF145" s="1"/>
    </row>
    <row r="146" spans="1:32" ht="37.5">
      <c r="A146" s="1119"/>
      <c r="B146" s="957" t="s">
        <v>56</v>
      </c>
      <c r="C146" s="510" t="s">
        <v>1887</v>
      </c>
      <c r="D146" s="611" t="s">
        <v>32</v>
      </c>
      <c r="E146" s="611"/>
      <c r="F146" s="611"/>
      <c r="G146" s="611"/>
      <c r="H146" s="511" t="s">
        <v>308</v>
      </c>
      <c r="I146" s="519" t="s">
        <v>47</v>
      </c>
      <c r="J146" s="1578" t="s">
        <v>1888</v>
      </c>
      <c r="K146" s="512"/>
      <c r="L146" s="515">
        <v>43102</v>
      </c>
      <c r="M146" s="515"/>
      <c r="N146" s="515"/>
      <c r="O146" s="612">
        <v>43136</v>
      </c>
      <c r="P146" s="516">
        <v>1</v>
      </c>
      <c r="Q146" s="516">
        <v>1</v>
      </c>
      <c r="R146" s="599">
        <v>30000</v>
      </c>
      <c r="S146" s="523" t="s">
        <v>84</v>
      </c>
      <c r="T146" s="515" t="s">
        <v>38</v>
      </c>
      <c r="U146" s="515"/>
      <c r="V146" s="515"/>
      <c r="W146" s="511" t="s">
        <v>1889</v>
      </c>
      <c r="X146" s="120"/>
      <c r="Y146" s="120"/>
      <c r="Z146" s="120"/>
      <c r="AA146" s="120"/>
      <c r="AB146" s="120"/>
      <c r="AC146" s="120"/>
      <c r="AD146" s="336"/>
      <c r="AE146" s="186"/>
      <c r="AF146" s="35"/>
    </row>
    <row r="147" spans="1:32" s="1" customFormat="1" ht="43.5">
      <c r="A147" s="1184"/>
      <c r="B147" s="1" t="s">
        <v>44</v>
      </c>
      <c r="C147" s="4"/>
      <c r="D147" s="118" t="s">
        <v>32</v>
      </c>
      <c r="E147" s="118"/>
      <c r="F147" s="118"/>
      <c r="G147" s="118"/>
      <c r="H147" s="5" t="s">
        <v>33</v>
      </c>
      <c r="I147" s="5" t="s">
        <v>34</v>
      </c>
      <c r="J147" s="16" t="s">
        <v>1890</v>
      </c>
      <c r="K147" s="8"/>
      <c r="L147" s="8"/>
      <c r="M147" s="199">
        <v>43125</v>
      </c>
      <c r="N147" s="199"/>
      <c r="O147" s="199">
        <v>43137</v>
      </c>
      <c r="P147" s="5">
        <v>12</v>
      </c>
      <c r="Q147" s="7" t="s">
        <v>1891</v>
      </c>
      <c r="R147" s="18">
        <v>42480</v>
      </c>
      <c r="S147" s="31" t="s">
        <v>176</v>
      </c>
      <c r="T147" s="11" t="s">
        <v>38</v>
      </c>
      <c r="U147" s="4"/>
      <c r="V147" s="4"/>
      <c r="W147" s="5" t="s">
        <v>76</v>
      </c>
      <c r="X147" s="5" t="s">
        <v>1892</v>
      </c>
      <c r="Y147" s="5" t="s">
        <v>40</v>
      </c>
      <c r="Z147" s="5"/>
      <c r="AA147" s="85"/>
      <c r="AB147" s="199">
        <v>43326</v>
      </c>
      <c r="AC147" s="8" t="s">
        <v>1893</v>
      </c>
      <c r="AD147" s="147"/>
      <c r="AE147" s="227">
        <v>14160</v>
      </c>
      <c r="AF147"/>
    </row>
    <row r="148" spans="1:32" ht="65">
      <c r="A148" s="1119"/>
      <c r="B148" s="957" t="s">
        <v>56</v>
      </c>
      <c r="C148" s="586" t="s">
        <v>1894</v>
      </c>
      <c r="D148" s="973"/>
      <c r="E148" s="973"/>
      <c r="F148" s="973"/>
      <c r="G148" s="973"/>
      <c r="H148" s="578" t="s">
        <v>58</v>
      </c>
      <c r="I148" s="579" t="s">
        <v>47</v>
      </c>
      <c r="J148" s="1577" t="s">
        <v>1895</v>
      </c>
      <c r="K148" s="579"/>
      <c r="L148" s="580">
        <v>43077</v>
      </c>
      <c r="M148" s="580"/>
      <c r="N148" s="580"/>
      <c r="O148" s="580">
        <v>43137</v>
      </c>
      <c r="P148" s="591">
        <v>0.25</v>
      </c>
      <c r="Q148" s="591">
        <v>0.25</v>
      </c>
      <c r="R148" s="582">
        <v>40000</v>
      </c>
      <c r="S148" s="583" t="s">
        <v>1657</v>
      </c>
      <c r="T148" s="584"/>
      <c r="U148" s="584"/>
      <c r="V148" s="584"/>
      <c r="W148" s="585" t="s">
        <v>1627</v>
      </c>
      <c r="X148" s="120"/>
      <c r="Y148" s="120"/>
      <c r="Z148" s="120"/>
      <c r="AA148" s="186"/>
      <c r="AB148" s="120"/>
      <c r="AC148" s="120"/>
      <c r="AD148" s="336"/>
      <c r="AE148" s="186"/>
      <c r="AF148" s="56"/>
    </row>
    <row r="149" spans="1:32" s="56" customFormat="1" ht="65">
      <c r="A149" s="1119"/>
      <c r="B149" s="957" t="s">
        <v>56</v>
      </c>
      <c r="C149" s="577" t="s">
        <v>1896</v>
      </c>
      <c r="D149" s="578" t="s">
        <v>32</v>
      </c>
      <c r="E149" s="578"/>
      <c r="F149" s="578"/>
      <c r="G149" s="578"/>
      <c r="H149" s="578" t="s">
        <v>308</v>
      </c>
      <c r="I149" s="579" t="s">
        <v>47</v>
      </c>
      <c r="J149" s="1577" t="s">
        <v>1897</v>
      </c>
      <c r="K149" s="579"/>
      <c r="L149" s="580">
        <v>43047</v>
      </c>
      <c r="M149" s="580"/>
      <c r="N149" s="580"/>
      <c r="O149" s="580">
        <v>43140</v>
      </c>
      <c r="P149" s="581">
        <v>5</v>
      </c>
      <c r="Q149" s="581">
        <v>5</v>
      </c>
      <c r="R149" s="582">
        <v>650000</v>
      </c>
      <c r="S149" s="583" t="s">
        <v>1863</v>
      </c>
      <c r="T149" s="584" t="s">
        <v>38</v>
      </c>
      <c r="U149" s="584"/>
      <c r="V149" s="584"/>
      <c r="W149" s="585" t="s">
        <v>1898</v>
      </c>
      <c r="X149" s="120"/>
      <c r="Y149" s="120"/>
      <c r="Z149" s="120"/>
      <c r="AA149" s="120"/>
      <c r="AB149" s="120"/>
      <c r="AC149" s="120"/>
      <c r="AD149" s="336"/>
      <c r="AE149" s="186"/>
      <c r="AF149"/>
    </row>
    <row r="150" spans="1:32" s="1" customFormat="1" ht="217.5">
      <c r="A150" s="1119"/>
      <c r="B150" s="1" t="s">
        <v>44</v>
      </c>
      <c r="C150" s="4"/>
      <c r="D150" s="118" t="s">
        <v>32</v>
      </c>
      <c r="E150" s="118"/>
      <c r="F150" s="118"/>
      <c r="G150" s="118"/>
      <c r="H150" s="5" t="s">
        <v>33</v>
      </c>
      <c r="I150" s="5" t="s">
        <v>47</v>
      </c>
      <c r="J150" s="16" t="s">
        <v>1899</v>
      </c>
      <c r="K150" s="16"/>
      <c r="L150" s="16"/>
      <c r="M150" s="182">
        <v>43040</v>
      </c>
      <c r="N150" s="182"/>
      <c r="O150" s="182">
        <v>43142</v>
      </c>
      <c r="P150" s="12">
        <v>24</v>
      </c>
      <c r="Q150" s="25" t="s">
        <v>391</v>
      </c>
      <c r="R150" s="18">
        <v>16100</v>
      </c>
      <c r="S150" s="31" t="s">
        <v>45</v>
      </c>
      <c r="T150" s="12" t="s">
        <v>612</v>
      </c>
      <c r="U150" s="4"/>
      <c r="V150" s="4"/>
      <c r="W150" s="5" t="s">
        <v>1900</v>
      </c>
      <c r="X150" s="5" t="s">
        <v>413</v>
      </c>
      <c r="Y150" s="5" t="s">
        <v>40</v>
      </c>
      <c r="Z150" s="5"/>
      <c r="AA150" s="5"/>
      <c r="AB150" s="199">
        <v>43308</v>
      </c>
      <c r="AC150" s="8" t="s">
        <v>1901</v>
      </c>
      <c r="AD150" s="147"/>
      <c r="AE150" s="228"/>
    </row>
    <row r="151" spans="1:32" s="1" customFormat="1" ht="43.5">
      <c r="A151" s="1119"/>
      <c r="B151" s="1" t="s">
        <v>44</v>
      </c>
      <c r="C151" s="4"/>
      <c r="D151" s="118" t="s">
        <v>57</v>
      </c>
      <c r="E151" s="118"/>
      <c r="F151" s="118"/>
      <c r="G151" s="118"/>
      <c r="H151" s="5" t="s">
        <v>496</v>
      </c>
      <c r="I151" s="5" t="s">
        <v>47</v>
      </c>
      <c r="J151" s="16" t="s">
        <v>1902</v>
      </c>
      <c r="K151" s="16"/>
      <c r="L151" s="16"/>
      <c r="M151" s="14">
        <v>43032</v>
      </c>
      <c r="N151" s="14"/>
      <c r="O151" s="14">
        <v>43143</v>
      </c>
      <c r="P151" s="12">
        <v>24</v>
      </c>
      <c r="Q151" s="5" t="s">
        <v>160</v>
      </c>
      <c r="R151" s="18">
        <v>58500</v>
      </c>
      <c r="S151" s="5" t="s">
        <v>176</v>
      </c>
      <c r="T151" s="161" t="s">
        <v>38</v>
      </c>
      <c r="U151" s="4"/>
      <c r="V151" s="4"/>
      <c r="W151" s="5" t="s">
        <v>798</v>
      </c>
      <c r="X151" s="12" t="s">
        <v>86</v>
      </c>
      <c r="Y151" s="5" t="s">
        <v>40</v>
      </c>
      <c r="Z151" s="5"/>
      <c r="AA151" s="5"/>
      <c r="AB151" s="7"/>
      <c r="AC151" s="8" t="s">
        <v>1903</v>
      </c>
      <c r="AD151" s="147"/>
      <c r="AE151" s="229"/>
      <c r="AF151" s="56"/>
    </row>
    <row r="152" spans="1:32" s="56" customFormat="1" ht="45" customHeight="1">
      <c r="A152" s="1119"/>
      <c r="B152" s="957" t="s">
        <v>56</v>
      </c>
      <c r="C152" s="586" t="s">
        <v>1904</v>
      </c>
      <c r="D152" s="973" t="s">
        <v>57</v>
      </c>
      <c r="E152" s="973"/>
      <c r="F152" s="973"/>
      <c r="G152" s="973"/>
      <c r="H152" s="578" t="s">
        <v>58</v>
      </c>
      <c r="I152" s="579" t="s">
        <v>47</v>
      </c>
      <c r="J152" s="1577" t="s">
        <v>1905</v>
      </c>
      <c r="K152" s="579"/>
      <c r="L152" s="580">
        <v>43027</v>
      </c>
      <c r="M152" s="580"/>
      <c r="N152" s="580"/>
      <c r="O152" s="580">
        <v>43143</v>
      </c>
      <c r="P152" s="581">
        <v>1</v>
      </c>
      <c r="Q152" s="1017">
        <v>1</v>
      </c>
      <c r="R152" s="582">
        <v>20000</v>
      </c>
      <c r="S152" s="1042" t="s">
        <v>1780</v>
      </c>
      <c r="T152" s="584" t="s">
        <v>38</v>
      </c>
      <c r="U152" s="584"/>
      <c r="V152" s="584"/>
      <c r="W152" s="585"/>
      <c r="X152" s="120"/>
      <c r="Y152" s="120"/>
      <c r="Z152" s="120"/>
      <c r="AA152" s="120"/>
      <c r="AB152" s="120"/>
      <c r="AC152" s="120"/>
      <c r="AD152" s="336"/>
      <c r="AE152" s="186"/>
      <c r="AF152"/>
    </row>
    <row r="153" spans="1:32" ht="137.25" customHeight="1">
      <c r="A153" s="1119"/>
      <c r="B153" s="957" t="s">
        <v>56</v>
      </c>
      <c r="C153" s="586" t="s">
        <v>1906</v>
      </c>
      <c r="D153" s="578" t="s">
        <v>57</v>
      </c>
      <c r="E153" s="578"/>
      <c r="F153" s="578"/>
      <c r="G153" s="578"/>
      <c r="H153" s="578" t="s">
        <v>58</v>
      </c>
      <c r="I153" s="579" t="s">
        <v>47</v>
      </c>
      <c r="J153" s="1577" t="s">
        <v>1907</v>
      </c>
      <c r="K153" s="579"/>
      <c r="L153" s="580">
        <v>43021</v>
      </c>
      <c r="M153" s="580"/>
      <c r="N153" s="580"/>
      <c r="O153" s="580">
        <v>43143</v>
      </c>
      <c r="P153" s="1780">
        <v>1</v>
      </c>
      <c r="Q153" s="581">
        <v>1</v>
      </c>
      <c r="R153" s="582">
        <v>100000</v>
      </c>
      <c r="S153" s="583" t="s">
        <v>1657</v>
      </c>
      <c r="T153" s="584" t="s">
        <v>38</v>
      </c>
      <c r="U153" s="584"/>
      <c r="V153" s="584"/>
      <c r="W153" s="585" t="s">
        <v>1627</v>
      </c>
      <c r="X153" s="120"/>
      <c r="Y153" s="120"/>
      <c r="Z153" s="120"/>
      <c r="AA153" s="336"/>
      <c r="AB153" s="120"/>
      <c r="AC153" s="120"/>
      <c r="AD153" s="1930"/>
      <c r="AE153" s="1930"/>
      <c r="AF153" s="1"/>
    </row>
    <row r="154" spans="1:32" ht="78">
      <c r="A154" s="1119"/>
      <c r="B154" s="957" t="s">
        <v>56</v>
      </c>
      <c r="C154" s="586" t="s">
        <v>1908</v>
      </c>
      <c r="D154" s="973" t="s">
        <v>57</v>
      </c>
      <c r="E154" s="973"/>
      <c r="F154" s="973"/>
      <c r="G154" s="973"/>
      <c r="H154" s="578" t="s">
        <v>58</v>
      </c>
      <c r="I154" s="579" t="s">
        <v>47</v>
      </c>
      <c r="J154" s="1577" t="s">
        <v>1909</v>
      </c>
      <c r="K154" s="579"/>
      <c r="L154" s="580">
        <v>43073</v>
      </c>
      <c r="M154" s="580"/>
      <c r="N154" s="580"/>
      <c r="O154" s="580">
        <v>43143</v>
      </c>
      <c r="P154" s="581">
        <v>24</v>
      </c>
      <c r="Q154" s="1017" t="s">
        <v>1345</v>
      </c>
      <c r="R154" s="582">
        <v>10000000</v>
      </c>
      <c r="S154" s="1042" t="s">
        <v>1910</v>
      </c>
      <c r="T154" s="584" t="s">
        <v>70</v>
      </c>
      <c r="U154" s="584"/>
      <c r="V154" s="584"/>
      <c r="W154" s="585" t="s">
        <v>1637</v>
      </c>
      <c r="X154" s="120"/>
      <c r="Y154" s="120"/>
      <c r="Z154" s="120"/>
      <c r="AA154" s="120"/>
      <c r="AB154" s="120"/>
      <c r="AC154" s="120"/>
      <c r="AD154" s="336"/>
      <c r="AE154" s="186"/>
      <c r="AF154" s="56"/>
    </row>
    <row r="155" spans="1:32" s="56" customFormat="1" ht="39">
      <c r="A155" s="1119"/>
      <c r="B155" s="957" t="s">
        <v>56</v>
      </c>
      <c r="C155" s="577" t="s">
        <v>1911</v>
      </c>
      <c r="D155" s="973" t="s">
        <v>57</v>
      </c>
      <c r="E155" s="973"/>
      <c r="F155" s="973"/>
      <c r="G155" s="973"/>
      <c r="H155" s="578" t="s">
        <v>58</v>
      </c>
      <c r="I155" s="579" t="s">
        <v>47</v>
      </c>
      <c r="J155" s="1577" t="s">
        <v>1912</v>
      </c>
      <c r="K155" s="579"/>
      <c r="L155" s="580">
        <v>43146</v>
      </c>
      <c r="M155" s="580"/>
      <c r="N155" s="580"/>
      <c r="O155" s="580">
        <v>43146</v>
      </c>
      <c r="P155" s="581">
        <v>1</v>
      </c>
      <c r="Q155" s="1017">
        <v>1</v>
      </c>
      <c r="R155" s="582">
        <v>20000</v>
      </c>
      <c r="S155" s="1049" t="s">
        <v>1730</v>
      </c>
      <c r="T155" s="584" t="s">
        <v>38</v>
      </c>
      <c r="U155" s="584"/>
      <c r="V155" s="584"/>
      <c r="W155" s="585"/>
      <c r="X155" s="120"/>
      <c r="Y155" s="120"/>
      <c r="Z155" s="120"/>
      <c r="AA155" s="120"/>
      <c r="AB155" s="120"/>
      <c r="AC155" s="120"/>
      <c r="AD155" s="336"/>
      <c r="AE155" s="186"/>
    </row>
    <row r="156" spans="1:32" ht="65">
      <c r="A156" s="1119"/>
      <c r="B156" s="957" t="s">
        <v>56</v>
      </c>
      <c r="C156" s="586" t="s">
        <v>1913</v>
      </c>
      <c r="D156" s="973" t="s">
        <v>57</v>
      </c>
      <c r="E156" s="973"/>
      <c r="F156" s="973"/>
      <c r="G156" s="973"/>
      <c r="H156" s="578" t="s">
        <v>58</v>
      </c>
      <c r="I156" s="579" t="s">
        <v>47</v>
      </c>
      <c r="J156" s="1577" t="s">
        <v>1914</v>
      </c>
      <c r="K156" s="579"/>
      <c r="L156" s="580">
        <v>42944</v>
      </c>
      <c r="M156" s="580"/>
      <c r="N156" s="580"/>
      <c r="O156" s="580">
        <v>43150</v>
      </c>
      <c r="P156" s="581">
        <v>2</v>
      </c>
      <c r="Q156" s="581">
        <v>2</v>
      </c>
      <c r="R156" s="582">
        <v>450000</v>
      </c>
      <c r="S156" s="583" t="s">
        <v>1780</v>
      </c>
      <c r="T156" s="584" t="s">
        <v>38</v>
      </c>
      <c r="U156" s="584"/>
      <c r="V156" s="584"/>
      <c r="W156" s="585" t="s">
        <v>1627</v>
      </c>
      <c r="X156" s="120"/>
      <c r="Y156" s="120"/>
      <c r="Z156" s="120"/>
      <c r="AA156" s="120"/>
      <c r="AB156" s="120"/>
      <c r="AC156" s="120"/>
      <c r="AD156" s="336"/>
      <c r="AE156" s="186"/>
      <c r="AF156" s="1"/>
    </row>
    <row r="157" spans="1:32" ht="174">
      <c r="A157" s="498"/>
      <c r="B157" s="1" t="s">
        <v>44</v>
      </c>
      <c r="C157" s="4"/>
      <c r="D157" s="118" t="s">
        <v>32</v>
      </c>
      <c r="E157" s="118"/>
      <c r="F157" s="118"/>
      <c r="G157" s="118"/>
      <c r="H157" s="5" t="s">
        <v>33</v>
      </c>
      <c r="I157" s="12" t="s">
        <v>47</v>
      </c>
      <c r="J157" s="16" t="s">
        <v>1915</v>
      </c>
      <c r="K157" s="16"/>
      <c r="L157" s="16"/>
      <c r="M157" s="182">
        <v>43040</v>
      </c>
      <c r="N157" s="182"/>
      <c r="O157" s="182">
        <v>43157</v>
      </c>
      <c r="P157" s="12">
        <v>12</v>
      </c>
      <c r="Q157" s="7" t="s">
        <v>50</v>
      </c>
      <c r="R157" s="18">
        <v>14470</v>
      </c>
      <c r="S157" s="31" t="s">
        <v>1639</v>
      </c>
      <c r="T157" s="12" t="s">
        <v>38</v>
      </c>
      <c r="U157" s="4"/>
      <c r="V157" s="4"/>
      <c r="W157" s="12" t="s">
        <v>1640</v>
      </c>
      <c r="X157" s="5" t="s">
        <v>543</v>
      </c>
      <c r="Y157" s="5" t="s">
        <v>40</v>
      </c>
      <c r="Z157" s="5"/>
      <c r="AA157" s="5"/>
      <c r="AB157" s="7"/>
      <c r="AC157" s="8" t="s">
        <v>1916</v>
      </c>
      <c r="AD157" s="147"/>
      <c r="AE157" s="228">
        <v>4650</v>
      </c>
      <c r="AF157" s="56"/>
    </row>
    <row r="158" spans="1:32" ht="45" customHeight="1">
      <c r="A158" s="1119"/>
      <c r="B158" s="957" t="s">
        <v>56</v>
      </c>
      <c r="C158" s="586" t="s">
        <v>1917</v>
      </c>
      <c r="D158" s="973" t="s">
        <v>57</v>
      </c>
      <c r="E158" s="973"/>
      <c r="F158" s="973"/>
      <c r="G158" s="973"/>
      <c r="H158" s="578" t="s">
        <v>58</v>
      </c>
      <c r="I158" s="579" t="s">
        <v>47</v>
      </c>
      <c r="J158" s="1577" t="s">
        <v>1918</v>
      </c>
      <c r="K158" s="579"/>
      <c r="L158" s="580">
        <v>43020</v>
      </c>
      <c r="M158" s="580"/>
      <c r="N158" s="580"/>
      <c r="O158" s="580">
        <v>43157</v>
      </c>
      <c r="P158" s="581">
        <v>1</v>
      </c>
      <c r="Q158" s="581">
        <v>1</v>
      </c>
      <c r="R158" s="582">
        <v>20000</v>
      </c>
      <c r="S158" s="584" t="s">
        <v>1730</v>
      </c>
      <c r="T158" s="584" t="s">
        <v>38</v>
      </c>
      <c r="U158" s="584"/>
      <c r="V158" s="584"/>
      <c r="W158" s="585" t="s">
        <v>1627</v>
      </c>
      <c r="X158" s="120"/>
      <c r="Y158" s="120"/>
      <c r="Z158" s="120"/>
      <c r="AA158" s="120"/>
      <c r="AB158" s="120"/>
      <c r="AC158" s="120"/>
      <c r="AD158" s="336"/>
      <c r="AE158" s="186"/>
      <c r="AF158" s="56"/>
    </row>
    <row r="159" spans="1:32" s="56" customFormat="1" ht="57.65" customHeight="1">
      <c r="A159" s="1119"/>
      <c r="B159" s="957" t="s">
        <v>56</v>
      </c>
      <c r="C159" s="586" t="s">
        <v>1919</v>
      </c>
      <c r="D159" s="973" t="s">
        <v>57</v>
      </c>
      <c r="E159" s="973"/>
      <c r="F159" s="973"/>
      <c r="G159" s="973"/>
      <c r="H159" s="578" t="s">
        <v>58</v>
      </c>
      <c r="I159" s="579" t="s">
        <v>47</v>
      </c>
      <c r="J159" s="1577" t="s">
        <v>1920</v>
      </c>
      <c r="K159" s="579"/>
      <c r="L159" s="580">
        <v>43069</v>
      </c>
      <c r="M159" s="580"/>
      <c r="N159" s="580"/>
      <c r="O159" s="580">
        <v>43157</v>
      </c>
      <c r="P159" s="581">
        <v>1</v>
      </c>
      <c r="Q159" s="1017">
        <v>1</v>
      </c>
      <c r="R159" s="582">
        <v>15000</v>
      </c>
      <c r="S159" s="584" t="s">
        <v>1730</v>
      </c>
      <c r="T159" s="584" t="s">
        <v>38</v>
      </c>
      <c r="U159" s="584"/>
      <c r="V159" s="584"/>
      <c r="W159" s="585" t="s">
        <v>1627</v>
      </c>
      <c r="X159" s="120"/>
      <c r="Y159" s="120"/>
      <c r="Z159" s="120"/>
      <c r="AA159" s="120"/>
      <c r="AB159" s="120"/>
      <c r="AC159" s="120"/>
      <c r="AD159" s="336"/>
      <c r="AE159" s="186"/>
      <c r="AF159"/>
    </row>
    <row r="160" spans="1:32" ht="65">
      <c r="A160" s="1119"/>
      <c r="B160" s="957" t="s">
        <v>56</v>
      </c>
      <c r="C160" s="577" t="s">
        <v>1921</v>
      </c>
      <c r="D160" s="973" t="s">
        <v>32</v>
      </c>
      <c r="E160" s="973"/>
      <c r="F160" s="973"/>
      <c r="G160" s="973"/>
      <c r="H160" s="578" t="s">
        <v>308</v>
      </c>
      <c r="I160" s="579" t="s">
        <v>47</v>
      </c>
      <c r="J160" s="1577" t="s">
        <v>1922</v>
      </c>
      <c r="K160" s="579"/>
      <c r="L160" s="580">
        <v>43130</v>
      </c>
      <c r="M160" s="580"/>
      <c r="N160" s="580"/>
      <c r="O160" s="580">
        <v>43158</v>
      </c>
      <c r="P160" s="581">
        <v>4</v>
      </c>
      <c r="Q160" s="581">
        <v>4</v>
      </c>
      <c r="R160" s="582">
        <v>333000</v>
      </c>
      <c r="S160" s="1042" t="s">
        <v>1863</v>
      </c>
      <c r="T160" s="584" t="s">
        <v>38</v>
      </c>
      <c r="U160" s="584"/>
      <c r="V160" s="584"/>
      <c r="W160" s="578" t="s">
        <v>1923</v>
      </c>
      <c r="X160" s="120"/>
      <c r="Y160" s="120"/>
      <c r="Z160" s="120"/>
      <c r="AA160" s="120"/>
      <c r="AB160" s="120"/>
      <c r="AC160" s="120"/>
      <c r="AD160" s="336"/>
      <c r="AE160" s="186"/>
    </row>
    <row r="161" spans="1:32" s="56" customFormat="1" ht="25">
      <c r="A161" s="1119"/>
      <c r="B161" s="957" t="s">
        <v>56</v>
      </c>
      <c r="C161" s="601"/>
      <c r="D161" s="611" t="s">
        <v>57</v>
      </c>
      <c r="E161" s="611"/>
      <c r="F161" s="611"/>
      <c r="G161" s="611"/>
      <c r="H161" s="511" t="s">
        <v>308</v>
      </c>
      <c r="I161" s="519" t="s">
        <v>47</v>
      </c>
      <c r="J161" s="606" t="s">
        <v>1924</v>
      </c>
      <c r="K161" s="529"/>
      <c r="L161" s="602">
        <v>43398</v>
      </c>
      <c r="M161" s="602"/>
      <c r="N161" s="602"/>
      <c r="O161" s="602">
        <v>43159</v>
      </c>
      <c r="P161" s="516">
        <v>48</v>
      </c>
      <c r="Q161" s="516">
        <v>48</v>
      </c>
      <c r="R161" s="614">
        <v>250000</v>
      </c>
      <c r="S161" s="1043" t="s">
        <v>60</v>
      </c>
      <c r="T161" s="515" t="s">
        <v>38</v>
      </c>
      <c r="U161" s="515"/>
      <c r="V161" s="515"/>
      <c r="W161" s="519" t="s">
        <v>651</v>
      </c>
      <c r="X161" s="120"/>
      <c r="Y161" s="120"/>
      <c r="Z161" s="120"/>
      <c r="AA161" s="120"/>
      <c r="AB161" s="120"/>
      <c r="AC161" s="120"/>
      <c r="AD161" s="336"/>
      <c r="AE161" s="186"/>
      <c r="AF161"/>
    </row>
    <row r="162" spans="1:32" s="1" customFormat="1" ht="29">
      <c r="A162" s="498"/>
      <c r="B162" s="1" t="s">
        <v>44</v>
      </c>
      <c r="C162" s="4"/>
      <c r="D162" s="118" t="s">
        <v>32</v>
      </c>
      <c r="E162" s="118"/>
      <c r="F162" s="118"/>
      <c r="G162" s="118"/>
      <c r="H162" s="12" t="s">
        <v>33</v>
      </c>
      <c r="I162" s="12" t="s">
        <v>47</v>
      </c>
      <c r="J162" s="103" t="s">
        <v>1925</v>
      </c>
      <c r="K162" s="103"/>
      <c r="L162" s="103"/>
      <c r="M162" s="182">
        <v>42826</v>
      </c>
      <c r="N162" s="182"/>
      <c r="O162" s="182">
        <v>43160</v>
      </c>
      <c r="P162" s="12">
        <v>96</v>
      </c>
      <c r="Q162" s="25" t="s">
        <v>355</v>
      </c>
      <c r="R162" s="18">
        <v>64000</v>
      </c>
      <c r="S162" s="31" t="s">
        <v>176</v>
      </c>
      <c r="T162" s="12" t="s">
        <v>38</v>
      </c>
      <c r="U162" s="4"/>
      <c r="V162" s="4"/>
      <c r="W162" s="12" t="s">
        <v>1926</v>
      </c>
      <c r="X162" s="12" t="s">
        <v>86</v>
      </c>
      <c r="Y162" s="5" t="s">
        <v>40</v>
      </c>
      <c r="Z162" s="5"/>
      <c r="AA162" s="27"/>
      <c r="AB162" s="7"/>
      <c r="AC162" s="8" t="s">
        <v>1927</v>
      </c>
      <c r="AD162" s="147"/>
      <c r="AE162" s="228"/>
    </row>
    <row r="163" spans="1:32" ht="30.75" customHeight="1">
      <c r="A163" s="498"/>
      <c r="B163" s="1" t="s">
        <v>44</v>
      </c>
      <c r="C163" s="4"/>
      <c r="D163" s="121" t="s">
        <v>32</v>
      </c>
      <c r="E163" s="121"/>
      <c r="F163" s="121"/>
      <c r="G163" s="121"/>
      <c r="H163" s="12" t="s">
        <v>33</v>
      </c>
      <c r="I163" s="12" t="s">
        <v>47</v>
      </c>
      <c r="J163" s="16" t="s">
        <v>1925</v>
      </c>
      <c r="K163" s="16"/>
      <c r="L163" s="16"/>
      <c r="M163" s="199">
        <v>42887</v>
      </c>
      <c r="N163" s="199"/>
      <c r="O163" s="182">
        <v>43160</v>
      </c>
      <c r="P163" s="12">
        <v>96</v>
      </c>
      <c r="Q163" s="27" t="s">
        <v>355</v>
      </c>
      <c r="R163" s="18">
        <v>64000</v>
      </c>
      <c r="S163" s="31" t="s">
        <v>176</v>
      </c>
      <c r="T163" s="12" t="s">
        <v>38</v>
      </c>
      <c r="U163" s="4"/>
      <c r="V163" s="4"/>
      <c r="W163" s="12" t="s">
        <v>1928</v>
      </c>
      <c r="X163" s="12" t="s">
        <v>1633</v>
      </c>
      <c r="Y163" s="5" t="s">
        <v>40</v>
      </c>
      <c r="Z163" s="5"/>
      <c r="AA163" s="5"/>
      <c r="AB163" s="104"/>
      <c r="AC163" s="8" t="s">
        <v>1929</v>
      </c>
      <c r="AD163" s="147"/>
      <c r="AE163" s="228"/>
    </row>
    <row r="164" spans="1:32" s="1" customFormat="1" ht="91">
      <c r="A164" s="1119"/>
      <c r="B164" s="957" t="s">
        <v>56</v>
      </c>
      <c r="C164" s="577" t="s">
        <v>1930</v>
      </c>
      <c r="D164" s="973" t="s">
        <v>57</v>
      </c>
      <c r="E164" s="973"/>
      <c r="F164" s="973"/>
      <c r="G164" s="973"/>
      <c r="H164" s="578" t="s">
        <v>58</v>
      </c>
      <c r="I164" s="579" t="s">
        <v>47</v>
      </c>
      <c r="J164" s="1577" t="s">
        <v>1931</v>
      </c>
      <c r="K164" s="579"/>
      <c r="L164" s="580">
        <v>43129</v>
      </c>
      <c r="M164" s="580"/>
      <c r="N164" s="580"/>
      <c r="O164" s="580">
        <v>43164</v>
      </c>
      <c r="P164" s="581">
        <v>1</v>
      </c>
      <c r="Q164" s="581">
        <v>1</v>
      </c>
      <c r="R164" s="582">
        <v>370000</v>
      </c>
      <c r="S164" s="1042" t="s">
        <v>1650</v>
      </c>
      <c r="T164" s="584" t="s">
        <v>38</v>
      </c>
      <c r="U164" s="584"/>
      <c r="V164" s="584"/>
      <c r="W164" s="585" t="s">
        <v>1860</v>
      </c>
      <c r="X164" s="120"/>
      <c r="Y164" s="1081"/>
      <c r="Z164" s="120"/>
      <c r="AA164" s="120"/>
      <c r="AB164" s="120"/>
      <c r="AC164" s="120"/>
      <c r="AD164" s="336"/>
      <c r="AE164" s="186"/>
      <c r="AF164" s="56"/>
    </row>
    <row r="165" spans="1:32" s="1" customFormat="1" ht="43.5">
      <c r="A165" s="1119"/>
      <c r="B165" s="1" t="s">
        <v>44</v>
      </c>
      <c r="C165" s="4"/>
      <c r="D165" s="118" t="s">
        <v>32</v>
      </c>
      <c r="E165" s="118"/>
      <c r="F165" s="118"/>
      <c r="G165" s="118"/>
      <c r="H165" s="5" t="s">
        <v>394</v>
      </c>
      <c r="I165" s="5" t="s">
        <v>47</v>
      </c>
      <c r="J165" s="16" t="s">
        <v>1932</v>
      </c>
      <c r="K165" s="8"/>
      <c r="L165" s="8"/>
      <c r="M165" s="199">
        <v>43009</v>
      </c>
      <c r="N165" s="199"/>
      <c r="O165" s="199">
        <v>43172</v>
      </c>
      <c r="P165" s="5">
        <v>36</v>
      </c>
      <c r="Q165" s="25" t="s">
        <v>98</v>
      </c>
      <c r="R165" s="18">
        <v>6000</v>
      </c>
      <c r="S165" s="31" t="s">
        <v>176</v>
      </c>
      <c r="T165" s="11" t="s">
        <v>38</v>
      </c>
      <c r="U165" s="4"/>
      <c r="V165" s="4"/>
      <c r="W165" s="5" t="s">
        <v>1933</v>
      </c>
      <c r="X165" s="5" t="s">
        <v>1764</v>
      </c>
      <c r="Y165" s="5" t="s">
        <v>40</v>
      </c>
      <c r="Z165" s="5"/>
      <c r="AA165" s="5"/>
      <c r="AB165" s="7"/>
      <c r="AC165" s="8" t="s">
        <v>1934</v>
      </c>
      <c r="AD165" s="147"/>
      <c r="AE165" s="227"/>
    </row>
    <row r="166" spans="1:32" ht="37.5">
      <c r="A166" s="1119"/>
      <c r="B166" s="957" t="s">
        <v>56</v>
      </c>
      <c r="C166" s="510" t="s">
        <v>1935</v>
      </c>
      <c r="D166" s="611" t="s">
        <v>32</v>
      </c>
      <c r="E166" s="611"/>
      <c r="F166" s="611"/>
      <c r="G166" s="611"/>
      <c r="H166" s="511" t="s">
        <v>308</v>
      </c>
      <c r="I166" s="519" t="s">
        <v>47</v>
      </c>
      <c r="J166" s="1578" t="s">
        <v>1936</v>
      </c>
      <c r="K166" s="512"/>
      <c r="L166" s="597" t="s">
        <v>251</v>
      </c>
      <c r="M166" s="597"/>
      <c r="N166" s="597"/>
      <c r="O166" s="597">
        <v>43178</v>
      </c>
      <c r="P166" s="516">
        <v>5</v>
      </c>
      <c r="Q166" s="1009">
        <v>5</v>
      </c>
      <c r="R166" s="599">
        <v>530000</v>
      </c>
      <c r="S166" s="1043" t="s">
        <v>1937</v>
      </c>
      <c r="T166" s="515" t="s">
        <v>38</v>
      </c>
      <c r="U166" s="515"/>
      <c r="V166" s="515"/>
      <c r="W166" s="519" t="s">
        <v>714</v>
      </c>
      <c r="X166" s="120"/>
      <c r="Y166" s="120"/>
      <c r="Z166" s="120"/>
      <c r="AA166" s="120"/>
      <c r="AB166" s="120"/>
      <c r="AC166" s="120"/>
      <c r="AD166" s="336"/>
      <c r="AE166" s="186"/>
      <c r="AF166" s="1"/>
    </row>
    <row r="167" spans="1:32" s="56" customFormat="1" ht="89.15" customHeight="1">
      <c r="A167" s="1119"/>
      <c r="B167" s="957" t="s">
        <v>56</v>
      </c>
      <c r="C167" s="577" t="s">
        <v>1938</v>
      </c>
      <c r="D167" s="973" t="s">
        <v>57</v>
      </c>
      <c r="E167" s="973"/>
      <c r="F167" s="973"/>
      <c r="G167" s="973"/>
      <c r="H167" s="578" t="s">
        <v>58</v>
      </c>
      <c r="I167" s="579" t="s">
        <v>47</v>
      </c>
      <c r="J167" s="1577" t="s">
        <v>1939</v>
      </c>
      <c r="K167" s="579"/>
      <c r="L167" s="580">
        <v>43157</v>
      </c>
      <c r="M167" s="580"/>
      <c r="N167" s="580"/>
      <c r="O167" s="580">
        <v>43185</v>
      </c>
      <c r="P167" s="581">
        <v>1</v>
      </c>
      <c r="Q167" s="1017">
        <v>1</v>
      </c>
      <c r="R167" s="582">
        <v>30000</v>
      </c>
      <c r="S167" s="1042" t="s">
        <v>1780</v>
      </c>
      <c r="T167" s="584" t="s">
        <v>38</v>
      </c>
      <c r="U167" s="584"/>
      <c r="V167" s="584"/>
      <c r="W167" s="578" t="s">
        <v>1940</v>
      </c>
      <c r="X167" s="120"/>
      <c r="Y167" s="120"/>
      <c r="Z167" s="120"/>
      <c r="AA167" s="120"/>
      <c r="AB167" s="120"/>
      <c r="AC167" s="120"/>
      <c r="AD167" s="336"/>
      <c r="AE167" s="186"/>
    </row>
    <row r="168" spans="1:32" s="56" customFormat="1" ht="72.5">
      <c r="A168" s="2756"/>
      <c r="B168" s="1" t="s">
        <v>44</v>
      </c>
      <c r="C168" s="4"/>
      <c r="D168" s="147" t="s">
        <v>32</v>
      </c>
      <c r="E168" s="147"/>
      <c r="F168" s="147"/>
      <c r="G168" s="147"/>
      <c r="H168" s="5" t="s">
        <v>33</v>
      </c>
      <c r="I168" s="8" t="s">
        <v>34</v>
      </c>
      <c r="J168" s="16" t="s">
        <v>1941</v>
      </c>
      <c r="K168" s="8"/>
      <c r="L168" s="8"/>
      <c r="M168" s="14">
        <v>42767</v>
      </c>
      <c r="N168" s="14"/>
      <c r="O168" s="14">
        <v>43186</v>
      </c>
      <c r="P168" s="12">
        <v>72</v>
      </c>
      <c r="Q168" s="26" t="s">
        <v>552</v>
      </c>
      <c r="R168" s="82">
        <v>1315000</v>
      </c>
      <c r="S168" s="5" t="s">
        <v>91</v>
      </c>
      <c r="T168" s="14" t="s">
        <v>38</v>
      </c>
      <c r="U168" s="4"/>
      <c r="V168" s="4"/>
      <c r="W168" s="5" t="s">
        <v>142</v>
      </c>
      <c r="X168" s="5" t="s">
        <v>1598</v>
      </c>
      <c r="Y168" s="5" t="s">
        <v>40</v>
      </c>
      <c r="Z168" s="5"/>
      <c r="AA168" s="5"/>
      <c r="AB168" s="13"/>
      <c r="AC168" s="8" t="s">
        <v>1942</v>
      </c>
      <c r="AD168" s="147"/>
      <c r="AE168" s="26"/>
      <c r="AF168"/>
    </row>
    <row r="169" spans="1:32" s="1" customFormat="1" ht="29">
      <c r="A169" s="498"/>
      <c r="B169" s="1" t="s">
        <v>44</v>
      </c>
      <c r="C169" s="4"/>
      <c r="D169" s="147" t="s">
        <v>32</v>
      </c>
      <c r="E169" s="147"/>
      <c r="F169" s="147"/>
      <c r="G169" s="147"/>
      <c r="H169" s="5" t="s">
        <v>33</v>
      </c>
      <c r="I169" s="8" t="s">
        <v>47</v>
      </c>
      <c r="J169" s="16" t="s">
        <v>1943</v>
      </c>
      <c r="K169" s="8"/>
      <c r="L169" s="8"/>
      <c r="M169" s="199">
        <v>42826</v>
      </c>
      <c r="N169" s="199"/>
      <c r="O169" s="199">
        <v>43190</v>
      </c>
      <c r="P169" s="5">
        <v>12</v>
      </c>
      <c r="Q169" s="7" t="s">
        <v>50</v>
      </c>
      <c r="R169" s="82">
        <v>50000</v>
      </c>
      <c r="S169" s="31" t="s">
        <v>176</v>
      </c>
      <c r="T169" s="11" t="s">
        <v>38</v>
      </c>
      <c r="U169" s="4"/>
      <c r="V169" s="4"/>
      <c r="W169" s="5" t="s">
        <v>383</v>
      </c>
      <c r="X169" s="5" t="s">
        <v>1613</v>
      </c>
      <c r="Y169" s="5" t="s">
        <v>40</v>
      </c>
      <c r="Z169" s="5"/>
      <c r="AA169" s="26"/>
      <c r="AB169" s="7"/>
      <c r="AC169" s="8" t="s">
        <v>1944</v>
      </c>
      <c r="AD169" s="147"/>
      <c r="AE169" s="26"/>
      <c r="AF169"/>
    </row>
    <row r="170" spans="1:32" s="1" customFormat="1" ht="86.9" customHeight="1">
      <c r="A170" s="1190"/>
      <c r="B170" s="1" t="s">
        <v>44</v>
      </c>
      <c r="C170" s="4"/>
      <c r="D170" s="118" t="s">
        <v>57</v>
      </c>
      <c r="E170" s="118"/>
      <c r="F170" s="118"/>
      <c r="G170" s="118"/>
      <c r="H170" s="5" t="s">
        <v>165</v>
      </c>
      <c r="I170" s="5" t="s">
        <v>47</v>
      </c>
      <c r="J170" s="16" t="s">
        <v>1945</v>
      </c>
      <c r="K170" s="16"/>
      <c r="L170" s="16"/>
      <c r="M170" s="14">
        <v>42826</v>
      </c>
      <c r="N170" s="14"/>
      <c r="O170" s="14">
        <v>43190</v>
      </c>
      <c r="P170" s="12">
        <v>72</v>
      </c>
      <c r="Q170" s="5" t="s">
        <v>552</v>
      </c>
      <c r="R170" s="41">
        <v>20341525</v>
      </c>
      <c r="S170" s="5" t="s">
        <v>91</v>
      </c>
      <c r="T170" s="14" t="s">
        <v>70</v>
      </c>
      <c r="U170" s="4"/>
      <c r="V170" s="4"/>
      <c r="W170" s="5" t="s">
        <v>167</v>
      </c>
      <c r="X170" s="5" t="s">
        <v>543</v>
      </c>
      <c r="Y170" s="5" t="s">
        <v>40</v>
      </c>
      <c r="Z170" s="5"/>
      <c r="AA170" s="5"/>
      <c r="AB170" s="7"/>
      <c r="AC170" s="8" t="s">
        <v>1946</v>
      </c>
      <c r="AD170" s="147"/>
      <c r="AE170" s="227">
        <v>2500000</v>
      </c>
      <c r="AF170" s="56"/>
    </row>
    <row r="171" spans="1:32" ht="29">
      <c r="A171" s="1191"/>
      <c r="B171" s="1" t="s">
        <v>44</v>
      </c>
      <c r="C171" s="4"/>
      <c r="D171" s="147" t="s">
        <v>32</v>
      </c>
      <c r="E171" s="147"/>
      <c r="F171" s="147"/>
      <c r="G171" s="147"/>
      <c r="H171" s="5" t="s">
        <v>80</v>
      </c>
      <c r="I171" s="8" t="s">
        <v>47</v>
      </c>
      <c r="J171" s="16" t="s">
        <v>1947</v>
      </c>
      <c r="K171" s="8"/>
      <c r="L171" s="8"/>
      <c r="M171" s="14">
        <v>42552</v>
      </c>
      <c r="N171" s="14"/>
      <c r="O171" s="14">
        <v>43191</v>
      </c>
      <c r="P171" s="12">
        <v>48</v>
      </c>
      <c r="Q171" s="26" t="s">
        <v>83</v>
      </c>
      <c r="R171" s="82">
        <v>2898761</v>
      </c>
      <c r="S171" s="5" t="s">
        <v>1948</v>
      </c>
      <c r="T171" s="14" t="s">
        <v>38</v>
      </c>
      <c r="U171" s="4"/>
      <c r="V171" s="4"/>
      <c r="W171" s="5" t="s">
        <v>1597</v>
      </c>
      <c r="X171" s="5" t="s">
        <v>1674</v>
      </c>
      <c r="Y171" s="5" t="s">
        <v>40</v>
      </c>
      <c r="Z171" s="5"/>
      <c r="AA171" s="5"/>
      <c r="AB171" s="13"/>
      <c r="AC171" s="8" t="s">
        <v>1949</v>
      </c>
      <c r="AD171" s="147"/>
      <c r="AE171" s="26">
        <v>724690</v>
      </c>
    </row>
    <row r="172" spans="1:32" s="35" customFormat="1" ht="43.4" customHeight="1">
      <c r="A172" s="1119"/>
      <c r="B172" s="1" t="s">
        <v>44</v>
      </c>
      <c r="C172" s="4"/>
      <c r="D172" s="147" t="s">
        <v>32</v>
      </c>
      <c r="E172" s="147"/>
      <c r="F172" s="147"/>
      <c r="G172" s="147"/>
      <c r="H172" s="5" t="s">
        <v>80</v>
      </c>
      <c r="I172" s="8" t="s">
        <v>47</v>
      </c>
      <c r="J172" s="16" t="s">
        <v>1950</v>
      </c>
      <c r="K172" s="16"/>
      <c r="L172" s="16"/>
      <c r="M172" s="182">
        <v>42552</v>
      </c>
      <c r="N172" s="182"/>
      <c r="O172" s="182">
        <v>43191</v>
      </c>
      <c r="P172" s="12">
        <v>48</v>
      </c>
      <c r="Q172" s="25" t="s">
        <v>258</v>
      </c>
      <c r="R172" s="18">
        <v>10058051</v>
      </c>
      <c r="S172" s="5" t="s">
        <v>91</v>
      </c>
      <c r="T172" s="12" t="s">
        <v>38</v>
      </c>
      <c r="U172" s="4"/>
      <c r="V172" s="4"/>
      <c r="W172" s="5" t="s">
        <v>1597</v>
      </c>
      <c r="X172" s="12" t="s">
        <v>1674</v>
      </c>
      <c r="Y172" s="5" t="s">
        <v>40</v>
      </c>
      <c r="Z172" s="5"/>
      <c r="AA172" s="5"/>
      <c r="AB172" s="12"/>
      <c r="AC172" s="8" t="s">
        <v>1880</v>
      </c>
      <c r="AD172" s="147"/>
      <c r="AE172" s="228">
        <v>2515512</v>
      </c>
      <c r="AF172"/>
    </row>
    <row r="173" spans="1:32" s="56" customFormat="1" ht="62.25" customHeight="1">
      <c r="A173" s="1184"/>
      <c r="B173" s="1" t="s">
        <v>44</v>
      </c>
      <c r="C173" s="4"/>
      <c r="D173" s="147" t="s">
        <v>32</v>
      </c>
      <c r="E173" s="147"/>
      <c r="F173" s="147"/>
      <c r="G173" s="147"/>
      <c r="H173" s="5" t="s">
        <v>80</v>
      </c>
      <c r="I173" s="8" t="s">
        <v>34</v>
      </c>
      <c r="J173" s="16" t="s">
        <v>1951</v>
      </c>
      <c r="K173" s="16"/>
      <c r="L173" s="16"/>
      <c r="M173" s="182">
        <v>42552</v>
      </c>
      <c r="N173" s="182"/>
      <c r="O173" s="182">
        <v>43191</v>
      </c>
      <c r="P173" s="12">
        <v>24</v>
      </c>
      <c r="Q173" s="7" t="s">
        <v>391</v>
      </c>
      <c r="R173" s="18">
        <v>11314000</v>
      </c>
      <c r="S173" s="5" t="s">
        <v>84</v>
      </c>
      <c r="T173" s="12" t="s">
        <v>38</v>
      </c>
      <c r="U173" s="4"/>
      <c r="V173" s="4"/>
      <c r="W173" s="5" t="s">
        <v>1597</v>
      </c>
      <c r="X173" s="12" t="s">
        <v>1674</v>
      </c>
      <c r="Y173" s="5" t="s">
        <v>40</v>
      </c>
      <c r="Z173" s="5"/>
      <c r="AA173" s="5"/>
      <c r="AB173" s="12"/>
      <c r="AC173" s="8" t="s">
        <v>1952</v>
      </c>
      <c r="AD173" s="147"/>
      <c r="AE173" s="228">
        <v>5657000</v>
      </c>
      <c r="AF173"/>
    </row>
    <row r="174" spans="1:32" ht="43.5">
      <c r="A174" s="2754"/>
      <c r="B174" s="1" t="s">
        <v>44</v>
      </c>
      <c r="C174" s="4"/>
      <c r="D174" s="118" t="s">
        <v>32</v>
      </c>
      <c r="E174" s="118"/>
      <c r="F174" s="118"/>
      <c r="G174" s="118"/>
      <c r="H174" s="5" t="s">
        <v>33</v>
      </c>
      <c r="I174" s="5" t="s">
        <v>47</v>
      </c>
      <c r="J174" s="16" t="s">
        <v>1953</v>
      </c>
      <c r="K174" s="8"/>
      <c r="L174" s="8"/>
      <c r="M174" s="14">
        <v>42767</v>
      </c>
      <c r="N174" s="14"/>
      <c r="O174" s="14">
        <v>43191</v>
      </c>
      <c r="P174" s="12">
        <v>12</v>
      </c>
      <c r="Q174" s="5">
        <v>12</v>
      </c>
      <c r="R174" s="18">
        <v>62150</v>
      </c>
      <c r="S174" s="31" t="s">
        <v>1629</v>
      </c>
      <c r="T174" s="14" t="s">
        <v>38</v>
      </c>
      <c r="U174" s="4"/>
      <c r="V174" s="4"/>
      <c r="W174" s="5" t="s">
        <v>1954</v>
      </c>
      <c r="X174" s="12" t="s">
        <v>86</v>
      </c>
      <c r="Y174" s="5" t="s">
        <v>40</v>
      </c>
      <c r="Z174" s="5"/>
      <c r="AA174" s="5"/>
      <c r="AB174" s="5"/>
      <c r="AC174" s="8" t="s">
        <v>1955</v>
      </c>
      <c r="AD174" s="147" t="s">
        <v>142</v>
      </c>
      <c r="AE174" s="26"/>
      <c r="AF174" s="56"/>
    </row>
    <row r="175" spans="1:32" ht="43.5">
      <c r="A175" s="1184"/>
      <c r="B175" s="1" t="s">
        <v>44</v>
      </c>
      <c r="C175" s="4"/>
      <c r="D175" s="118" t="s">
        <v>122</v>
      </c>
      <c r="E175" s="118"/>
      <c r="F175" s="118"/>
      <c r="G175" s="118"/>
      <c r="H175" s="5" t="s">
        <v>33</v>
      </c>
      <c r="I175" s="5" t="s">
        <v>47</v>
      </c>
      <c r="J175" s="16" t="s">
        <v>1956</v>
      </c>
      <c r="K175" s="8"/>
      <c r="L175" s="8"/>
      <c r="M175" s="14">
        <v>42767</v>
      </c>
      <c r="N175" s="14"/>
      <c r="O175" s="14">
        <v>43191</v>
      </c>
      <c r="P175" s="12">
        <v>12</v>
      </c>
      <c r="Q175" s="5" t="s">
        <v>1345</v>
      </c>
      <c r="R175" s="18">
        <v>60000</v>
      </c>
      <c r="S175" s="31" t="s">
        <v>1629</v>
      </c>
      <c r="T175" s="14" t="s">
        <v>38</v>
      </c>
      <c r="U175" s="4"/>
      <c r="V175" s="4"/>
      <c r="W175" s="5" t="s">
        <v>1954</v>
      </c>
      <c r="X175" s="5" t="s">
        <v>86</v>
      </c>
      <c r="Y175" s="5" t="s">
        <v>40</v>
      </c>
      <c r="Z175" s="5"/>
      <c r="AA175" s="5"/>
      <c r="AB175" s="5"/>
      <c r="AC175" s="8" t="s">
        <v>1957</v>
      </c>
      <c r="AD175" s="147"/>
      <c r="AE175" s="26"/>
    </row>
    <row r="176" spans="1:32" s="1" customFormat="1" ht="43.5">
      <c r="A176" s="498"/>
      <c r="B176" s="1" t="s">
        <v>44</v>
      </c>
      <c r="C176" s="4"/>
      <c r="D176" s="147" t="s">
        <v>32</v>
      </c>
      <c r="E176" s="147"/>
      <c r="F176" s="147"/>
      <c r="G176" s="147"/>
      <c r="H176" s="5" t="s">
        <v>33</v>
      </c>
      <c r="I176" s="8" t="s">
        <v>47</v>
      </c>
      <c r="J176" s="16" t="s">
        <v>1958</v>
      </c>
      <c r="K176" s="16"/>
      <c r="L176" s="16"/>
      <c r="M176" s="182">
        <v>42887</v>
      </c>
      <c r="N176" s="182"/>
      <c r="O176" s="182">
        <v>43191</v>
      </c>
      <c r="P176" s="12">
        <v>24</v>
      </c>
      <c r="Q176" s="28" t="s">
        <v>391</v>
      </c>
      <c r="R176" s="18">
        <v>15000</v>
      </c>
      <c r="S176" s="31" t="s">
        <v>1763</v>
      </c>
      <c r="T176" s="12" t="s">
        <v>38</v>
      </c>
      <c r="U176" s="4"/>
      <c r="V176" s="4"/>
      <c r="W176" s="5" t="s">
        <v>142</v>
      </c>
      <c r="X176" s="12" t="s">
        <v>1674</v>
      </c>
      <c r="Y176" s="5" t="s">
        <v>40</v>
      </c>
      <c r="Z176" s="5"/>
      <c r="AA176" s="5"/>
      <c r="AB176" s="13"/>
      <c r="AC176" s="16" t="s">
        <v>1959</v>
      </c>
      <c r="AD176" s="2792"/>
      <c r="AE176" s="228">
        <v>7440</v>
      </c>
      <c r="AF176" s="56"/>
    </row>
    <row r="177" spans="1:32" s="1" customFormat="1" ht="145">
      <c r="A177" s="498"/>
      <c r="B177" s="1" t="s">
        <v>44</v>
      </c>
      <c r="C177" s="4"/>
      <c r="D177" s="147" t="s">
        <v>32</v>
      </c>
      <c r="E177" s="147"/>
      <c r="F177" s="147"/>
      <c r="G177" s="147"/>
      <c r="H177" s="5" t="s">
        <v>33</v>
      </c>
      <c r="I177" s="8" t="s">
        <v>34</v>
      </c>
      <c r="J177" s="16" t="s">
        <v>1960</v>
      </c>
      <c r="K177" s="16"/>
      <c r="L177" s="16"/>
      <c r="M177" s="182">
        <v>42887</v>
      </c>
      <c r="N177" s="182"/>
      <c r="O177" s="182">
        <v>43191</v>
      </c>
      <c r="P177" s="12">
        <v>60</v>
      </c>
      <c r="Q177" s="28" t="s">
        <v>1961</v>
      </c>
      <c r="R177" s="18">
        <v>45000</v>
      </c>
      <c r="S177" s="31" t="s">
        <v>176</v>
      </c>
      <c r="T177" s="12" t="s">
        <v>38</v>
      </c>
      <c r="U177" s="4"/>
      <c r="V177" s="4"/>
      <c r="W177" s="5" t="s">
        <v>142</v>
      </c>
      <c r="X177" s="12" t="s">
        <v>1962</v>
      </c>
      <c r="Y177" s="5" t="s">
        <v>40</v>
      </c>
      <c r="Z177" s="5"/>
      <c r="AA177" s="5"/>
      <c r="AB177" s="13"/>
      <c r="AC177" s="16" t="s">
        <v>1963</v>
      </c>
      <c r="AD177" s="2792"/>
      <c r="AE177" s="228">
        <v>7440</v>
      </c>
    </row>
    <row r="178" spans="1:32" s="35" customFormat="1">
      <c r="A178" s="498"/>
      <c r="B178" s="1" t="s">
        <v>44</v>
      </c>
      <c r="C178" s="4"/>
      <c r="D178" s="147" t="s">
        <v>32</v>
      </c>
      <c r="E178" s="147"/>
      <c r="F178" s="147"/>
      <c r="G178" s="147"/>
      <c r="H178" s="12" t="s">
        <v>502</v>
      </c>
      <c r="I178" s="8" t="s">
        <v>1564</v>
      </c>
      <c r="J178" s="16" t="s">
        <v>503</v>
      </c>
      <c r="K178" s="16"/>
      <c r="L178" s="16"/>
      <c r="M178" s="182">
        <v>42917</v>
      </c>
      <c r="N178" s="182"/>
      <c r="O178" s="182">
        <v>43191</v>
      </c>
      <c r="P178" s="12">
        <v>36</v>
      </c>
      <c r="Q178" s="12" t="s">
        <v>160</v>
      </c>
      <c r="R178" s="18">
        <v>120000</v>
      </c>
      <c r="S178" s="5" t="s">
        <v>176</v>
      </c>
      <c r="T178" s="12" t="s">
        <v>38</v>
      </c>
      <c r="U178" s="4"/>
      <c r="V178" s="4"/>
      <c r="W178" s="5" t="s">
        <v>504</v>
      </c>
      <c r="X178" s="12" t="s">
        <v>1674</v>
      </c>
      <c r="Y178" s="5" t="s">
        <v>40</v>
      </c>
      <c r="Z178" s="5"/>
      <c r="AA178" s="5"/>
      <c r="AB178" s="12"/>
      <c r="AC178" s="8" t="s">
        <v>1964</v>
      </c>
      <c r="AD178" s="2792"/>
      <c r="AE178" s="228">
        <v>33600</v>
      </c>
      <c r="AF178"/>
    </row>
    <row r="179" spans="1:32" ht="29">
      <c r="A179" s="498"/>
      <c r="B179" s="1" t="s">
        <v>44</v>
      </c>
      <c r="C179" s="4"/>
      <c r="D179" s="118" t="s">
        <v>32</v>
      </c>
      <c r="E179" s="118"/>
      <c r="F179" s="118"/>
      <c r="G179" s="118"/>
      <c r="H179" s="5" t="s">
        <v>1965</v>
      </c>
      <c r="I179" s="5" t="s">
        <v>34</v>
      </c>
      <c r="J179" s="2752" t="s">
        <v>147</v>
      </c>
      <c r="K179" s="2752"/>
      <c r="L179" s="2752"/>
      <c r="M179" s="2764">
        <v>42917</v>
      </c>
      <c r="N179" s="2764"/>
      <c r="O179" s="2764">
        <v>43191</v>
      </c>
      <c r="P179" s="2763">
        <v>60</v>
      </c>
      <c r="Q179" s="2753" t="s">
        <v>1966</v>
      </c>
      <c r="R179" s="18">
        <v>230000</v>
      </c>
      <c r="S179" s="2797" t="s">
        <v>130</v>
      </c>
      <c r="T179" s="2763" t="s">
        <v>38</v>
      </c>
      <c r="U179" s="4"/>
      <c r="V179" s="4"/>
      <c r="W179" s="2763" t="s">
        <v>1967</v>
      </c>
      <c r="X179" s="2751" t="s">
        <v>413</v>
      </c>
      <c r="Y179" s="5" t="s">
        <v>40</v>
      </c>
      <c r="Z179" s="5"/>
      <c r="AA179" s="2796"/>
      <c r="AB179" s="2759">
        <v>43361</v>
      </c>
      <c r="AC179" s="107" t="s">
        <v>1968</v>
      </c>
      <c r="AD179" s="147"/>
      <c r="AE179" s="2798"/>
      <c r="AF179" s="1"/>
    </row>
    <row r="180" spans="1:32" ht="43.5">
      <c r="A180" s="498"/>
      <c r="B180" s="1" t="s">
        <v>44</v>
      </c>
      <c r="C180" s="4"/>
      <c r="D180" s="147" t="s">
        <v>57</v>
      </c>
      <c r="E180" s="147"/>
      <c r="F180" s="147"/>
      <c r="G180" s="147"/>
      <c r="H180" s="5" t="s">
        <v>496</v>
      </c>
      <c r="I180" s="8" t="s">
        <v>47</v>
      </c>
      <c r="J180" s="16" t="s">
        <v>1969</v>
      </c>
      <c r="K180" s="16"/>
      <c r="L180" s="16"/>
      <c r="M180" s="182">
        <v>42927</v>
      </c>
      <c r="N180" s="182"/>
      <c r="O180" s="182">
        <v>43191</v>
      </c>
      <c r="P180" s="12">
        <v>36</v>
      </c>
      <c r="Q180" s="7"/>
      <c r="R180" s="18">
        <v>8100</v>
      </c>
      <c r="S180" s="31" t="s">
        <v>1763</v>
      </c>
      <c r="T180" s="12" t="s">
        <v>38</v>
      </c>
      <c r="U180" s="4"/>
      <c r="V180" s="4"/>
      <c r="W180" s="5" t="s">
        <v>798</v>
      </c>
      <c r="X180" s="12" t="s">
        <v>1674</v>
      </c>
      <c r="Y180" s="5" t="s">
        <v>40</v>
      </c>
      <c r="Z180" s="5"/>
      <c r="AA180" s="5"/>
      <c r="AB180" s="12"/>
      <c r="AC180" s="8" t="s">
        <v>1814</v>
      </c>
      <c r="AD180" s="2792"/>
      <c r="AE180" s="228"/>
      <c r="AF180" s="1"/>
    </row>
    <row r="181" spans="1:32" s="1" customFormat="1" ht="29">
      <c r="A181" s="1119"/>
      <c r="B181" s="1" t="s">
        <v>44</v>
      </c>
      <c r="C181" s="2757"/>
      <c r="D181" s="118" t="s">
        <v>32</v>
      </c>
      <c r="E181" s="118"/>
      <c r="F181" s="118"/>
      <c r="G181" s="118"/>
      <c r="H181" s="5" t="s">
        <v>127</v>
      </c>
      <c r="I181" s="12" t="s">
        <v>34</v>
      </c>
      <c r="J181" s="16" t="s">
        <v>1970</v>
      </c>
      <c r="K181" s="8"/>
      <c r="L181" s="8"/>
      <c r="M181" s="182">
        <v>42948</v>
      </c>
      <c r="N181" s="182"/>
      <c r="O181" s="182">
        <v>43191</v>
      </c>
      <c r="P181" s="12">
        <v>84</v>
      </c>
      <c r="Q181" s="25" t="s">
        <v>1971</v>
      </c>
      <c r="R181" s="18" t="s">
        <v>1972</v>
      </c>
      <c r="S181" s="31" t="s">
        <v>91</v>
      </c>
      <c r="T181" s="11" t="s">
        <v>38</v>
      </c>
      <c r="U181" s="2757"/>
      <c r="V181" s="2757"/>
      <c r="W181" s="12" t="s">
        <v>1973</v>
      </c>
      <c r="X181" s="5" t="s">
        <v>413</v>
      </c>
      <c r="Y181" s="5" t="s">
        <v>40</v>
      </c>
      <c r="Z181" s="5"/>
      <c r="AA181" s="12"/>
      <c r="AB181" s="199">
        <v>43292</v>
      </c>
      <c r="AC181" s="8" t="s">
        <v>1974</v>
      </c>
      <c r="AD181" s="147"/>
      <c r="AE181" s="228">
        <v>40000</v>
      </c>
      <c r="AF181"/>
    </row>
    <row r="182" spans="1:32" s="56" customFormat="1" ht="29">
      <c r="A182" s="498"/>
      <c r="B182" s="1" t="s">
        <v>44</v>
      </c>
      <c r="C182" s="4"/>
      <c r="D182" s="118" t="s">
        <v>122</v>
      </c>
      <c r="E182" s="118"/>
      <c r="F182" s="118"/>
      <c r="G182" s="118"/>
      <c r="H182" s="5" t="s">
        <v>1975</v>
      </c>
      <c r="I182" s="92" t="s">
        <v>47</v>
      </c>
      <c r="J182" s="103" t="s">
        <v>1976</v>
      </c>
      <c r="K182" s="89"/>
      <c r="L182" s="89"/>
      <c r="M182" s="90">
        <v>42979</v>
      </c>
      <c r="N182" s="90"/>
      <c r="O182" s="90">
        <v>43191</v>
      </c>
      <c r="P182" s="91">
        <v>60</v>
      </c>
      <c r="Q182" s="105" t="s">
        <v>187</v>
      </c>
      <c r="R182" s="18">
        <v>25000</v>
      </c>
      <c r="S182" s="31" t="s">
        <v>1615</v>
      </c>
      <c r="T182" s="483" t="s">
        <v>38</v>
      </c>
      <c r="U182" s="4"/>
      <c r="V182" s="4"/>
      <c r="W182" s="92" t="s">
        <v>1977</v>
      </c>
      <c r="X182" s="12" t="s">
        <v>1764</v>
      </c>
      <c r="Y182" s="5" t="s">
        <v>40</v>
      </c>
      <c r="Z182" s="5"/>
      <c r="AA182" s="5"/>
      <c r="AB182" s="7"/>
      <c r="AC182" s="8" t="s">
        <v>1978</v>
      </c>
      <c r="AD182" s="147"/>
      <c r="AE182" s="227"/>
    </row>
    <row r="183" spans="1:32" ht="43.5">
      <c r="A183" s="498"/>
      <c r="B183" s="1" t="s">
        <v>44</v>
      </c>
      <c r="C183" s="4"/>
      <c r="D183" s="147" t="s">
        <v>32</v>
      </c>
      <c r="E183" s="147"/>
      <c r="F183" s="147"/>
      <c r="G183" s="147"/>
      <c r="H183" s="5" t="s">
        <v>33</v>
      </c>
      <c r="I183" s="8" t="s">
        <v>34</v>
      </c>
      <c r="J183" s="16" t="s">
        <v>1979</v>
      </c>
      <c r="K183" s="16"/>
      <c r="L183" s="16"/>
      <c r="M183" s="182">
        <v>42979</v>
      </c>
      <c r="N183" s="182"/>
      <c r="O183" s="182">
        <v>43191</v>
      </c>
      <c r="P183" s="12">
        <v>12</v>
      </c>
      <c r="Q183" s="28" t="s">
        <v>50</v>
      </c>
      <c r="R183" s="18">
        <v>17000</v>
      </c>
      <c r="S183" s="31" t="s">
        <v>45</v>
      </c>
      <c r="T183" s="12" t="s">
        <v>38</v>
      </c>
      <c r="U183" s="4"/>
      <c r="V183" s="4"/>
      <c r="W183" s="5" t="s">
        <v>1980</v>
      </c>
      <c r="X183" s="12" t="s">
        <v>413</v>
      </c>
      <c r="Y183" s="5" t="s">
        <v>40</v>
      </c>
      <c r="Z183" s="5"/>
      <c r="AA183" s="5"/>
      <c r="AB183" s="13"/>
      <c r="AC183" s="16" t="s">
        <v>1981</v>
      </c>
      <c r="AD183" s="147"/>
      <c r="AE183" s="228"/>
      <c r="AF183" s="56"/>
    </row>
    <row r="184" spans="1:32" s="298" customFormat="1" ht="58">
      <c r="A184" s="498"/>
      <c r="B184" s="1" t="s">
        <v>44</v>
      </c>
      <c r="C184" s="4"/>
      <c r="D184" s="8" t="s">
        <v>32</v>
      </c>
      <c r="E184" s="8"/>
      <c r="F184" s="8"/>
      <c r="G184" s="8"/>
      <c r="H184" s="5" t="s">
        <v>127</v>
      </c>
      <c r="I184" s="12" t="s">
        <v>47</v>
      </c>
      <c r="J184" s="16" t="s">
        <v>1982</v>
      </c>
      <c r="K184" s="8"/>
      <c r="L184" s="8"/>
      <c r="M184" s="182">
        <v>43004</v>
      </c>
      <c r="N184" s="182"/>
      <c r="O184" s="182">
        <v>43191</v>
      </c>
      <c r="P184" s="12">
        <v>12</v>
      </c>
      <c r="Q184" s="7" t="s">
        <v>50</v>
      </c>
      <c r="R184" s="18">
        <v>6650</v>
      </c>
      <c r="S184" s="5" t="s">
        <v>1660</v>
      </c>
      <c r="T184" s="12" t="s">
        <v>38</v>
      </c>
      <c r="U184" s="4"/>
      <c r="V184" s="4"/>
      <c r="W184" s="5" t="s">
        <v>1983</v>
      </c>
      <c r="X184" s="5" t="s">
        <v>413</v>
      </c>
      <c r="Y184" s="5" t="s">
        <v>40</v>
      </c>
      <c r="Z184" s="5"/>
      <c r="AA184" s="5"/>
      <c r="AB184" s="5"/>
      <c r="AC184" s="8" t="s">
        <v>1984</v>
      </c>
      <c r="AD184" s="4"/>
      <c r="AE184" s="227"/>
      <c r="AF184" s="1"/>
    </row>
    <row r="185" spans="1:32" ht="43.5">
      <c r="A185" s="1119"/>
      <c r="B185" s="1" t="s">
        <v>44</v>
      </c>
      <c r="C185" s="4"/>
      <c r="D185" s="147" t="s">
        <v>57</v>
      </c>
      <c r="E185" s="147"/>
      <c r="F185" s="147"/>
      <c r="G185" s="147"/>
      <c r="H185" s="5" t="s">
        <v>496</v>
      </c>
      <c r="I185" s="8" t="s">
        <v>47</v>
      </c>
      <c r="J185" s="16" t="s">
        <v>1985</v>
      </c>
      <c r="K185" s="8"/>
      <c r="L185" s="8"/>
      <c r="M185" s="14">
        <v>43040</v>
      </c>
      <c r="N185" s="14"/>
      <c r="O185" s="14">
        <v>43191</v>
      </c>
      <c r="P185" s="12">
        <v>8</v>
      </c>
      <c r="Q185" s="26">
        <v>8</v>
      </c>
      <c r="R185" s="82">
        <v>660000</v>
      </c>
      <c r="S185" s="31" t="s">
        <v>1691</v>
      </c>
      <c r="T185" s="14" t="s">
        <v>38</v>
      </c>
      <c r="U185" s="4"/>
      <c r="V185" s="4"/>
      <c r="W185" s="5" t="s">
        <v>798</v>
      </c>
      <c r="X185" s="5" t="s">
        <v>1674</v>
      </c>
      <c r="Y185" s="5" t="s">
        <v>40</v>
      </c>
      <c r="Z185" s="5"/>
      <c r="AA185" s="5"/>
      <c r="AB185" s="13"/>
      <c r="AC185" s="16" t="s">
        <v>1986</v>
      </c>
      <c r="AD185" s="147"/>
      <c r="AE185" s="26">
        <v>165000</v>
      </c>
      <c r="AF185" s="1"/>
    </row>
    <row r="186" spans="1:32" s="1" customFormat="1" ht="43.5">
      <c r="A186" s="1185"/>
      <c r="B186" s="1" t="s">
        <v>44</v>
      </c>
      <c r="C186" s="4"/>
      <c r="D186" s="118" t="s">
        <v>32</v>
      </c>
      <c r="E186" s="118"/>
      <c r="F186" s="118"/>
      <c r="G186" s="118"/>
      <c r="H186" s="5" t="s">
        <v>1987</v>
      </c>
      <c r="I186" s="5" t="s">
        <v>270</v>
      </c>
      <c r="J186" s="16" t="s">
        <v>1988</v>
      </c>
      <c r="K186" s="8"/>
      <c r="L186" s="8"/>
      <c r="M186" s="182">
        <v>43062</v>
      </c>
      <c r="N186" s="182"/>
      <c r="O186" s="182">
        <v>43191</v>
      </c>
      <c r="P186" s="12">
        <v>12</v>
      </c>
      <c r="Q186" s="25" t="s">
        <v>50</v>
      </c>
      <c r="R186" s="18" t="s">
        <v>45</v>
      </c>
      <c r="S186" s="31" t="s">
        <v>270</v>
      </c>
      <c r="T186" s="12" t="s">
        <v>38</v>
      </c>
      <c r="U186" s="4"/>
      <c r="V186" s="4"/>
      <c r="W186" s="5" t="s">
        <v>1989</v>
      </c>
      <c r="X186" s="5" t="s">
        <v>413</v>
      </c>
      <c r="Y186" s="5" t="s">
        <v>1161</v>
      </c>
      <c r="Z186" s="5"/>
      <c r="AA186" s="5"/>
      <c r="AB186" s="199">
        <v>43650</v>
      </c>
      <c r="AC186" s="106" t="s">
        <v>1990</v>
      </c>
      <c r="AD186" s="178"/>
      <c r="AE186" s="224"/>
      <c r="AF186"/>
    </row>
    <row r="187" spans="1:32" ht="29">
      <c r="A187" s="1119"/>
      <c r="B187" s="1" t="s">
        <v>44</v>
      </c>
      <c r="C187" s="4"/>
      <c r="D187" s="147" t="s">
        <v>32</v>
      </c>
      <c r="E187" s="147"/>
      <c r="F187" s="147"/>
      <c r="G187" s="147"/>
      <c r="H187" s="12" t="s">
        <v>33</v>
      </c>
      <c r="I187" s="10" t="s">
        <v>47</v>
      </c>
      <c r="J187" s="16" t="s">
        <v>1991</v>
      </c>
      <c r="K187" s="16"/>
      <c r="L187" s="16"/>
      <c r="M187" s="182">
        <v>43070</v>
      </c>
      <c r="N187" s="182"/>
      <c r="O187" s="182">
        <v>43191</v>
      </c>
      <c r="P187" s="12">
        <v>48</v>
      </c>
      <c r="Q187" s="13" t="s">
        <v>1992</v>
      </c>
      <c r="R187" s="18">
        <v>147961</v>
      </c>
      <c r="S187" s="31" t="s">
        <v>1691</v>
      </c>
      <c r="T187" s="12" t="s">
        <v>38</v>
      </c>
      <c r="U187" s="4"/>
      <c r="V187" s="4"/>
      <c r="W187" s="12" t="s">
        <v>1993</v>
      </c>
      <c r="X187" s="12" t="s">
        <v>1994</v>
      </c>
      <c r="Y187" s="5" t="s">
        <v>40</v>
      </c>
      <c r="Z187" s="5"/>
      <c r="AA187" s="7"/>
      <c r="AB187" s="13"/>
      <c r="AC187" s="4" t="s">
        <v>1995</v>
      </c>
      <c r="AD187" s="147"/>
      <c r="AE187" s="227">
        <v>36990</v>
      </c>
      <c r="AF187" s="35"/>
    </row>
    <row r="188" spans="1:32" s="1" customFormat="1" ht="69" customHeight="1">
      <c r="A188" s="1185"/>
      <c r="B188" s="1" t="s">
        <v>44</v>
      </c>
      <c r="C188" s="4"/>
      <c r="D188" s="147" t="s">
        <v>32</v>
      </c>
      <c r="E188" s="147"/>
      <c r="F188" s="147"/>
      <c r="G188" s="147"/>
      <c r="H188" s="5" t="s">
        <v>386</v>
      </c>
      <c r="I188" s="8" t="s">
        <v>47</v>
      </c>
      <c r="J188" s="16" t="s">
        <v>1996</v>
      </c>
      <c r="K188" s="8"/>
      <c r="L188" s="8"/>
      <c r="M188" s="199">
        <v>43101</v>
      </c>
      <c r="N188" s="199"/>
      <c r="O188" s="199">
        <v>43191</v>
      </c>
      <c r="P188" s="5">
        <v>12</v>
      </c>
      <c r="Q188" s="5">
        <v>12</v>
      </c>
      <c r="R188" s="18">
        <v>22000</v>
      </c>
      <c r="S188" s="31" t="s">
        <v>84</v>
      </c>
      <c r="T188" s="11" t="s">
        <v>38</v>
      </c>
      <c r="U188" s="4"/>
      <c r="V188" s="4"/>
      <c r="W188" s="5" t="s">
        <v>388</v>
      </c>
      <c r="X188" s="12" t="s">
        <v>715</v>
      </c>
      <c r="Y188" s="5" t="s">
        <v>40</v>
      </c>
      <c r="Z188" s="5"/>
      <c r="AA188" s="5"/>
      <c r="AB188" s="5"/>
      <c r="AC188" s="8" t="s">
        <v>1997</v>
      </c>
      <c r="AD188" s="147"/>
      <c r="AE188" s="227">
        <v>22000</v>
      </c>
      <c r="AF188" s="56"/>
    </row>
    <row r="189" spans="1:32" s="56" customFormat="1" ht="116">
      <c r="A189" s="1185"/>
      <c r="B189" s="1" t="s">
        <v>44</v>
      </c>
      <c r="C189" s="4"/>
      <c r="D189" s="147" t="s">
        <v>32</v>
      </c>
      <c r="E189" s="147"/>
      <c r="F189" s="147"/>
      <c r="G189" s="147"/>
      <c r="H189" s="5" t="s">
        <v>33</v>
      </c>
      <c r="I189" s="8" t="s">
        <v>34</v>
      </c>
      <c r="J189" s="16" t="s">
        <v>1998</v>
      </c>
      <c r="K189" s="16"/>
      <c r="L189" s="16"/>
      <c r="M189" s="182">
        <v>43101</v>
      </c>
      <c r="N189" s="182"/>
      <c r="O189" s="182">
        <v>43191</v>
      </c>
      <c r="P189" s="12">
        <v>12</v>
      </c>
      <c r="Q189" s="13" t="s">
        <v>50</v>
      </c>
      <c r="R189" s="18">
        <v>19055</v>
      </c>
      <c r="S189" s="31" t="s">
        <v>1639</v>
      </c>
      <c r="T189" s="12" t="s">
        <v>38</v>
      </c>
      <c r="U189" s="4"/>
      <c r="V189" s="4"/>
      <c r="W189" s="5" t="s">
        <v>1999</v>
      </c>
      <c r="X189" s="12" t="s">
        <v>108</v>
      </c>
      <c r="Y189" s="5" t="s">
        <v>40</v>
      </c>
      <c r="Z189" s="5"/>
      <c r="AA189" s="5"/>
      <c r="AB189" s="12"/>
      <c r="AC189" s="8" t="s">
        <v>2000</v>
      </c>
      <c r="AD189" s="147"/>
      <c r="AE189" s="228"/>
      <c r="AF189"/>
    </row>
    <row r="190" spans="1:32" ht="29">
      <c r="A190" s="1184"/>
      <c r="B190" s="1" t="s">
        <v>44</v>
      </c>
      <c r="C190" s="4"/>
      <c r="D190" s="8" t="s">
        <v>32</v>
      </c>
      <c r="E190" s="8"/>
      <c r="F190" s="8"/>
      <c r="G190" s="8"/>
      <c r="H190" s="5" t="s">
        <v>33</v>
      </c>
      <c r="I190" s="12" t="s">
        <v>34</v>
      </c>
      <c r="J190" s="16" t="s">
        <v>2001</v>
      </c>
      <c r="K190" s="16"/>
      <c r="L190" s="16"/>
      <c r="M190" s="182">
        <v>43101</v>
      </c>
      <c r="N190" s="182"/>
      <c r="O190" s="182">
        <v>43191</v>
      </c>
      <c r="P190" s="12">
        <v>12</v>
      </c>
      <c r="Q190" s="7" t="s">
        <v>50</v>
      </c>
      <c r="R190" s="18">
        <v>10149.44</v>
      </c>
      <c r="S190" s="5" t="s">
        <v>1639</v>
      </c>
      <c r="T190" s="12" t="s">
        <v>38</v>
      </c>
      <c r="U190" s="4"/>
      <c r="V190" s="4"/>
      <c r="W190" s="12" t="s">
        <v>383</v>
      </c>
      <c r="X190" s="5" t="s">
        <v>383</v>
      </c>
      <c r="Y190" s="5" t="s">
        <v>40</v>
      </c>
      <c r="Z190" s="5"/>
      <c r="AA190" s="5"/>
      <c r="AB190" s="7"/>
      <c r="AC190" s="8"/>
      <c r="AD190" s="4"/>
      <c r="AE190" s="227"/>
    </row>
    <row r="191" spans="1:32" s="1" customFormat="1" ht="43.5">
      <c r="A191" s="1184"/>
      <c r="B191" s="1" t="s">
        <v>44</v>
      </c>
      <c r="C191" s="4"/>
      <c r="D191" s="118" t="s">
        <v>57</v>
      </c>
      <c r="E191" s="118"/>
      <c r="F191" s="118"/>
      <c r="G191" s="118"/>
      <c r="H191" s="5" t="s">
        <v>496</v>
      </c>
      <c r="I191" s="5" t="s">
        <v>47</v>
      </c>
      <c r="J191" s="16" t="s">
        <v>497</v>
      </c>
      <c r="K191" s="16"/>
      <c r="L191" s="16"/>
      <c r="M191" s="14">
        <v>43132</v>
      </c>
      <c r="N191" s="14"/>
      <c r="O191" s="14">
        <v>43191</v>
      </c>
      <c r="P191" s="12">
        <v>24</v>
      </c>
      <c r="Q191" s="26" t="s">
        <v>1345</v>
      </c>
      <c r="R191" s="18">
        <v>16000</v>
      </c>
      <c r="S191" s="5" t="s">
        <v>1660</v>
      </c>
      <c r="T191" s="14" t="s">
        <v>38</v>
      </c>
      <c r="U191" s="4"/>
      <c r="V191" s="4"/>
      <c r="W191" s="5" t="s">
        <v>798</v>
      </c>
      <c r="X191" s="5" t="s">
        <v>1674</v>
      </c>
      <c r="Y191" s="5" t="s">
        <v>40</v>
      </c>
      <c r="Z191" s="5"/>
      <c r="AA191" s="1888"/>
      <c r="AB191" s="199">
        <v>43286</v>
      </c>
      <c r="AC191" s="36" t="s">
        <v>2002</v>
      </c>
      <c r="AD191" s="147"/>
      <c r="AE191" s="229">
        <v>8000</v>
      </c>
    </row>
    <row r="192" spans="1:32" s="56" customFormat="1" ht="52.4" customHeight="1">
      <c r="A192" s="1184"/>
      <c r="B192" s="1" t="s">
        <v>44</v>
      </c>
      <c r="C192" s="4"/>
      <c r="D192" s="118" t="s">
        <v>32</v>
      </c>
      <c r="E192" s="118"/>
      <c r="F192" s="118"/>
      <c r="G192" s="118"/>
      <c r="H192" s="5" t="s">
        <v>1987</v>
      </c>
      <c r="I192" s="5" t="s">
        <v>270</v>
      </c>
      <c r="J192" s="16" t="s">
        <v>2003</v>
      </c>
      <c r="K192" s="8"/>
      <c r="L192" s="8"/>
      <c r="M192" s="182">
        <v>43158</v>
      </c>
      <c r="N192" s="182"/>
      <c r="O192" s="182">
        <v>43191</v>
      </c>
      <c r="P192" s="12">
        <v>12</v>
      </c>
      <c r="Q192" s="7" t="s">
        <v>50</v>
      </c>
      <c r="R192" s="18">
        <v>6468</v>
      </c>
      <c r="S192" s="5" t="s">
        <v>130</v>
      </c>
      <c r="T192" s="12" t="s">
        <v>38</v>
      </c>
      <c r="U192" s="4"/>
      <c r="V192" s="4"/>
      <c r="W192" s="5" t="s">
        <v>1989</v>
      </c>
      <c r="X192" s="5" t="s">
        <v>413</v>
      </c>
      <c r="Y192" s="5" t="s">
        <v>40</v>
      </c>
      <c r="Z192" s="5"/>
      <c r="AA192" s="5"/>
      <c r="AB192" s="199">
        <v>43523</v>
      </c>
      <c r="AC192" s="8" t="s">
        <v>2004</v>
      </c>
      <c r="AD192" s="147"/>
      <c r="AE192" s="224"/>
      <c r="AF192" s="1"/>
    </row>
    <row r="193" spans="1:32" s="1" customFormat="1" ht="46.4" customHeight="1">
      <c r="A193" s="1119"/>
      <c r="B193" s="957" t="s">
        <v>56</v>
      </c>
      <c r="C193" s="577" t="s">
        <v>2005</v>
      </c>
      <c r="D193" s="973" t="s">
        <v>57</v>
      </c>
      <c r="E193" s="973"/>
      <c r="F193" s="973"/>
      <c r="G193" s="973"/>
      <c r="H193" s="578" t="s">
        <v>58</v>
      </c>
      <c r="I193" s="579" t="s">
        <v>34</v>
      </c>
      <c r="J193" s="1577" t="s">
        <v>1554</v>
      </c>
      <c r="K193" s="579"/>
      <c r="L193" s="580">
        <v>42948</v>
      </c>
      <c r="M193" s="580"/>
      <c r="N193" s="580"/>
      <c r="O193" s="580">
        <v>43191</v>
      </c>
      <c r="P193" s="581">
        <v>48</v>
      </c>
      <c r="Q193" s="1017" t="s">
        <v>82</v>
      </c>
      <c r="R193" s="582">
        <v>200000000</v>
      </c>
      <c r="S193" s="583" t="s">
        <v>91</v>
      </c>
      <c r="T193" s="584" t="s">
        <v>38</v>
      </c>
      <c r="U193" s="584"/>
      <c r="V193" s="584"/>
      <c r="W193" s="585" t="s">
        <v>651</v>
      </c>
      <c r="X193" s="120"/>
      <c r="Y193" s="120"/>
      <c r="Z193" s="120"/>
      <c r="AA193" s="186"/>
      <c r="AB193" s="120"/>
      <c r="AC193" s="120"/>
      <c r="AD193" s="336"/>
      <c r="AE193" s="186"/>
      <c r="AF193" s="35"/>
    </row>
    <row r="194" spans="1:32" s="56" customFormat="1" ht="39">
      <c r="A194" s="1119"/>
      <c r="B194" s="957" t="s">
        <v>56</v>
      </c>
      <c r="C194" s="577"/>
      <c r="D194" s="973" t="s">
        <v>57</v>
      </c>
      <c r="E194" s="973"/>
      <c r="F194" s="973"/>
      <c r="G194" s="973"/>
      <c r="H194" s="578" t="s">
        <v>58</v>
      </c>
      <c r="I194" s="579" t="s">
        <v>47</v>
      </c>
      <c r="J194" s="1577" t="s">
        <v>2006</v>
      </c>
      <c r="K194" s="579"/>
      <c r="L194" s="580">
        <v>43190</v>
      </c>
      <c r="M194" s="580"/>
      <c r="N194" s="580"/>
      <c r="O194" s="580">
        <v>43191</v>
      </c>
      <c r="P194" s="581">
        <v>36</v>
      </c>
      <c r="Q194" s="581" t="s">
        <v>258</v>
      </c>
      <c r="R194" s="582">
        <v>108000</v>
      </c>
      <c r="S194" s="1042" t="s">
        <v>529</v>
      </c>
      <c r="T194" s="584"/>
      <c r="U194" s="584"/>
      <c r="V194" s="584"/>
      <c r="W194" s="578" t="s">
        <v>93</v>
      </c>
      <c r="X194" s="120"/>
      <c r="Y194" s="120"/>
      <c r="Z194" s="120"/>
      <c r="AA194" s="120"/>
      <c r="AB194" s="120"/>
      <c r="AC194" s="120"/>
      <c r="AD194" s="336"/>
      <c r="AE194"/>
      <c r="AF194"/>
    </row>
    <row r="195" spans="1:32" s="1" customFormat="1" ht="74.25" customHeight="1">
      <c r="A195" s="1119"/>
      <c r="B195" s="957" t="s">
        <v>56</v>
      </c>
      <c r="C195" s="510"/>
      <c r="D195" s="611" t="s">
        <v>57</v>
      </c>
      <c r="E195" s="611"/>
      <c r="F195" s="611"/>
      <c r="G195" s="611"/>
      <c r="H195" s="511" t="s">
        <v>58</v>
      </c>
      <c r="I195" s="519" t="s">
        <v>47</v>
      </c>
      <c r="J195" s="1578" t="s">
        <v>2007</v>
      </c>
      <c r="K195" s="512"/>
      <c r="L195" s="597">
        <v>43102</v>
      </c>
      <c r="M195" s="597"/>
      <c r="N195" s="597"/>
      <c r="O195" s="597">
        <v>43191</v>
      </c>
      <c r="P195" s="516">
        <v>1</v>
      </c>
      <c r="Q195" s="516">
        <v>1</v>
      </c>
      <c r="R195" s="599">
        <v>235715</v>
      </c>
      <c r="S195" s="1043" t="s">
        <v>1937</v>
      </c>
      <c r="T195" s="515" t="s">
        <v>38</v>
      </c>
      <c r="U195" s="515"/>
      <c r="V195" s="515"/>
      <c r="W195" s="519" t="s">
        <v>2008</v>
      </c>
      <c r="X195" s="120"/>
      <c r="Y195" s="120"/>
      <c r="Z195" s="120"/>
      <c r="AA195" s="120"/>
      <c r="AB195" s="120"/>
      <c r="AC195" s="120"/>
      <c r="AD195" s="336"/>
      <c r="AE195" s="120"/>
      <c r="AF195"/>
    </row>
    <row r="196" spans="1:32" ht="37.5">
      <c r="A196" s="1119"/>
      <c r="B196" s="957" t="s">
        <v>56</v>
      </c>
      <c r="C196" s="510"/>
      <c r="D196" s="611" t="s">
        <v>57</v>
      </c>
      <c r="E196" s="611"/>
      <c r="F196" s="611"/>
      <c r="G196" s="611"/>
      <c r="H196" s="511" t="s">
        <v>58</v>
      </c>
      <c r="I196" s="519" t="s">
        <v>47</v>
      </c>
      <c r="J196" s="1578" t="s">
        <v>2009</v>
      </c>
      <c r="K196" s="512"/>
      <c r="L196" s="597" t="s">
        <v>60</v>
      </c>
      <c r="M196" s="597"/>
      <c r="N196" s="597"/>
      <c r="O196" s="597">
        <v>43191</v>
      </c>
      <c r="P196" s="516">
        <v>1</v>
      </c>
      <c r="Q196" s="516">
        <v>1</v>
      </c>
      <c r="R196" s="599">
        <v>35000</v>
      </c>
      <c r="S196" s="1043" t="s">
        <v>176</v>
      </c>
      <c r="T196" s="515" t="s">
        <v>38</v>
      </c>
      <c r="U196" s="515"/>
      <c r="V196" s="515"/>
      <c r="W196" s="519" t="s">
        <v>60</v>
      </c>
      <c r="X196" s="120"/>
      <c r="Y196" s="120"/>
      <c r="Z196" s="120"/>
      <c r="AA196" s="120"/>
      <c r="AB196" s="120"/>
      <c r="AC196" s="120"/>
      <c r="AD196" s="336"/>
      <c r="AE196" s="120"/>
      <c r="AF196" s="1"/>
    </row>
    <row r="197" spans="1:32" s="295" customFormat="1" ht="37.5">
      <c r="A197" s="1119"/>
      <c r="B197" s="957" t="s">
        <v>56</v>
      </c>
      <c r="C197" s="510" t="s">
        <v>991</v>
      </c>
      <c r="D197" s="611" t="s">
        <v>57</v>
      </c>
      <c r="E197" s="611"/>
      <c r="F197" s="611"/>
      <c r="G197" s="611"/>
      <c r="H197" s="511" t="s">
        <v>58</v>
      </c>
      <c r="I197" s="519" t="s">
        <v>47</v>
      </c>
      <c r="J197" s="1578" t="s">
        <v>2010</v>
      </c>
      <c r="K197" s="512"/>
      <c r="L197" s="530" t="s">
        <v>60</v>
      </c>
      <c r="M197" s="530"/>
      <c r="N197" s="530"/>
      <c r="O197" s="530">
        <v>43191</v>
      </c>
      <c r="P197" s="516">
        <v>4</v>
      </c>
      <c r="Q197" s="1009">
        <v>4</v>
      </c>
      <c r="R197" s="599">
        <f>SUM(532687+42879+32616+16308+154674)</f>
        <v>779164</v>
      </c>
      <c r="S197" s="1043" t="s">
        <v>1937</v>
      </c>
      <c r="T197" s="515" t="s">
        <v>38</v>
      </c>
      <c r="U197" s="515"/>
      <c r="V197" s="515"/>
      <c r="W197" s="519" t="s">
        <v>2008</v>
      </c>
      <c r="X197" s="120"/>
      <c r="Y197" s="120"/>
      <c r="Z197" s="120"/>
      <c r="AA197" s="120"/>
      <c r="AB197" s="120"/>
      <c r="AC197" s="120"/>
      <c r="AD197" s="336"/>
      <c r="AE197" s="120"/>
      <c r="AF197" s="56"/>
    </row>
    <row r="198" spans="1:32" s="1" customFormat="1" ht="72.75" customHeight="1">
      <c r="A198" s="1184"/>
      <c r="B198" s="1" t="s">
        <v>44</v>
      </c>
      <c r="C198" s="4"/>
      <c r="D198" s="147" t="s">
        <v>32</v>
      </c>
      <c r="E198" s="147"/>
      <c r="F198" s="147"/>
      <c r="G198" s="147"/>
      <c r="H198" s="5" t="s">
        <v>386</v>
      </c>
      <c r="I198" s="8" t="s">
        <v>47</v>
      </c>
      <c r="J198" s="16" t="s">
        <v>2011</v>
      </c>
      <c r="K198" s="8"/>
      <c r="L198" s="8"/>
      <c r="M198" s="199">
        <v>43101</v>
      </c>
      <c r="N198" s="199"/>
      <c r="O198" s="199">
        <v>43192</v>
      </c>
      <c r="P198" s="5">
        <v>24</v>
      </c>
      <c r="Q198" s="25" t="s">
        <v>1345</v>
      </c>
      <c r="R198" s="18">
        <v>19000</v>
      </c>
      <c r="S198" s="5" t="s">
        <v>84</v>
      </c>
      <c r="T198" s="11" t="s">
        <v>38</v>
      </c>
      <c r="U198" s="4"/>
      <c r="V198" s="4"/>
      <c r="W198" s="5" t="s">
        <v>388</v>
      </c>
      <c r="X198" s="12" t="s">
        <v>715</v>
      </c>
      <c r="Y198" s="5" t="s">
        <v>40</v>
      </c>
      <c r="Z198" s="5"/>
      <c r="AA198" s="5"/>
      <c r="AB198" s="5"/>
      <c r="AC198" s="8" t="s">
        <v>1997</v>
      </c>
      <c r="AD198" s="147"/>
      <c r="AE198" s="85">
        <v>19000</v>
      </c>
      <c r="AF198"/>
    </row>
    <row r="199" spans="1:32" s="1" customFormat="1" ht="65">
      <c r="A199" s="1119"/>
      <c r="B199" s="957" t="s">
        <v>56</v>
      </c>
      <c r="C199" s="577" t="s">
        <v>2012</v>
      </c>
      <c r="D199" s="973" t="s">
        <v>32</v>
      </c>
      <c r="E199" s="973"/>
      <c r="F199" s="973"/>
      <c r="G199" s="973"/>
      <c r="H199" s="578" t="s">
        <v>308</v>
      </c>
      <c r="I199" s="579" t="s">
        <v>47</v>
      </c>
      <c r="J199" s="1577" t="s">
        <v>2013</v>
      </c>
      <c r="K199" s="579"/>
      <c r="L199" s="580">
        <v>43152</v>
      </c>
      <c r="M199" s="580"/>
      <c r="N199" s="580"/>
      <c r="O199" s="580">
        <v>43193</v>
      </c>
      <c r="P199" s="581" t="s">
        <v>2014</v>
      </c>
      <c r="Q199" s="1017" t="s">
        <v>2014</v>
      </c>
      <c r="R199" s="582">
        <v>28000</v>
      </c>
      <c r="S199" s="583" t="s">
        <v>1803</v>
      </c>
      <c r="T199" s="584" t="s">
        <v>38</v>
      </c>
      <c r="U199" s="584"/>
      <c r="V199" s="584"/>
      <c r="W199" s="585" t="s">
        <v>714</v>
      </c>
      <c r="X199" s="120"/>
      <c r="Y199" s="120"/>
      <c r="Z199" s="120"/>
      <c r="AA199" s="186"/>
      <c r="AB199" s="120"/>
      <c r="AC199" s="120"/>
      <c r="AD199" s="336"/>
      <c r="AE199" s="120"/>
      <c r="AF199" s="2765"/>
    </row>
    <row r="200" spans="1:32" s="295" customFormat="1" ht="29">
      <c r="A200" s="1184"/>
      <c r="B200" s="1" t="s">
        <v>44</v>
      </c>
      <c r="C200" s="4"/>
      <c r="D200" s="118" t="s">
        <v>32</v>
      </c>
      <c r="E200" s="118"/>
      <c r="F200" s="118"/>
      <c r="G200" s="118"/>
      <c r="H200" s="5" t="s">
        <v>33</v>
      </c>
      <c r="I200" s="12" t="s">
        <v>47</v>
      </c>
      <c r="J200" s="16" t="s">
        <v>2015</v>
      </c>
      <c r="K200" s="16"/>
      <c r="L200" s="16"/>
      <c r="M200" s="182">
        <v>43160</v>
      </c>
      <c r="N200" s="182"/>
      <c r="O200" s="182">
        <v>43195</v>
      </c>
      <c r="P200" s="12">
        <v>12</v>
      </c>
      <c r="Q200" s="25" t="s">
        <v>50</v>
      </c>
      <c r="R200" s="18">
        <v>1956</v>
      </c>
      <c r="S200" s="31" t="s">
        <v>1639</v>
      </c>
      <c r="T200" s="12" t="s">
        <v>38</v>
      </c>
      <c r="U200" s="4"/>
      <c r="V200" s="4"/>
      <c r="W200" s="12" t="s">
        <v>383</v>
      </c>
      <c r="X200" s="5" t="s">
        <v>1892</v>
      </c>
      <c r="Y200" s="5" t="s">
        <v>40</v>
      </c>
      <c r="Z200" s="5"/>
      <c r="AA200" s="5"/>
      <c r="AB200" s="7"/>
      <c r="AC200" s="8" t="s">
        <v>2016</v>
      </c>
      <c r="AD200" s="176"/>
      <c r="AE200" s="17"/>
      <c r="AF200"/>
    </row>
    <row r="201" spans="1:32" s="296" customFormat="1" ht="29">
      <c r="A201" s="1119"/>
      <c r="B201" s="1" t="s">
        <v>44</v>
      </c>
      <c r="C201" s="4"/>
      <c r="D201" s="118" t="s">
        <v>32</v>
      </c>
      <c r="E201" s="118"/>
      <c r="F201" s="118"/>
      <c r="G201" s="118"/>
      <c r="H201" s="5" t="s">
        <v>33</v>
      </c>
      <c r="I201" s="5" t="s">
        <v>47</v>
      </c>
      <c r="J201" s="16" t="s">
        <v>2017</v>
      </c>
      <c r="K201" s="16"/>
      <c r="L201" s="16"/>
      <c r="M201" s="182">
        <v>43040</v>
      </c>
      <c r="N201" s="182"/>
      <c r="O201" s="182">
        <v>43200</v>
      </c>
      <c r="P201" s="12">
        <v>12</v>
      </c>
      <c r="Q201" s="25" t="s">
        <v>50</v>
      </c>
      <c r="R201" s="18">
        <v>3540</v>
      </c>
      <c r="S201" s="31" t="s">
        <v>1639</v>
      </c>
      <c r="T201" s="12" t="s">
        <v>38</v>
      </c>
      <c r="U201" s="4"/>
      <c r="V201" s="4"/>
      <c r="W201" s="12" t="s">
        <v>1652</v>
      </c>
      <c r="X201" s="5" t="s">
        <v>715</v>
      </c>
      <c r="Y201" s="5" t="s">
        <v>40</v>
      </c>
      <c r="Z201" s="5"/>
      <c r="AA201" s="5"/>
      <c r="AB201" s="7"/>
      <c r="AC201" s="8" t="s">
        <v>2018</v>
      </c>
      <c r="AD201" s="147"/>
      <c r="AE201" s="17"/>
      <c r="AF201" s="1"/>
    </row>
    <row r="202" spans="1:32" s="1" customFormat="1" ht="145">
      <c r="A202" s="498"/>
      <c r="B202" s="1" t="s">
        <v>44</v>
      </c>
      <c r="C202" s="4"/>
      <c r="D202" s="118" t="s">
        <v>32</v>
      </c>
      <c r="E202" s="118"/>
      <c r="F202" s="118"/>
      <c r="G202" s="118"/>
      <c r="H202" s="5" t="s">
        <v>1770</v>
      </c>
      <c r="I202" s="12" t="s">
        <v>47</v>
      </c>
      <c r="J202" s="16" t="s">
        <v>1638</v>
      </c>
      <c r="K202" s="16"/>
      <c r="L202" s="16"/>
      <c r="M202" s="182">
        <v>42979</v>
      </c>
      <c r="N202" s="182"/>
      <c r="O202" s="182">
        <v>43205</v>
      </c>
      <c r="P202" s="12">
        <v>12</v>
      </c>
      <c r="Q202" s="7" t="s">
        <v>50</v>
      </c>
      <c r="R202" s="18">
        <v>3819.9</v>
      </c>
      <c r="S202" s="31" t="s">
        <v>1639</v>
      </c>
      <c r="T202" s="12" t="s">
        <v>38</v>
      </c>
      <c r="U202" s="4"/>
      <c r="V202" s="4"/>
      <c r="W202" s="12" t="s">
        <v>1640</v>
      </c>
      <c r="X202" s="12" t="s">
        <v>543</v>
      </c>
      <c r="Y202" s="5" t="s">
        <v>40</v>
      </c>
      <c r="Z202" s="5"/>
      <c r="AA202" s="5"/>
      <c r="AB202" s="7"/>
      <c r="AC202" s="8" t="s">
        <v>2019</v>
      </c>
      <c r="AD202" s="147"/>
      <c r="AE202" s="17">
        <v>3819.9</v>
      </c>
      <c r="AF202"/>
    </row>
    <row r="203" spans="1:32" s="1" customFormat="1" ht="58">
      <c r="A203" s="1119"/>
      <c r="B203" s="1" t="s">
        <v>44</v>
      </c>
      <c r="C203" s="4"/>
      <c r="D203" s="118" t="s">
        <v>32</v>
      </c>
      <c r="E203" s="118"/>
      <c r="F203" s="118"/>
      <c r="G203" s="118"/>
      <c r="H203" s="5" t="s">
        <v>394</v>
      </c>
      <c r="I203" s="5" t="s">
        <v>47</v>
      </c>
      <c r="J203" s="16" t="s">
        <v>2020</v>
      </c>
      <c r="K203" s="8"/>
      <c r="L203" s="8"/>
      <c r="M203" s="199">
        <v>42948</v>
      </c>
      <c r="N203" s="199"/>
      <c r="O203" s="205">
        <v>43209</v>
      </c>
      <c r="P203" s="58">
        <v>24</v>
      </c>
      <c r="Q203" s="203" t="s">
        <v>391</v>
      </c>
      <c r="R203" s="201">
        <v>20000</v>
      </c>
      <c r="S203" s="207" t="s">
        <v>2021</v>
      </c>
      <c r="T203" s="11" t="s">
        <v>38</v>
      </c>
      <c r="U203" s="4"/>
      <c r="V203" s="4"/>
      <c r="W203" s="5" t="s">
        <v>1933</v>
      </c>
      <c r="X203" s="5" t="s">
        <v>1674</v>
      </c>
      <c r="Y203" s="5" t="s">
        <v>40</v>
      </c>
      <c r="Z203" s="5"/>
      <c r="AA203" s="5"/>
      <c r="AB203" s="7"/>
      <c r="AC203" s="8" t="s">
        <v>2022</v>
      </c>
      <c r="AD203" s="147"/>
      <c r="AE203" s="85">
        <v>10000</v>
      </c>
    </row>
    <row r="204" spans="1:32" s="295" customFormat="1" ht="58">
      <c r="A204" s="1119"/>
      <c r="B204" s="1" t="s">
        <v>44</v>
      </c>
      <c r="C204" s="4"/>
      <c r="D204" s="147" t="s">
        <v>32</v>
      </c>
      <c r="E204" s="147"/>
      <c r="F204" s="147"/>
      <c r="G204" s="147"/>
      <c r="H204" s="12" t="s">
        <v>1987</v>
      </c>
      <c r="I204" s="10" t="s">
        <v>47</v>
      </c>
      <c r="J204" s="103" t="s">
        <v>2023</v>
      </c>
      <c r="K204" s="103"/>
      <c r="L204" s="103"/>
      <c r="M204" s="182">
        <v>42979</v>
      </c>
      <c r="N204" s="182"/>
      <c r="O204" s="182">
        <v>43210</v>
      </c>
      <c r="P204" s="12">
        <v>24</v>
      </c>
      <c r="Q204" s="25" t="s">
        <v>391</v>
      </c>
      <c r="R204" s="18">
        <v>18000</v>
      </c>
      <c r="S204" s="31" t="s">
        <v>2024</v>
      </c>
      <c r="T204" s="12" t="s">
        <v>38</v>
      </c>
      <c r="U204" s="4"/>
      <c r="V204" s="4"/>
      <c r="W204" s="12" t="s">
        <v>2025</v>
      </c>
      <c r="X204" s="12" t="s">
        <v>1674</v>
      </c>
      <c r="Y204" s="5" t="s">
        <v>40</v>
      </c>
      <c r="Z204" s="5"/>
      <c r="AA204" s="5"/>
      <c r="AB204" s="12"/>
      <c r="AC204" s="8" t="s">
        <v>2026</v>
      </c>
      <c r="AD204" s="147" t="s">
        <v>2027</v>
      </c>
      <c r="AE204" s="17">
        <v>9500</v>
      </c>
      <c r="AF204" s="56"/>
    </row>
    <row r="205" spans="1:32" s="295" customFormat="1" ht="65">
      <c r="A205" s="1119"/>
      <c r="B205" s="957" t="s">
        <v>56</v>
      </c>
      <c r="C205" s="577" t="s">
        <v>2028</v>
      </c>
      <c r="D205" s="973" t="s">
        <v>32</v>
      </c>
      <c r="E205" s="973"/>
      <c r="F205" s="973"/>
      <c r="G205" s="973"/>
      <c r="H205" s="578" t="s">
        <v>308</v>
      </c>
      <c r="I205" s="579" t="s">
        <v>47</v>
      </c>
      <c r="J205" s="1577" t="s">
        <v>2029</v>
      </c>
      <c r="K205" s="579"/>
      <c r="L205" s="592" t="s">
        <v>2030</v>
      </c>
      <c r="M205" s="592"/>
      <c r="N205" s="592"/>
      <c r="O205" s="580">
        <v>43213</v>
      </c>
      <c r="P205" s="581">
        <v>1</v>
      </c>
      <c r="Q205" s="1017">
        <v>1</v>
      </c>
      <c r="R205" s="582">
        <v>25000</v>
      </c>
      <c r="S205" s="1042" t="s">
        <v>1803</v>
      </c>
      <c r="T205" s="584" t="s">
        <v>38</v>
      </c>
      <c r="U205" s="584"/>
      <c r="V205" s="584"/>
      <c r="W205" s="585" t="s">
        <v>714</v>
      </c>
      <c r="X205" s="120"/>
      <c r="Y205" s="120"/>
      <c r="Z205" s="120"/>
      <c r="AA205" s="120"/>
      <c r="AB205" s="120"/>
      <c r="AC205" s="120"/>
      <c r="AD205" s="336"/>
      <c r="AE205" s="120"/>
      <c r="AF205"/>
    </row>
    <row r="206" spans="1:32" s="295" customFormat="1" ht="29">
      <c r="A206" s="1184"/>
      <c r="B206" s="1" t="s">
        <v>44</v>
      </c>
      <c r="C206" s="4"/>
      <c r="D206" s="123" t="s">
        <v>32</v>
      </c>
      <c r="E206" s="123"/>
      <c r="F206" s="123"/>
      <c r="G206" s="123"/>
      <c r="H206" s="5" t="s">
        <v>33</v>
      </c>
      <c r="I206" s="12" t="s">
        <v>47</v>
      </c>
      <c r="J206" s="16" t="s">
        <v>570</v>
      </c>
      <c r="K206" s="16"/>
      <c r="L206" s="16"/>
      <c r="M206" s="182">
        <v>43070</v>
      </c>
      <c r="N206" s="182"/>
      <c r="O206" s="182">
        <v>43215</v>
      </c>
      <c r="P206" s="12">
        <v>12</v>
      </c>
      <c r="Q206" s="28" t="s">
        <v>50</v>
      </c>
      <c r="R206" s="18">
        <v>655</v>
      </c>
      <c r="S206" s="31" t="s">
        <v>1639</v>
      </c>
      <c r="T206" s="12" t="s">
        <v>38</v>
      </c>
      <c r="U206" s="4"/>
      <c r="V206" s="4"/>
      <c r="W206" s="12" t="s">
        <v>383</v>
      </c>
      <c r="X206" s="5" t="s">
        <v>715</v>
      </c>
      <c r="Y206" s="5" t="s">
        <v>40</v>
      </c>
      <c r="Z206" s="5"/>
      <c r="AA206" s="12"/>
      <c r="AB206" s="5"/>
      <c r="AC206" s="8"/>
      <c r="AD206" s="147"/>
      <c r="AE206" s="17"/>
      <c r="AF206" s="1"/>
    </row>
    <row r="207" spans="1:32" s="295" customFormat="1" ht="43.5">
      <c r="A207" s="1119"/>
      <c r="B207" s="1" t="s">
        <v>44</v>
      </c>
      <c r="C207" s="4"/>
      <c r="D207" s="118" t="s">
        <v>122</v>
      </c>
      <c r="E207" s="118"/>
      <c r="F207" s="118"/>
      <c r="G207" s="118"/>
      <c r="H207" s="92" t="s">
        <v>33</v>
      </c>
      <c r="I207" s="5" t="s">
        <v>47</v>
      </c>
      <c r="J207" s="103" t="s">
        <v>2031</v>
      </c>
      <c r="K207" s="89"/>
      <c r="L207" s="89"/>
      <c r="M207" s="90">
        <v>42979</v>
      </c>
      <c r="N207" s="90"/>
      <c r="O207" s="90">
        <v>43221</v>
      </c>
      <c r="P207" s="91">
        <v>36</v>
      </c>
      <c r="Q207" s="105">
        <v>36</v>
      </c>
      <c r="R207" s="18">
        <v>78750</v>
      </c>
      <c r="S207" s="31" t="s">
        <v>529</v>
      </c>
      <c r="T207" s="483" t="s">
        <v>38</v>
      </c>
      <c r="U207" s="4"/>
      <c r="V207" s="4"/>
      <c r="W207" s="5" t="s">
        <v>2032</v>
      </c>
      <c r="X207" s="5" t="s">
        <v>1892</v>
      </c>
      <c r="Y207" s="5" t="s">
        <v>40</v>
      </c>
      <c r="Z207" s="5"/>
      <c r="AA207" s="5"/>
      <c r="AB207" s="199">
        <v>43290</v>
      </c>
      <c r="AC207" s="8" t="s">
        <v>2033</v>
      </c>
      <c r="AD207" s="147"/>
      <c r="AE207" s="184">
        <v>26250</v>
      </c>
      <c r="AF207" s="56"/>
    </row>
    <row r="208" spans="1:32" s="295" customFormat="1" ht="107.9" customHeight="1">
      <c r="A208" s="1184"/>
      <c r="B208" s="1" t="s">
        <v>44</v>
      </c>
      <c r="C208" s="4"/>
      <c r="D208" s="118"/>
      <c r="E208" s="118"/>
      <c r="F208" s="118"/>
      <c r="G208" s="118"/>
      <c r="H208" s="5" t="s">
        <v>2034</v>
      </c>
      <c r="I208" s="5" t="s">
        <v>47</v>
      </c>
      <c r="J208" s="16" t="s">
        <v>2035</v>
      </c>
      <c r="K208" s="16"/>
      <c r="L208" s="16"/>
      <c r="M208" s="182">
        <v>43191</v>
      </c>
      <c r="N208" s="182"/>
      <c r="O208" s="182">
        <v>43221</v>
      </c>
      <c r="P208" s="5">
        <v>2</v>
      </c>
      <c r="Q208" s="25">
        <v>2</v>
      </c>
      <c r="R208" s="18">
        <v>27500</v>
      </c>
      <c r="S208" s="31" t="s">
        <v>529</v>
      </c>
      <c r="T208" s="12" t="s">
        <v>612</v>
      </c>
      <c r="U208" s="4"/>
      <c r="V208" s="4"/>
      <c r="W208" s="5" t="s">
        <v>2036</v>
      </c>
      <c r="X208" s="5" t="s">
        <v>715</v>
      </c>
      <c r="Y208" s="5" t="s">
        <v>40</v>
      </c>
      <c r="Z208" s="5"/>
      <c r="AA208" s="5"/>
      <c r="AB208" s="7"/>
      <c r="AC208" s="8" t="s">
        <v>2037</v>
      </c>
      <c r="AD208" s="147"/>
      <c r="AE208" s="17"/>
      <c r="AF208" s="1"/>
    </row>
    <row r="209" spans="1:32" s="295" customFormat="1" ht="29">
      <c r="A209" s="1184"/>
      <c r="B209" s="1" t="s">
        <v>44</v>
      </c>
      <c r="C209" s="4"/>
      <c r="D209" s="118" t="s">
        <v>32</v>
      </c>
      <c r="E209" s="118"/>
      <c r="F209" s="118"/>
      <c r="G209" s="118"/>
      <c r="H209" s="5" t="s">
        <v>33</v>
      </c>
      <c r="I209" s="5" t="s">
        <v>47</v>
      </c>
      <c r="J209" s="16" t="s">
        <v>1592</v>
      </c>
      <c r="K209" s="8"/>
      <c r="L209" s="8"/>
      <c r="M209" s="199">
        <v>43193</v>
      </c>
      <c r="N209" s="199"/>
      <c r="O209" s="199">
        <v>43221</v>
      </c>
      <c r="P209" s="12">
        <v>12</v>
      </c>
      <c r="Q209" s="45">
        <v>12</v>
      </c>
      <c r="R209" s="18">
        <v>9470</v>
      </c>
      <c r="S209" s="5" t="s">
        <v>1593</v>
      </c>
      <c r="T209" s="11" t="s">
        <v>38</v>
      </c>
      <c r="U209" s="4"/>
      <c r="V209" s="4"/>
      <c r="W209" s="5" t="s">
        <v>76</v>
      </c>
      <c r="X209" s="5" t="s">
        <v>86</v>
      </c>
      <c r="Y209" s="5" t="s">
        <v>40</v>
      </c>
      <c r="Z209" s="5"/>
      <c r="AA209" s="26"/>
      <c r="AB209" s="2751" t="s">
        <v>2038</v>
      </c>
      <c r="AC209" s="16" t="s">
        <v>1903</v>
      </c>
      <c r="AD209" s="147"/>
      <c r="AE209" s="85">
        <v>9000</v>
      </c>
      <c r="AF209" s="56"/>
    </row>
    <row r="210" spans="1:32" s="296" customFormat="1" ht="111.75" customHeight="1">
      <c r="A210" s="1119"/>
      <c r="B210" s="957" t="s">
        <v>56</v>
      </c>
      <c r="C210" s="577" t="s">
        <v>2039</v>
      </c>
      <c r="D210" s="973" t="s">
        <v>57</v>
      </c>
      <c r="E210" s="973"/>
      <c r="F210" s="973"/>
      <c r="G210" s="973"/>
      <c r="H210" s="578" t="s">
        <v>58</v>
      </c>
      <c r="I210" s="579" t="s">
        <v>47</v>
      </c>
      <c r="J210" s="1577" t="s">
        <v>2040</v>
      </c>
      <c r="K210" s="579"/>
      <c r="L210" s="580">
        <v>43009</v>
      </c>
      <c r="M210" s="580"/>
      <c r="N210" s="580"/>
      <c r="O210" s="580">
        <v>43221</v>
      </c>
      <c r="P210" s="581">
        <v>84</v>
      </c>
      <c r="Q210" s="1017" t="s">
        <v>1455</v>
      </c>
      <c r="R210" s="582">
        <f>150000*7</f>
        <v>1050000</v>
      </c>
      <c r="S210" s="1049" t="s">
        <v>1539</v>
      </c>
      <c r="T210" s="584" t="s">
        <v>38</v>
      </c>
      <c r="U210" s="584"/>
      <c r="V210" s="584"/>
      <c r="W210" s="585" t="s">
        <v>1711</v>
      </c>
      <c r="X210" s="120"/>
      <c r="Y210" s="120"/>
      <c r="Z210" s="120"/>
      <c r="AA210" s="120"/>
      <c r="AB210" s="120"/>
      <c r="AC210" s="120"/>
      <c r="AD210" s="336"/>
      <c r="AE210" s="120"/>
      <c r="AF210" s="1"/>
    </row>
    <row r="211" spans="1:32" s="1" customFormat="1" ht="43.5">
      <c r="A211" s="1184"/>
      <c r="B211" s="1" t="s">
        <v>44</v>
      </c>
      <c r="C211" s="4"/>
      <c r="D211" s="118" t="s">
        <v>32</v>
      </c>
      <c r="E211" s="118"/>
      <c r="F211" s="118"/>
      <c r="G211" s="118"/>
      <c r="H211" s="5" t="s">
        <v>127</v>
      </c>
      <c r="I211" s="5" t="s">
        <v>47</v>
      </c>
      <c r="J211" s="16" t="s">
        <v>2041</v>
      </c>
      <c r="K211" s="8"/>
      <c r="L211" s="8"/>
      <c r="M211" s="199">
        <v>43066</v>
      </c>
      <c r="N211" s="199"/>
      <c r="O211" s="199">
        <v>43241</v>
      </c>
      <c r="P211" s="5">
        <v>120</v>
      </c>
      <c r="Q211" s="5" t="s">
        <v>2042</v>
      </c>
      <c r="R211" s="18">
        <v>6140000</v>
      </c>
      <c r="S211" s="31" t="s">
        <v>2043</v>
      </c>
      <c r="T211" s="11" t="s">
        <v>38</v>
      </c>
      <c r="U211" s="4"/>
      <c r="V211" s="4"/>
      <c r="W211" s="5" t="s">
        <v>137</v>
      </c>
      <c r="X211" s="5" t="s">
        <v>1674</v>
      </c>
      <c r="Y211" s="5" t="s">
        <v>40</v>
      </c>
      <c r="Z211" s="5"/>
      <c r="AA211" s="5"/>
      <c r="AB211" s="2800"/>
      <c r="AC211" s="8" t="s">
        <v>2044</v>
      </c>
      <c r="AD211" s="147"/>
      <c r="AE211" s="85">
        <v>614000</v>
      </c>
      <c r="AF211"/>
    </row>
    <row r="212" spans="1:32" s="295" customFormat="1" ht="84.65" customHeight="1">
      <c r="A212" s="1184"/>
      <c r="B212" s="1" t="s">
        <v>44</v>
      </c>
      <c r="C212" s="4"/>
      <c r="D212" s="118" t="s">
        <v>32</v>
      </c>
      <c r="E212" s="118"/>
      <c r="F212" s="118"/>
      <c r="G212" s="118"/>
      <c r="H212" s="5" t="s">
        <v>33</v>
      </c>
      <c r="I212" s="5" t="s">
        <v>47</v>
      </c>
      <c r="J212" s="16" t="s">
        <v>2045</v>
      </c>
      <c r="K212" s="16"/>
      <c r="L212" s="16"/>
      <c r="M212" s="182">
        <v>43101</v>
      </c>
      <c r="N212" s="182"/>
      <c r="O212" s="182">
        <v>43241</v>
      </c>
      <c r="P212" s="12">
        <v>12</v>
      </c>
      <c r="Q212" s="13" t="s">
        <v>50</v>
      </c>
      <c r="R212" s="18">
        <v>52540</v>
      </c>
      <c r="S212" s="31" t="s">
        <v>1691</v>
      </c>
      <c r="T212" s="12" t="s">
        <v>38</v>
      </c>
      <c r="U212" s="4"/>
      <c r="V212" s="4"/>
      <c r="W212" s="5" t="s">
        <v>2046</v>
      </c>
      <c r="X212" s="5" t="s">
        <v>2047</v>
      </c>
      <c r="Y212" s="5" t="s">
        <v>40</v>
      </c>
      <c r="Z212" s="5"/>
      <c r="AA212" s="5"/>
      <c r="AB212" s="7"/>
      <c r="AC212" s="8" t="s">
        <v>2048</v>
      </c>
      <c r="AD212" s="147"/>
      <c r="AE212" s="17">
        <v>52540</v>
      </c>
      <c r="AF212" s="2773"/>
    </row>
    <row r="213" spans="1:32" s="296" customFormat="1" ht="91">
      <c r="A213" s="1119"/>
      <c r="B213" s="957" t="s">
        <v>56</v>
      </c>
      <c r="C213" s="577" t="s">
        <v>2049</v>
      </c>
      <c r="D213" s="973" t="s">
        <v>57</v>
      </c>
      <c r="E213" s="973"/>
      <c r="F213" s="973"/>
      <c r="G213" s="973"/>
      <c r="H213" s="578" t="s">
        <v>58</v>
      </c>
      <c r="I213" s="579" t="s">
        <v>47</v>
      </c>
      <c r="J213" s="1577" t="s">
        <v>2050</v>
      </c>
      <c r="K213" s="579"/>
      <c r="L213" s="580">
        <v>43180</v>
      </c>
      <c r="M213" s="580"/>
      <c r="N213" s="580"/>
      <c r="O213" s="580">
        <v>43248</v>
      </c>
      <c r="P213" s="581">
        <v>3</v>
      </c>
      <c r="Q213" s="1017">
        <v>3</v>
      </c>
      <c r="R213" s="582">
        <f>(288510+204451+291097+205000+494066+212091.4)</f>
        <v>1695215.4</v>
      </c>
      <c r="S213" s="1042" t="s">
        <v>1650</v>
      </c>
      <c r="T213" s="584" t="s">
        <v>38</v>
      </c>
      <c r="U213" s="584"/>
      <c r="V213" s="584"/>
      <c r="W213" s="585" t="s">
        <v>747</v>
      </c>
      <c r="X213" s="120"/>
      <c r="Y213" s="120"/>
      <c r="Z213" s="120"/>
      <c r="AA213" s="120"/>
      <c r="AB213" s="120"/>
      <c r="AC213" s="120"/>
      <c r="AD213" s="336"/>
      <c r="AE213" s="120"/>
      <c r="AF213" s="1"/>
    </row>
    <row r="214" spans="1:32" s="295" customFormat="1" ht="107.9" customHeight="1">
      <c r="A214" s="1119"/>
      <c r="B214" s="957" t="s">
        <v>56</v>
      </c>
      <c r="C214" s="577" t="s">
        <v>2051</v>
      </c>
      <c r="D214" s="973" t="s">
        <v>32</v>
      </c>
      <c r="E214" s="973"/>
      <c r="F214" s="973"/>
      <c r="G214" s="973"/>
      <c r="H214" s="578" t="s">
        <v>308</v>
      </c>
      <c r="I214" s="579" t="s">
        <v>47</v>
      </c>
      <c r="J214" s="1577" t="s">
        <v>2052</v>
      </c>
      <c r="K214" s="579"/>
      <c r="L214" s="580">
        <v>43168</v>
      </c>
      <c r="M214" s="580"/>
      <c r="N214" s="580"/>
      <c r="O214" s="580">
        <v>43248</v>
      </c>
      <c r="P214" s="581">
        <v>2</v>
      </c>
      <c r="Q214" s="1017">
        <v>2</v>
      </c>
      <c r="R214" s="582">
        <v>96000</v>
      </c>
      <c r="S214" s="1042" t="s">
        <v>1803</v>
      </c>
      <c r="T214" s="584" t="s">
        <v>38</v>
      </c>
      <c r="U214" s="584"/>
      <c r="V214" s="584"/>
      <c r="W214" s="578" t="s">
        <v>1923</v>
      </c>
      <c r="X214" s="120"/>
      <c r="Y214" s="120"/>
      <c r="Z214" s="120"/>
      <c r="AA214" s="120"/>
      <c r="AB214" s="120"/>
      <c r="AC214" s="120"/>
      <c r="AD214" s="336"/>
      <c r="AE214" s="120"/>
      <c r="AF214" s="1"/>
    </row>
    <row r="215" spans="1:32" s="295" customFormat="1">
      <c r="A215" s="1648">
        <v>44974</v>
      </c>
      <c r="B215" s="1657" t="s">
        <v>1168</v>
      </c>
      <c r="C215" s="1664" t="s">
        <v>2053</v>
      </c>
      <c r="D215" s="1570" t="s">
        <v>2054</v>
      </c>
      <c r="E215" s="1569" t="s">
        <v>1168</v>
      </c>
      <c r="F215" s="1569" t="s">
        <v>1170</v>
      </c>
      <c r="G215" s="1569" t="s">
        <v>1170</v>
      </c>
      <c r="H215" s="1655" t="s">
        <v>1170</v>
      </c>
      <c r="I215" s="1655" t="s">
        <v>1170</v>
      </c>
      <c r="J215" s="1698" t="s">
        <v>2055</v>
      </c>
      <c r="K215" s="1664" t="s">
        <v>2056</v>
      </c>
      <c r="L215" s="1655" t="s">
        <v>1170</v>
      </c>
      <c r="M215" s="1655" t="s">
        <v>1170</v>
      </c>
      <c r="N215" s="1655" t="s">
        <v>1170</v>
      </c>
      <c r="O215" s="1755">
        <v>43250</v>
      </c>
      <c r="P215" s="1755">
        <v>45075</v>
      </c>
      <c r="Q215" s="1664" t="s">
        <v>2057</v>
      </c>
      <c r="R215" s="1805">
        <v>138005</v>
      </c>
      <c r="S215" s="1570" t="s">
        <v>2058</v>
      </c>
      <c r="T215" s="1655" t="s">
        <v>1170</v>
      </c>
      <c r="U215" s="1655" t="s">
        <v>1170</v>
      </c>
      <c r="V215" s="1655"/>
      <c r="W215" s="1664" t="s">
        <v>2059</v>
      </c>
      <c r="X215" s="1664" t="s">
        <v>1175</v>
      </c>
      <c r="Y215" s="1664" t="s">
        <v>251</v>
      </c>
      <c r="Z215" s="1655" t="s">
        <v>1170</v>
      </c>
      <c r="AA215" s="1842" t="s">
        <v>1170</v>
      </c>
      <c r="AB215" s="1655" t="s">
        <v>1170</v>
      </c>
      <c r="AC215" s="1698" t="s">
        <v>2060</v>
      </c>
      <c r="AD215" s="1569" t="s">
        <v>1170</v>
      </c>
      <c r="AE215" s="1805">
        <v>138005</v>
      </c>
      <c r="AF215"/>
    </row>
    <row r="216" spans="1:32" s="295" customFormat="1" ht="29">
      <c r="A216" s="1184"/>
      <c r="B216" s="1" t="s">
        <v>44</v>
      </c>
      <c r="C216" s="173"/>
      <c r="D216" s="4" t="s">
        <v>32</v>
      </c>
      <c r="E216" s="4"/>
      <c r="F216" s="4"/>
      <c r="G216" s="4"/>
      <c r="H216" s="12" t="s">
        <v>502</v>
      </c>
      <c r="I216" s="10" t="s">
        <v>47</v>
      </c>
      <c r="J216" s="16" t="s">
        <v>2061</v>
      </c>
      <c r="K216" s="8"/>
      <c r="L216" s="8"/>
      <c r="M216" s="182">
        <v>42767</v>
      </c>
      <c r="N216" s="182"/>
      <c r="O216" s="182">
        <v>43252</v>
      </c>
      <c r="P216" s="5">
        <v>36</v>
      </c>
      <c r="Q216" s="7" t="s">
        <v>391</v>
      </c>
      <c r="R216" s="86" t="s">
        <v>2062</v>
      </c>
      <c r="S216" s="31" t="s">
        <v>176</v>
      </c>
      <c r="T216" s="12" t="s">
        <v>38</v>
      </c>
      <c r="U216" s="173"/>
      <c r="V216" s="173"/>
      <c r="W216" s="5" t="s">
        <v>517</v>
      </c>
      <c r="X216" s="8" t="s">
        <v>54</v>
      </c>
      <c r="Y216" s="5" t="s">
        <v>40</v>
      </c>
      <c r="Z216" s="5"/>
      <c r="AA216" s="5"/>
      <c r="AB216" s="5"/>
      <c r="AC216" s="8" t="s">
        <v>225</v>
      </c>
      <c r="AD216" s="147"/>
      <c r="AE216" s="5"/>
      <c r="AF216" s="2773"/>
    </row>
    <row r="217" spans="1:32" s="296" customFormat="1" ht="72.5">
      <c r="A217" s="1182"/>
      <c r="B217" s="1" t="s">
        <v>44</v>
      </c>
      <c r="C217" s="4"/>
      <c r="D217" s="118" t="s">
        <v>32</v>
      </c>
      <c r="E217" s="118"/>
      <c r="F217" s="118"/>
      <c r="G217" s="118"/>
      <c r="H217" s="5" t="s">
        <v>33</v>
      </c>
      <c r="I217" s="12" t="s">
        <v>47</v>
      </c>
      <c r="J217" s="16" t="s">
        <v>2063</v>
      </c>
      <c r="K217" s="16"/>
      <c r="L217" s="16"/>
      <c r="M217" s="182">
        <v>42856</v>
      </c>
      <c r="N217" s="182"/>
      <c r="O217" s="182">
        <v>43252</v>
      </c>
      <c r="P217" s="12">
        <v>12</v>
      </c>
      <c r="Q217" s="13" t="s">
        <v>50</v>
      </c>
      <c r="R217" s="18">
        <v>2500</v>
      </c>
      <c r="S217" s="31" t="s">
        <v>1639</v>
      </c>
      <c r="T217" s="12" t="s">
        <v>38</v>
      </c>
      <c r="U217" s="4"/>
      <c r="V217" s="4"/>
      <c r="W217" s="12" t="s">
        <v>1652</v>
      </c>
      <c r="X217" s="5" t="s">
        <v>1764</v>
      </c>
      <c r="Y217" s="5" t="s">
        <v>40</v>
      </c>
      <c r="Z217" s="5"/>
      <c r="AA217" s="5"/>
      <c r="AB217" s="199">
        <v>43305</v>
      </c>
      <c r="AC217" s="8" t="s">
        <v>2064</v>
      </c>
      <c r="AD217" s="147"/>
      <c r="AE217" s="17"/>
      <c r="AF217" s="2799"/>
    </row>
    <row r="218" spans="1:32" s="295" customFormat="1" ht="29.15" customHeight="1">
      <c r="A218" s="498"/>
      <c r="B218" s="1" t="s">
        <v>44</v>
      </c>
      <c r="C218" s="4"/>
      <c r="D218" s="118" t="s">
        <v>32</v>
      </c>
      <c r="E218" s="118"/>
      <c r="F218" s="118"/>
      <c r="G218" s="118"/>
      <c r="H218" s="5" t="s">
        <v>386</v>
      </c>
      <c r="I218" s="5" t="s">
        <v>34</v>
      </c>
      <c r="J218" s="16" t="s">
        <v>2065</v>
      </c>
      <c r="K218" s="8"/>
      <c r="L218" s="8"/>
      <c r="M218" s="199">
        <v>42917</v>
      </c>
      <c r="N218" s="199"/>
      <c r="O218" s="199">
        <v>43252</v>
      </c>
      <c r="P218" s="5">
        <v>48</v>
      </c>
      <c r="Q218" s="25" t="s">
        <v>2066</v>
      </c>
      <c r="R218" s="18">
        <v>600000</v>
      </c>
      <c r="S218" s="31" t="s">
        <v>1189</v>
      </c>
      <c r="T218" s="11" t="s">
        <v>38</v>
      </c>
      <c r="U218" s="4"/>
      <c r="V218" s="4"/>
      <c r="W218" s="5" t="s">
        <v>388</v>
      </c>
      <c r="X218" s="5" t="s">
        <v>413</v>
      </c>
      <c r="Y218" s="5" t="s">
        <v>40</v>
      </c>
      <c r="Z218" s="5"/>
      <c r="AA218" s="5"/>
      <c r="AB218" s="7"/>
      <c r="AC218" s="8" t="s">
        <v>2067</v>
      </c>
      <c r="AD218" s="147"/>
      <c r="AE218" s="85"/>
      <c r="AF218" s="1"/>
    </row>
    <row r="219" spans="1:32" s="295" customFormat="1" ht="57.65" customHeight="1">
      <c r="A219" s="1192"/>
      <c r="B219" s="1" t="s">
        <v>44</v>
      </c>
      <c r="C219" s="4"/>
      <c r="D219" s="118" t="s">
        <v>32</v>
      </c>
      <c r="E219" s="118"/>
      <c r="F219" s="118"/>
      <c r="G219" s="118"/>
      <c r="H219" s="5" t="s">
        <v>394</v>
      </c>
      <c r="I219" s="5" t="s">
        <v>47</v>
      </c>
      <c r="J219" s="16" t="s">
        <v>1644</v>
      </c>
      <c r="K219" s="8"/>
      <c r="L219" s="8"/>
      <c r="M219" s="205">
        <v>43009</v>
      </c>
      <c r="N219" s="199"/>
      <c r="O219" s="199">
        <v>43252</v>
      </c>
      <c r="P219" s="5">
        <v>48</v>
      </c>
      <c r="Q219" s="7" t="s">
        <v>215</v>
      </c>
      <c r="R219" s="18">
        <v>2649410</v>
      </c>
      <c r="S219" s="31" t="s">
        <v>2068</v>
      </c>
      <c r="T219" s="12" t="s">
        <v>38</v>
      </c>
      <c r="U219" s="4"/>
      <c r="V219" s="4"/>
      <c r="W219" s="5" t="s">
        <v>465</v>
      </c>
      <c r="X219" s="5" t="s">
        <v>1674</v>
      </c>
      <c r="Y219" s="5" t="s">
        <v>40</v>
      </c>
      <c r="Z219" s="5"/>
      <c r="AA219" s="5"/>
      <c r="AB219" s="199">
        <v>43286</v>
      </c>
      <c r="AC219" s="8" t="s">
        <v>2069</v>
      </c>
      <c r="AD219" s="147"/>
      <c r="AE219" s="85">
        <v>529882</v>
      </c>
      <c r="AF219" s="1"/>
    </row>
    <row r="220" spans="1:32" ht="29">
      <c r="A220" s="1184"/>
      <c r="B220" s="1" t="s">
        <v>44</v>
      </c>
      <c r="C220" s="4"/>
      <c r="D220" s="118" t="s">
        <v>32</v>
      </c>
      <c r="E220" s="118"/>
      <c r="F220" s="118"/>
      <c r="G220" s="118"/>
      <c r="H220" s="5" t="s">
        <v>33</v>
      </c>
      <c r="I220" s="5" t="s">
        <v>47</v>
      </c>
      <c r="J220" s="16" t="s">
        <v>2070</v>
      </c>
      <c r="K220" s="8"/>
      <c r="L220" s="8"/>
      <c r="M220" s="199">
        <v>43133</v>
      </c>
      <c r="N220" s="199"/>
      <c r="O220" s="199">
        <v>43252</v>
      </c>
      <c r="P220" s="12">
        <v>24</v>
      </c>
      <c r="Q220" s="199" t="s">
        <v>1345</v>
      </c>
      <c r="R220" s="18">
        <v>21792</v>
      </c>
      <c r="S220" s="31" t="s">
        <v>1615</v>
      </c>
      <c r="T220" s="11" t="s">
        <v>38</v>
      </c>
      <c r="U220" s="4"/>
      <c r="V220" s="4"/>
      <c r="W220" s="5" t="s">
        <v>1640</v>
      </c>
      <c r="X220" s="5" t="s">
        <v>715</v>
      </c>
      <c r="Y220" s="5" t="s">
        <v>40</v>
      </c>
      <c r="Z220" s="5"/>
      <c r="AA220" s="5"/>
      <c r="AB220" s="2751"/>
      <c r="AC220" s="16" t="s">
        <v>2071</v>
      </c>
      <c r="AD220" s="147"/>
      <c r="AE220" s="85">
        <f>21792/2</f>
        <v>10896</v>
      </c>
      <c r="AF220" s="2773"/>
    </row>
    <row r="221" spans="1:32" s="295" customFormat="1" ht="29">
      <c r="A221" s="1184"/>
      <c r="B221" s="1" t="s">
        <v>44</v>
      </c>
      <c r="C221" s="4"/>
      <c r="D221" s="118" t="s">
        <v>32</v>
      </c>
      <c r="E221" s="118"/>
      <c r="F221" s="118"/>
      <c r="G221" s="118"/>
      <c r="H221" s="5" t="s">
        <v>127</v>
      </c>
      <c r="I221" s="5" t="s">
        <v>47</v>
      </c>
      <c r="J221" s="16" t="s">
        <v>2072</v>
      </c>
      <c r="K221" s="8"/>
      <c r="L221" s="8"/>
      <c r="M221" s="199">
        <v>43221</v>
      </c>
      <c r="N221" s="199"/>
      <c r="O221" s="199">
        <v>43252</v>
      </c>
      <c r="P221" s="5">
        <v>24</v>
      </c>
      <c r="Q221" s="7" t="s">
        <v>1345</v>
      </c>
      <c r="R221" s="18">
        <v>7823</v>
      </c>
      <c r="S221" s="207" t="s">
        <v>1615</v>
      </c>
      <c r="T221" s="11" t="s">
        <v>38</v>
      </c>
      <c r="U221" s="4"/>
      <c r="V221" s="4"/>
      <c r="W221" s="5" t="s">
        <v>808</v>
      </c>
      <c r="X221" s="5" t="s">
        <v>1674</v>
      </c>
      <c r="Y221" s="5" t="s">
        <v>40</v>
      </c>
      <c r="Z221" s="5"/>
      <c r="AA221" s="5"/>
      <c r="AB221" s="7" t="s">
        <v>2073</v>
      </c>
      <c r="AC221" s="36" t="s">
        <v>2074</v>
      </c>
      <c r="AD221" s="147"/>
      <c r="AE221" s="85">
        <v>8000</v>
      </c>
      <c r="AF221" s="2773"/>
    </row>
    <row r="222" spans="1:32" s="296" customFormat="1" ht="29">
      <c r="A222" s="1184"/>
      <c r="B222" s="1" t="s">
        <v>44</v>
      </c>
      <c r="C222" s="4"/>
      <c r="D222" s="118" t="s">
        <v>32</v>
      </c>
      <c r="E222" s="118"/>
      <c r="F222" s="118"/>
      <c r="G222" s="118"/>
      <c r="H222" s="5" t="s">
        <v>127</v>
      </c>
      <c r="I222" s="5" t="s">
        <v>47</v>
      </c>
      <c r="J222" s="16" t="s">
        <v>2072</v>
      </c>
      <c r="K222" s="8"/>
      <c r="L222" s="8"/>
      <c r="M222" s="199">
        <v>43221</v>
      </c>
      <c r="N222" s="199"/>
      <c r="O222" s="199">
        <v>43252</v>
      </c>
      <c r="P222" s="5">
        <v>24</v>
      </c>
      <c r="Q222" s="25" t="s">
        <v>1345</v>
      </c>
      <c r="R222" s="18">
        <v>7823</v>
      </c>
      <c r="S222" s="207" t="s">
        <v>1615</v>
      </c>
      <c r="T222" s="11" t="s">
        <v>38</v>
      </c>
      <c r="U222" s="4"/>
      <c r="V222" s="4"/>
      <c r="W222" s="5" t="s">
        <v>808</v>
      </c>
      <c r="X222" s="5" t="s">
        <v>1674</v>
      </c>
      <c r="Y222" s="5" t="s">
        <v>40</v>
      </c>
      <c r="Z222" s="5"/>
      <c r="AA222" s="5"/>
      <c r="AB222" s="7" t="s">
        <v>2073</v>
      </c>
      <c r="AC222" s="36" t="s">
        <v>2074</v>
      </c>
      <c r="AD222" s="147"/>
      <c r="AE222" s="85">
        <v>8000</v>
      </c>
      <c r="AF222" s="2773"/>
    </row>
    <row r="223" spans="1:32" s="242" customFormat="1" ht="67.5" customHeight="1">
      <c r="A223" s="1119"/>
      <c r="B223" s="957" t="s">
        <v>56</v>
      </c>
      <c r="C223" s="577" t="s">
        <v>2075</v>
      </c>
      <c r="D223" s="973" t="s">
        <v>57</v>
      </c>
      <c r="E223" s="973"/>
      <c r="F223" s="973"/>
      <c r="G223" s="973"/>
      <c r="H223" s="578" t="s">
        <v>58</v>
      </c>
      <c r="I223" s="579" t="s">
        <v>47</v>
      </c>
      <c r="J223" s="1577" t="s">
        <v>2076</v>
      </c>
      <c r="K223" s="579"/>
      <c r="L223" s="580">
        <v>43187</v>
      </c>
      <c r="M223" s="580"/>
      <c r="N223" s="580"/>
      <c r="O223" s="580">
        <v>43252</v>
      </c>
      <c r="P223" s="581">
        <v>1</v>
      </c>
      <c r="Q223" s="1017">
        <v>1</v>
      </c>
      <c r="R223" s="1026">
        <v>456000</v>
      </c>
      <c r="S223" s="1042" t="s">
        <v>1650</v>
      </c>
      <c r="T223" s="584" t="s">
        <v>38</v>
      </c>
      <c r="U223" s="584"/>
      <c r="V223" s="584"/>
      <c r="W223" s="578" t="s">
        <v>2077</v>
      </c>
      <c r="X223" s="120"/>
      <c r="Y223" s="120"/>
      <c r="Z223" s="120"/>
      <c r="AA223" s="120"/>
      <c r="AB223" s="120"/>
      <c r="AC223" s="120"/>
      <c r="AD223" s="336"/>
      <c r="AE223" s="120"/>
      <c r="AF223" s="2773"/>
    </row>
    <row r="224" spans="1:32" s="296" customFormat="1" ht="65.25" customHeight="1">
      <c r="A224" s="1119"/>
      <c r="B224" s="1" t="s">
        <v>44</v>
      </c>
      <c r="C224" s="4"/>
      <c r="D224" s="118" t="s">
        <v>32</v>
      </c>
      <c r="E224" s="118"/>
      <c r="F224" s="118"/>
      <c r="G224" s="118"/>
      <c r="H224" s="5" t="s">
        <v>862</v>
      </c>
      <c r="I224" s="5" t="s">
        <v>47</v>
      </c>
      <c r="J224" s="16" t="s">
        <v>596</v>
      </c>
      <c r="K224" s="8"/>
      <c r="L224" s="8"/>
      <c r="M224" s="199">
        <v>43046</v>
      </c>
      <c r="N224" s="199"/>
      <c r="O224" s="199">
        <v>43257</v>
      </c>
      <c r="P224" s="5">
        <v>12</v>
      </c>
      <c r="Q224" s="25" t="s">
        <v>50</v>
      </c>
      <c r="R224" s="18">
        <v>4688.33</v>
      </c>
      <c r="S224" s="31" t="s">
        <v>1639</v>
      </c>
      <c r="T224" s="11" t="s">
        <v>38</v>
      </c>
      <c r="U224" s="4"/>
      <c r="V224" s="4"/>
      <c r="W224" s="5" t="s">
        <v>598</v>
      </c>
      <c r="X224" s="5" t="s">
        <v>1962</v>
      </c>
      <c r="Y224" s="5" t="s">
        <v>40</v>
      </c>
      <c r="Z224" s="5"/>
      <c r="AA224" s="5"/>
      <c r="AB224" s="199">
        <v>43304</v>
      </c>
      <c r="AC224" s="8" t="s">
        <v>2078</v>
      </c>
      <c r="AD224" s="147"/>
      <c r="AE224" s="1135"/>
      <c r="AF224" s="2773"/>
    </row>
    <row r="225" spans="1:32" s="296" customFormat="1" ht="54.65" customHeight="1">
      <c r="A225" s="1184"/>
      <c r="B225" s="1" t="s">
        <v>44</v>
      </c>
      <c r="C225" s="4"/>
      <c r="D225" s="118" t="s">
        <v>32</v>
      </c>
      <c r="E225" s="118"/>
      <c r="F225" s="118"/>
      <c r="G225" s="118"/>
      <c r="H225" s="5" t="s">
        <v>33</v>
      </c>
      <c r="I225" s="12" t="s">
        <v>47</v>
      </c>
      <c r="J225" s="16" t="s">
        <v>2079</v>
      </c>
      <c r="K225" s="16"/>
      <c r="L225" s="16"/>
      <c r="M225" s="182">
        <v>43244</v>
      </c>
      <c r="N225" s="182"/>
      <c r="O225" s="182">
        <v>43259</v>
      </c>
      <c r="P225" s="13" t="s">
        <v>50</v>
      </c>
      <c r="Q225" s="28" t="s">
        <v>50</v>
      </c>
      <c r="R225" s="197">
        <v>19237.5</v>
      </c>
      <c r="S225" s="31" t="s">
        <v>1615</v>
      </c>
      <c r="T225" s="12" t="s">
        <v>38</v>
      </c>
      <c r="U225" s="4"/>
      <c r="V225" s="4"/>
      <c r="W225" s="5" t="s">
        <v>2080</v>
      </c>
      <c r="X225" s="5" t="s">
        <v>543</v>
      </c>
      <c r="Y225" s="5" t="s">
        <v>40</v>
      </c>
      <c r="Z225" s="5"/>
      <c r="AA225" s="12"/>
      <c r="AB225" s="199">
        <v>43287</v>
      </c>
      <c r="AC225" s="36" t="s">
        <v>2081</v>
      </c>
      <c r="AD225" s="147"/>
      <c r="AE225" s="17">
        <v>19237.5</v>
      </c>
      <c r="AF225" s="2773"/>
    </row>
    <row r="226" spans="1:32" s="296" customFormat="1" ht="79.5" customHeight="1">
      <c r="A226" s="2756"/>
      <c r="B226" s="1" t="s">
        <v>44</v>
      </c>
      <c r="C226" s="4"/>
      <c r="D226" s="118" t="s">
        <v>32</v>
      </c>
      <c r="E226" s="118"/>
      <c r="F226" s="118"/>
      <c r="G226" s="118"/>
      <c r="H226" s="5" t="s">
        <v>33</v>
      </c>
      <c r="I226" s="12" t="s">
        <v>47</v>
      </c>
      <c r="J226" s="16" t="s">
        <v>2079</v>
      </c>
      <c r="K226" s="16"/>
      <c r="L226" s="16"/>
      <c r="M226" s="182">
        <v>43244</v>
      </c>
      <c r="N226" s="182"/>
      <c r="O226" s="182">
        <v>43259</v>
      </c>
      <c r="P226" s="13" t="s">
        <v>50</v>
      </c>
      <c r="Q226" s="28" t="s">
        <v>50</v>
      </c>
      <c r="R226" s="197">
        <v>19237.5</v>
      </c>
      <c r="S226" s="31" t="s">
        <v>1615</v>
      </c>
      <c r="T226" s="12" t="s">
        <v>38</v>
      </c>
      <c r="U226" s="4"/>
      <c r="V226" s="4"/>
      <c r="W226" s="5" t="s">
        <v>2080</v>
      </c>
      <c r="X226" s="5" t="s">
        <v>543</v>
      </c>
      <c r="Y226" s="5" t="s">
        <v>40</v>
      </c>
      <c r="Z226" s="5"/>
      <c r="AA226" s="12"/>
      <c r="AB226" s="199">
        <v>43287</v>
      </c>
      <c r="AC226" s="36" t="s">
        <v>2081</v>
      </c>
      <c r="AD226" s="147"/>
      <c r="AE226" s="17">
        <v>19237.5</v>
      </c>
      <c r="AF226" s="2799"/>
    </row>
    <row r="227" spans="1:32" s="296" customFormat="1" ht="91">
      <c r="A227" s="1119"/>
      <c r="B227" s="957" t="s">
        <v>56</v>
      </c>
      <c r="C227" s="577" t="s">
        <v>2082</v>
      </c>
      <c r="D227" s="973" t="s">
        <v>57</v>
      </c>
      <c r="E227" s="973"/>
      <c r="F227" s="973"/>
      <c r="G227" s="973"/>
      <c r="H227" s="578" t="s">
        <v>58</v>
      </c>
      <c r="I227" s="579" t="s">
        <v>47</v>
      </c>
      <c r="J227" s="1577" t="s">
        <v>2083</v>
      </c>
      <c r="K227" s="579"/>
      <c r="L227" s="580">
        <v>43150</v>
      </c>
      <c r="M227" s="580"/>
      <c r="N227" s="580"/>
      <c r="O227" s="580">
        <v>43262</v>
      </c>
      <c r="P227" s="581">
        <v>4</v>
      </c>
      <c r="Q227" s="1017">
        <v>4</v>
      </c>
      <c r="R227" s="1026">
        <v>450000</v>
      </c>
      <c r="S227" s="1042" t="s">
        <v>1650</v>
      </c>
      <c r="T227" s="584" t="s">
        <v>38</v>
      </c>
      <c r="U227" s="584"/>
      <c r="V227" s="584"/>
      <c r="W227" s="585"/>
      <c r="X227" s="120"/>
      <c r="Y227" s="120"/>
      <c r="Z227" s="120"/>
      <c r="AA227" s="120"/>
      <c r="AB227" s="120"/>
      <c r="AC227" s="120"/>
      <c r="AD227" s="336"/>
      <c r="AE227"/>
      <c r="AF227" s="1"/>
    </row>
    <row r="228" spans="1:32" s="296" customFormat="1">
      <c r="A228" s="1648">
        <v>44974</v>
      </c>
      <c r="B228" s="1657" t="s">
        <v>1168</v>
      </c>
      <c r="C228" s="1664">
        <v>33839</v>
      </c>
      <c r="D228" s="1570" t="s">
        <v>1192</v>
      </c>
      <c r="E228" s="1569" t="s">
        <v>1168</v>
      </c>
      <c r="F228" s="1569" t="s">
        <v>1170</v>
      </c>
      <c r="G228" s="1569" t="s">
        <v>1170</v>
      </c>
      <c r="H228" s="1655" t="s">
        <v>1170</v>
      </c>
      <c r="I228" s="1655" t="s">
        <v>1170</v>
      </c>
      <c r="J228" s="1698" t="s">
        <v>2084</v>
      </c>
      <c r="K228" s="1664" t="s">
        <v>2085</v>
      </c>
      <c r="L228" s="1655" t="s">
        <v>1170</v>
      </c>
      <c r="M228" s="1655" t="s">
        <v>1170</v>
      </c>
      <c r="N228" s="1655" t="s">
        <v>1170</v>
      </c>
      <c r="O228" s="1755">
        <v>43262</v>
      </c>
      <c r="P228" s="1755">
        <v>45199</v>
      </c>
      <c r="Q228" s="1667" t="s">
        <v>71</v>
      </c>
      <c r="R228" s="1828">
        <v>25000</v>
      </c>
      <c r="S228" s="1570" t="s">
        <v>2086</v>
      </c>
      <c r="T228" s="1655" t="s">
        <v>1170</v>
      </c>
      <c r="U228" s="1655" t="s">
        <v>1170</v>
      </c>
      <c r="V228" s="1655"/>
      <c r="W228" s="1664" t="s">
        <v>2087</v>
      </c>
      <c r="X228" s="1664" t="s">
        <v>1175</v>
      </c>
      <c r="Y228" s="1664" t="s">
        <v>251</v>
      </c>
      <c r="Z228" s="1655" t="s">
        <v>1170</v>
      </c>
      <c r="AA228" s="1655" t="s">
        <v>1170</v>
      </c>
      <c r="AB228" s="1655" t="s">
        <v>1170</v>
      </c>
      <c r="AC228" s="1698" t="s">
        <v>2088</v>
      </c>
      <c r="AD228" s="1569" t="s">
        <v>1170</v>
      </c>
      <c r="AE228" s="1805">
        <v>25000</v>
      </c>
      <c r="AF228"/>
    </row>
    <row r="229" spans="1:32" s="296" customFormat="1" ht="57.65" customHeight="1">
      <c r="A229" s="1185"/>
      <c r="B229" s="1" t="s">
        <v>44</v>
      </c>
      <c r="C229" s="4"/>
      <c r="D229" s="118" t="s">
        <v>32</v>
      </c>
      <c r="E229" s="118"/>
      <c r="F229" s="118"/>
      <c r="G229" s="118"/>
      <c r="H229" s="5" t="s">
        <v>279</v>
      </c>
      <c r="I229" s="5" t="s">
        <v>47</v>
      </c>
      <c r="J229" s="16" t="s">
        <v>280</v>
      </c>
      <c r="K229" s="8"/>
      <c r="L229" s="8"/>
      <c r="M229" s="199">
        <v>43101</v>
      </c>
      <c r="N229" s="199"/>
      <c r="O229" s="199">
        <v>43267</v>
      </c>
      <c r="P229" s="5">
        <v>48</v>
      </c>
      <c r="Q229" s="25" t="s">
        <v>82</v>
      </c>
      <c r="R229" s="18">
        <v>36000</v>
      </c>
      <c r="S229" s="207" t="s">
        <v>1189</v>
      </c>
      <c r="T229" s="11" t="s">
        <v>38</v>
      </c>
      <c r="U229" s="4"/>
      <c r="V229" s="4"/>
      <c r="W229" s="5" t="s">
        <v>2089</v>
      </c>
      <c r="X229" s="5" t="s">
        <v>1962</v>
      </c>
      <c r="Y229" s="5" t="s">
        <v>40</v>
      </c>
      <c r="Z229" s="5"/>
      <c r="AA229" s="5"/>
      <c r="AB229" s="199">
        <v>43305</v>
      </c>
      <c r="AC229" s="8" t="s">
        <v>2090</v>
      </c>
      <c r="AD229" s="147"/>
      <c r="AE229" s="85"/>
      <c r="AF229" s="2773"/>
    </row>
    <row r="230" spans="1:32" s="296" customFormat="1" ht="43.4" customHeight="1">
      <c r="A230" s="1119"/>
      <c r="B230" s="957" t="s">
        <v>56</v>
      </c>
      <c r="C230" s="577" t="s">
        <v>2091</v>
      </c>
      <c r="D230" s="973" t="s">
        <v>32</v>
      </c>
      <c r="E230" s="973"/>
      <c r="F230" s="973"/>
      <c r="G230" s="973"/>
      <c r="H230" s="578" t="s">
        <v>308</v>
      </c>
      <c r="I230" s="579" t="s">
        <v>47</v>
      </c>
      <c r="J230" s="1577" t="s">
        <v>2092</v>
      </c>
      <c r="K230" s="579"/>
      <c r="L230" s="580">
        <v>43178</v>
      </c>
      <c r="M230" s="580"/>
      <c r="N230" s="580"/>
      <c r="O230" s="580">
        <v>43269</v>
      </c>
      <c r="P230" s="581">
        <v>6</v>
      </c>
      <c r="Q230" s="1017">
        <v>6</v>
      </c>
      <c r="R230" s="582">
        <v>1683000</v>
      </c>
      <c r="S230" s="1042" t="s">
        <v>1863</v>
      </c>
      <c r="T230" s="584" t="s">
        <v>38</v>
      </c>
      <c r="U230" s="584"/>
      <c r="V230" s="584"/>
      <c r="W230" s="578" t="s">
        <v>1886</v>
      </c>
      <c r="X230" s="120"/>
      <c r="Y230" s="120"/>
      <c r="Z230" s="120"/>
      <c r="AA230" s="120"/>
      <c r="AB230" s="120"/>
      <c r="AC230" s="120"/>
      <c r="AD230" s="336"/>
      <c r="AE230" s="120"/>
      <c r="AF230" s="2799"/>
    </row>
    <row r="231" spans="1:32" s="295" customFormat="1" ht="65">
      <c r="A231" s="1119"/>
      <c r="B231" s="957" t="s">
        <v>56</v>
      </c>
      <c r="C231" s="577" t="s">
        <v>2093</v>
      </c>
      <c r="D231" s="973" t="s">
        <v>32</v>
      </c>
      <c r="E231" s="973"/>
      <c r="F231" s="973"/>
      <c r="G231" s="973"/>
      <c r="H231" s="578" t="s">
        <v>308</v>
      </c>
      <c r="I231" s="579" t="s">
        <v>47</v>
      </c>
      <c r="J231" s="1577" t="s">
        <v>2094</v>
      </c>
      <c r="K231" s="579"/>
      <c r="L231" s="580">
        <v>43157</v>
      </c>
      <c r="M231" s="580"/>
      <c r="N231" s="580"/>
      <c r="O231" s="580">
        <v>43269</v>
      </c>
      <c r="P231" s="581">
        <v>2</v>
      </c>
      <c r="Q231" s="1017">
        <v>2</v>
      </c>
      <c r="R231" s="582">
        <v>365000</v>
      </c>
      <c r="S231" s="1042" t="s">
        <v>1863</v>
      </c>
      <c r="T231" s="584" t="s">
        <v>38</v>
      </c>
      <c r="U231" s="584"/>
      <c r="V231" s="584"/>
      <c r="W231" s="585" t="s">
        <v>714</v>
      </c>
      <c r="X231" s="120"/>
      <c r="Y231" s="120"/>
      <c r="Z231" s="120"/>
      <c r="AA231" s="120"/>
      <c r="AB231" s="120"/>
      <c r="AC231" s="120"/>
      <c r="AD231" s="336"/>
      <c r="AE231" s="120"/>
      <c r="AF231" s="2773"/>
    </row>
    <row r="232" spans="1:32" s="295" customFormat="1" ht="37.5">
      <c r="A232" s="1119"/>
      <c r="B232" s="957" t="s">
        <v>56</v>
      </c>
      <c r="C232" s="510" t="s">
        <v>2093</v>
      </c>
      <c r="D232" s="611" t="s">
        <v>32</v>
      </c>
      <c r="E232" s="611"/>
      <c r="F232" s="611"/>
      <c r="G232" s="611"/>
      <c r="H232" s="511" t="s">
        <v>308</v>
      </c>
      <c r="I232" s="519" t="s">
        <v>47</v>
      </c>
      <c r="J232" s="1578" t="s">
        <v>2095</v>
      </c>
      <c r="K232" s="512"/>
      <c r="L232" s="597" t="s">
        <v>251</v>
      </c>
      <c r="M232" s="597"/>
      <c r="N232" s="597"/>
      <c r="O232" s="597">
        <v>43269</v>
      </c>
      <c r="P232" s="516">
        <v>2</v>
      </c>
      <c r="Q232" s="516">
        <v>2</v>
      </c>
      <c r="R232" s="599">
        <v>365000</v>
      </c>
      <c r="S232" s="1043" t="s">
        <v>1937</v>
      </c>
      <c r="T232" s="515" t="s">
        <v>38</v>
      </c>
      <c r="U232" s="515"/>
      <c r="V232" s="515"/>
      <c r="W232" s="519" t="s">
        <v>714</v>
      </c>
      <c r="X232" s="120"/>
      <c r="Y232" s="120"/>
      <c r="Z232" s="120"/>
      <c r="AA232" s="120"/>
      <c r="AB232" s="120"/>
      <c r="AC232" s="120"/>
      <c r="AD232" s="336"/>
      <c r="AE232" s="120"/>
      <c r="AF232" s="2773"/>
    </row>
    <row r="233" spans="1:32" s="295" customFormat="1">
      <c r="A233" s="1648">
        <v>44974</v>
      </c>
      <c r="B233" s="1657" t="s">
        <v>1168</v>
      </c>
      <c r="C233" s="1664">
        <v>30182</v>
      </c>
      <c r="D233" s="1570" t="s">
        <v>1178</v>
      </c>
      <c r="E233" s="1569" t="s">
        <v>1168</v>
      </c>
      <c r="F233" s="1569" t="s">
        <v>1170</v>
      </c>
      <c r="G233" s="1569" t="s">
        <v>1170</v>
      </c>
      <c r="H233" s="1655" t="s">
        <v>1170</v>
      </c>
      <c r="I233" s="1655" t="s">
        <v>1170</v>
      </c>
      <c r="J233" s="1698" t="s">
        <v>2096</v>
      </c>
      <c r="K233" s="1664" t="s">
        <v>2097</v>
      </c>
      <c r="L233" s="1655" t="s">
        <v>1170</v>
      </c>
      <c r="M233" s="1655" t="s">
        <v>1170</v>
      </c>
      <c r="N233" s="1655" t="s">
        <v>1170</v>
      </c>
      <c r="O233" s="1755">
        <v>43269</v>
      </c>
      <c r="P233" s="1755">
        <v>45016</v>
      </c>
      <c r="Q233" s="1667" t="s">
        <v>1181</v>
      </c>
      <c r="R233" s="1805">
        <v>80000</v>
      </c>
      <c r="S233" s="1570" t="s">
        <v>1182</v>
      </c>
      <c r="T233" s="1655" t="s">
        <v>1170</v>
      </c>
      <c r="U233" s="1655" t="s">
        <v>1170</v>
      </c>
      <c r="V233" s="1655"/>
      <c r="W233" s="1664" t="s">
        <v>1190</v>
      </c>
      <c r="X233" s="1664" t="s">
        <v>1175</v>
      </c>
      <c r="Y233" s="1664" t="s">
        <v>251</v>
      </c>
      <c r="Z233" s="1655" t="s">
        <v>1170</v>
      </c>
      <c r="AA233" s="1655" t="s">
        <v>1170</v>
      </c>
      <c r="AB233" s="1655" t="s">
        <v>1170</v>
      </c>
      <c r="AC233" s="1698" t="s">
        <v>2098</v>
      </c>
      <c r="AD233" s="1569" t="s">
        <v>1170</v>
      </c>
      <c r="AE233" s="1805">
        <v>80000</v>
      </c>
      <c r="AF233"/>
    </row>
    <row r="234" spans="1:32" s="295" customFormat="1" ht="43.5">
      <c r="A234" s="1193"/>
      <c r="B234" s="1" t="s">
        <v>44</v>
      </c>
      <c r="C234" s="4"/>
      <c r="D234" s="118" t="s">
        <v>32</v>
      </c>
      <c r="E234" s="118"/>
      <c r="F234" s="118"/>
      <c r="G234" s="118"/>
      <c r="H234" s="5" t="s">
        <v>1770</v>
      </c>
      <c r="I234" s="12" t="s">
        <v>47</v>
      </c>
      <c r="J234" s="16" t="s">
        <v>2099</v>
      </c>
      <c r="K234" s="16"/>
      <c r="L234" s="16"/>
      <c r="M234" s="182">
        <v>42916</v>
      </c>
      <c r="N234" s="182"/>
      <c r="O234" s="182">
        <v>43273</v>
      </c>
      <c r="P234" s="12">
        <v>12</v>
      </c>
      <c r="Q234" s="7" t="s">
        <v>50</v>
      </c>
      <c r="R234" s="18">
        <v>7000</v>
      </c>
      <c r="S234" s="5" t="s">
        <v>1639</v>
      </c>
      <c r="T234" s="12" t="s">
        <v>38</v>
      </c>
      <c r="U234" s="4"/>
      <c r="V234" s="4"/>
      <c r="W234" s="12" t="s">
        <v>2100</v>
      </c>
      <c r="X234" s="5" t="s">
        <v>1764</v>
      </c>
      <c r="Y234" s="5" t="s">
        <v>40</v>
      </c>
      <c r="Z234" s="5"/>
      <c r="AA234" s="5"/>
      <c r="AB234" s="199">
        <v>43305</v>
      </c>
      <c r="AC234" s="8" t="s">
        <v>2101</v>
      </c>
      <c r="AD234" s="147"/>
      <c r="AE234" s="17"/>
      <c r="AF234" s="2773"/>
    </row>
    <row r="235" spans="1:32" s="1" customFormat="1" ht="63" customHeight="1">
      <c r="A235" s="1119"/>
      <c r="B235" s="957" t="s">
        <v>56</v>
      </c>
      <c r="C235" s="577" t="s">
        <v>2102</v>
      </c>
      <c r="D235" s="973" t="s">
        <v>32</v>
      </c>
      <c r="E235" s="973"/>
      <c r="F235" s="973"/>
      <c r="G235" s="973"/>
      <c r="H235" s="578" t="s">
        <v>308</v>
      </c>
      <c r="I235" s="579" t="s">
        <v>47</v>
      </c>
      <c r="J235" s="1577" t="s">
        <v>2103</v>
      </c>
      <c r="K235" s="579"/>
      <c r="L235" s="592">
        <v>43258</v>
      </c>
      <c r="M235" s="592"/>
      <c r="N235" s="592"/>
      <c r="O235" s="580">
        <v>43273</v>
      </c>
      <c r="P235" s="1782">
        <v>1</v>
      </c>
      <c r="Q235" s="581">
        <v>1</v>
      </c>
      <c r="R235" s="582">
        <v>50000</v>
      </c>
      <c r="S235" s="1042" t="s">
        <v>1803</v>
      </c>
      <c r="T235" s="584" t="s">
        <v>38</v>
      </c>
      <c r="U235" s="584"/>
      <c r="V235" s="584"/>
      <c r="W235" s="585" t="s">
        <v>2104</v>
      </c>
      <c r="X235" s="120"/>
      <c r="Y235" s="120"/>
      <c r="Z235" s="120"/>
      <c r="AA235" s="120"/>
      <c r="AB235" s="120"/>
      <c r="AC235" s="120"/>
      <c r="AD235" s="336"/>
      <c r="AE235" s="120"/>
      <c r="AF235" s="2799"/>
    </row>
    <row r="236" spans="1:32" s="295" customFormat="1" ht="65">
      <c r="A236" s="1119"/>
      <c r="B236" s="957" t="s">
        <v>56</v>
      </c>
      <c r="C236" s="577" t="s">
        <v>71</v>
      </c>
      <c r="D236" s="973" t="s">
        <v>32</v>
      </c>
      <c r="E236" s="973"/>
      <c r="F236" s="973"/>
      <c r="G236" s="973"/>
      <c r="H236" s="578" t="s">
        <v>308</v>
      </c>
      <c r="I236" s="579" t="s">
        <v>47</v>
      </c>
      <c r="J236" s="1577" t="s">
        <v>2105</v>
      </c>
      <c r="K236" s="579"/>
      <c r="L236" s="580">
        <v>43199</v>
      </c>
      <c r="M236" s="580"/>
      <c r="N236" s="580"/>
      <c r="O236" s="580">
        <v>43276</v>
      </c>
      <c r="P236" s="581">
        <v>3</v>
      </c>
      <c r="Q236" s="581">
        <v>3</v>
      </c>
      <c r="R236" s="582">
        <v>400000</v>
      </c>
      <c r="S236" s="1042" t="s">
        <v>1863</v>
      </c>
      <c r="T236" s="584" t="s">
        <v>38</v>
      </c>
      <c r="U236" s="584"/>
      <c r="V236" s="584"/>
      <c r="W236" s="585" t="s">
        <v>714</v>
      </c>
      <c r="X236" s="120"/>
      <c r="Y236" s="120"/>
      <c r="Z236" s="120"/>
      <c r="AA236" s="120"/>
      <c r="AB236" s="120"/>
      <c r="AC236" s="120"/>
      <c r="AD236" s="336"/>
      <c r="AE236"/>
      <c r="AF236" s="2773"/>
    </row>
    <row r="237" spans="1:32" s="296" customFormat="1" ht="68.25" customHeight="1">
      <c r="A237" s="498"/>
      <c r="B237" s="1" t="s">
        <v>44</v>
      </c>
      <c r="C237" s="4"/>
      <c r="D237" s="118" t="s">
        <v>32</v>
      </c>
      <c r="E237" s="118"/>
      <c r="F237" s="118"/>
      <c r="G237" s="118"/>
      <c r="H237" s="5" t="s">
        <v>127</v>
      </c>
      <c r="I237" s="5" t="s">
        <v>47</v>
      </c>
      <c r="J237" s="16" t="s">
        <v>292</v>
      </c>
      <c r="K237" s="8"/>
      <c r="L237" s="8"/>
      <c r="M237" s="199">
        <v>42917</v>
      </c>
      <c r="N237" s="199"/>
      <c r="O237" s="199">
        <v>43282</v>
      </c>
      <c r="P237" s="5">
        <v>72</v>
      </c>
      <c r="Q237" s="26" t="s">
        <v>552</v>
      </c>
      <c r="R237" s="18">
        <v>18000</v>
      </c>
      <c r="S237" s="5" t="s">
        <v>176</v>
      </c>
      <c r="T237" s="11" t="s">
        <v>38</v>
      </c>
      <c r="U237" s="4"/>
      <c r="V237" s="4"/>
      <c r="W237" s="5" t="s">
        <v>2106</v>
      </c>
      <c r="X237" s="5" t="s">
        <v>1962</v>
      </c>
      <c r="Y237" s="5" t="s">
        <v>40</v>
      </c>
      <c r="Z237" s="5"/>
      <c r="AA237" s="26"/>
      <c r="AB237" s="2801">
        <v>43300</v>
      </c>
      <c r="AC237" s="8" t="s">
        <v>2107</v>
      </c>
      <c r="AD237" s="147"/>
      <c r="AE237" s="85"/>
      <c r="AF237" s="2773"/>
    </row>
    <row r="238" spans="1:32" s="1" customFormat="1" ht="122.25" customHeight="1">
      <c r="A238" s="1191"/>
      <c r="B238" s="1" t="s">
        <v>44</v>
      </c>
      <c r="C238" s="4"/>
      <c r="D238" s="118" t="s">
        <v>32</v>
      </c>
      <c r="E238" s="118"/>
      <c r="F238" s="118"/>
      <c r="G238" s="118"/>
      <c r="H238" s="5" t="s">
        <v>1837</v>
      </c>
      <c r="I238" s="5" t="s">
        <v>34</v>
      </c>
      <c r="J238" s="16" t="s">
        <v>2108</v>
      </c>
      <c r="K238" s="8"/>
      <c r="L238" s="8"/>
      <c r="M238" s="199">
        <v>43070</v>
      </c>
      <c r="N238" s="199"/>
      <c r="O238" s="199">
        <v>43282</v>
      </c>
      <c r="P238" s="5">
        <v>48</v>
      </c>
      <c r="Q238" s="25" t="s">
        <v>2109</v>
      </c>
      <c r="R238" s="18">
        <v>800000</v>
      </c>
      <c r="S238" s="31" t="s">
        <v>2110</v>
      </c>
      <c r="T238" s="12" t="s">
        <v>1568</v>
      </c>
      <c r="U238" s="4"/>
      <c r="V238" s="4"/>
      <c r="W238" s="5" t="s">
        <v>1076</v>
      </c>
      <c r="X238" s="5" t="s">
        <v>283</v>
      </c>
      <c r="Y238" s="73" t="s">
        <v>40</v>
      </c>
      <c r="Z238" s="5"/>
      <c r="AA238" s="5"/>
      <c r="AB238" s="199">
        <v>43384</v>
      </c>
      <c r="AC238" s="8" t="s">
        <v>2111</v>
      </c>
      <c r="AD238" s="147"/>
      <c r="AE238" s="41"/>
      <c r="AF238"/>
    </row>
    <row r="239" spans="1:32" s="296" customFormat="1" ht="91">
      <c r="A239" s="1119"/>
      <c r="B239" s="957" t="s">
        <v>56</v>
      </c>
      <c r="C239" s="577" t="s">
        <v>2112</v>
      </c>
      <c r="D239" s="973" t="s">
        <v>57</v>
      </c>
      <c r="E239" s="973"/>
      <c r="F239" s="973"/>
      <c r="G239" s="973"/>
      <c r="H239" s="578" t="s">
        <v>58</v>
      </c>
      <c r="I239" s="579" t="s">
        <v>47</v>
      </c>
      <c r="J239" s="1577" t="s">
        <v>2113</v>
      </c>
      <c r="K239" s="579"/>
      <c r="L239" s="580">
        <v>43210</v>
      </c>
      <c r="M239" s="580"/>
      <c r="N239" s="580"/>
      <c r="O239" s="580">
        <v>43283</v>
      </c>
      <c r="P239" s="581">
        <v>2</v>
      </c>
      <c r="Q239" s="581">
        <v>2</v>
      </c>
      <c r="R239" s="582">
        <v>907613</v>
      </c>
      <c r="S239" s="1042" t="s">
        <v>1650</v>
      </c>
      <c r="T239" s="584" t="s">
        <v>38</v>
      </c>
      <c r="U239" s="584"/>
      <c r="V239" s="584"/>
      <c r="W239" s="585" t="s">
        <v>2114</v>
      </c>
      <c r="X239" s="120"/>
      <c r="Y239" s="120"/>
      <c r="Z239" s="120"/>
      <c r="AA239" s="120"/>
      <c r="AB239" s="120"/>
      <c r="AC239" s="120"/>
      <c r="AD239" s="336"/>
      <c r="AE239" s="120"/>
      <c r="AF239" s="2773"/>
    </row>
    <row r="240" spans="1:32" s="295" customFormat="1" ht="145">
      <c r="A240" s="1185"/>
      <c r="B240" s="1" t="s">
        <v>44</v>
      </c>
      <c r="C240" s="4"/>
      <c r="D240" s="118" t="s">
        <v>32</v>
      </c>
      <c r="E240" s="118"/>
      <c r="F240" s="118"/>
      <c r="G240" s="118"/>
      <c r="H240" s="5" t="s">
        <v>33</v>
      </c>
      <c r="I240" s="12" t="s">
        <v>34</v>
      </c>
      <c r="J240" s="16" t="s">
        <v>1662</v>
      </c>
      <c r="K240" s="16"/>
      <c r="L240" s="16"/>
      <c r="M240" s="182">
        <v>43101</v>
      </c>
      <c r="N240" s="182"/>
      <c r="O240" s="182">
        <v>43284</v>
      </c>
      <c r="P240" s="12">
        <v>60</v>
      </c>
      <c r="Q240" s="25" t="s">
        <v>2115</v>
      </c>
      <c r="R240" s="18">
        <v>79073</v>
      </c>
      <c r="S240" s="31" t="s">
        <v>130</v>
      </c>
      <c r="T240" s="11" t="s">
        <v>38</v>
      </c>
      <c r="U240" s="4"/>
      <c r="V240" s="4"/>
      <c r="W240" s="12" t="s">
        <v>1664</v>
      </c>
      <c r="X240" s="5" t="s">
        <v>283</v>
      </c>
      <c r="Y240" s="5" t="s">
        <v>40</v>
      </c>
      <c r="Z240" s="5"/>
      <c r="AA240" s="26"/>
      <c r="AB240" s="199">
        <v>43396</v>
      </c>
      <c r="AC240" s="8" t="s">
        <v>2116</v>
      </c>
      <c r="AD240" s="147"/>
      <c r="AE240" s="41" t="s">
        <v>2117</v>
      </c>
      <c r="AF240" s="2799"/>
    </row>
    <row r="241" spans="1:32" s="296" customFormat="1" ht="29">
      <c r="A241" s="2756"/>
      <c r="B241" s="1" t="s">
        <v>44</v>
      </c>
      <c r="C241" s="4"/>
      <c r="D241" s="32" t="s">
        <v>32</v>
      </c>
      <c r="E241" s="32"/>
      <c r="F241" s="32"/>
      <c r="G241" s="32"/>
      <c r="H241" s="5" t="s">
        <v>33</v>
      </c>
      <c r="I241" s="5" t="s">
        <v>47</v>
      </c>
      <c r="J241" s="16" t="s">
        <v>2118</v>
      </c>
      <c r="K241" s="8"/>
      <c r="L241" s="8"/>
      <c r="M241" s="14">
        <v>43237</v>
      </c>
      <c r="N241" s="14"/>
      <c r="O241" s="14">
        <v>43284</v>
      </c>
      <c r="P241" s="12" t="s">
        <v>45</v>
      </c>
      <c r="Q241" s="26" t="s">
        <v>45</v>
      </c>
      <c r="R241" s="18">
        <v>6000</v>
      </c>
      <c r="S241" s="31" t="s">
        <v>270</v>
      </c>
      <c r="T241" s="14" t="s">
        <v>38</v>
      </c>
      <c r="U241" s="4"/>
      <c r="V241" s="4"/>
      <c r="W241" s="5" t="s">
        <v>142</v>
      </c>
      <c r="X241" s="5" t="s">
        <v>283</v>
      </c>
      <c r="Y241" s="5" t="s">
        <v>1161</v>
      </c>
      <c r="Z241" s="5"/>
      <c r="AA241" s="5"/>
      <c r="AB241" s="199">
        <v>43536</v>
      </c>
      <c r="AC241" s="33" t="s">
        <v>2119</v>
      </c>
      <c r="AD241" s="147"/>
      <c r="AE241" s="41" t="s">
        <v>2120</v>
      </c>
      <c r="AF241" s="1537"/>
    </row>
    <row r="242" spans="1:32" s="1" customFormat="1" ht="43.4" customHeight="1">
      <c r="A242" s="2756"/>
      <c r="B242" s="1" t="s">
        <v>44</v>
      </c>
      <c r="C242" s="4"/>
      <c r="D242" s="32" t="s">
        <v>32</v>
      </c>
      <c r="E242" s="32"/>
      <c r="F242" s="32"/>
      <c r="G242" s="32"/>
      <c r="H242" s="5" t="s">
        <v>33</v>
      </c>
      <c r="I242" s="5" t="s">
        <v>47</v>
      </c>
      <c r="J242" s="16" t="s">
        <v>2118</v>
      </c>
      <c r="K242" s="8"/>
      <c r="L242" s="8"/>
      <c r="M242" s="14">
        <v>43237</v>
      </c>
      <c r="N242" s="14"/>
      <c r="O242" s="14">
        <v>43284</v>
      </c>
      <c r="P242" s="12" t="s">
        <v>45</v>
      </c>
      <c r="Q242" s="5" t="s">
        <v>45</v>
      </c>
      <c r="R242" s="18">
        <v>6000</v>
      </c>
      <c r="S242" s="31" t="s">
        <v>270</v>
      </c>
      <c r="T242" s="14" t="s">
        <v>38</v>
      </c>
      <c r="U242" s="4"/>
      <c r="V242" s="4"/>
      <c r="W242" s="5" t="s">
        <v>142</v>
      </c>
      <c r="X242" s="5" t="s">
        <v>283</v>
      </c>
      <c r="Y242" s="5" t="s">
        <v>1161</v>
      </c>
      <c r="Z242" s="5"/>
      <c r="AA242" s="5"/>
      <c r="AB242" s="199">
        <v>43536</v>
      </c>
      <c r="AC242" s="33" t="s">
        <v>2119</v>
      </c>
      <c r="AD242" s="147"/>
      <c r="AE242" s="41" t="s">
        <v>2120</v>
      </c>
      <c r="AF242" s="2799"/>
    </row>
    <row r="243" spans="1:32" s="1" customFormat="1" ht="29">
      <c r="A243" s="1184"/>
      <c r="B243" s="1" t="s">
        <v>44</v>
      </c>
      <c r="C243" s="4"/>
      <c r="D243" s="118" t="s">
        <v>32</v>
      </c>
      <c r="E243" s="118"/>
      <c r="F243" s="118"/>
      <c r="G243" s="118"/>
      <c r="H243" s="5" t="s">
        <v>33</v>
      </c>
      <c r="I243" s="5" t="s">
        <v>47</v>
      </c>
      <c r="J243" s="16" t="s">
        <v>1666</v>
      </c>
      <c r="K243" s="8"/>
      <c r="L243" s="8"/>
      <c r="M243" s="14">
        <v>43132</v>
      </c>
      <c r="N243" s="14"/>
      <c r="O243" s="14">
        <v>43285</v>
      </c>
      <c r="P243" s="12">
        <v>12</v>
      </c>
      <c r="Q243" s="26">
        <v>12</v>
      </c>
      <c r="R243" s="18">
        <v>3916.3</v>
      </c>
      <c r="S243" s="31" t="s">
        <v>1189</v>
      </c>
      <c r="T243" s="14" t="s">
        <v>38</v>
      </c>
      <c r="U243" s="4"/>
      <c r="V243" s="4"/>
      <c r="W243" s="5" t="s">
        <v>1667</v>
      </c>
      <c r="X243" s="5" t="s">
        <v>1962</v>
      </c>
      <c r="Y243" s="5" t="s">
        <v>40</v>
      </c>
      <c r="Z243" s="5"/>
      <c r="AA243" s="5"/>
      <c r="AB243" s="199">
        <v>43335</v>
      </c>
      <c r="AC243" s="100" t="s">
        <v>2121</v>
      </c>
      <c r="AD243" s="147"/>
      <c r="AE243" s="85"/>
      <c r="AF243" s="2799"/>
    </row>
    <row r="244" spans="1:32" s="296" customFormat="1" ht="65">
      <c r="A244" s="1119"/>
      <c r="B244" s="957" t="s">
        <v>56</v>
      </c>
      <c r="C244" s="577" t="s">
        <v>2122</v>
      </c>
      <c r="D244" s="973" t="s">
        <v>32</v>
      </c>
      <c r="E244" s="973"/>
      <c r="F244" s="973"/>
      <c r="G244" s="973"/>
      <c r="H244" s="578" t="s">
        <v>308</v>
      </c>
      <c r="I244" s="579" t="s">
        <v>47</v>
      </c>
      <c r="J244" s="1577" t="s">
        <v>2123</v>
      </c>
      <c r="K244" s="579"/>
      <c r="L244" s="580">
        <v>43179</v>
      </c>
      <c r="M244" s="580"/>
      <c r="N244" s="580"/>
      <c r="O244" s="580">
        <v>43304</v>
      </c>
      <c r="P244" s="581" t="s">
        <v>2124</v>
      </c>
      <c r="Q244" s="1017">
        <v>1</v>
      </c>
      <c r="R244" s="582">
        <v>431000</v>
      </c>
      <c r="S244" s="1042" t="s">
        <v>1863</v>
      </c>
      <c r="T244" s="584" t="s">
        <v>38</v>
      </c>
      <c r="U244" s="584"/>
      <c r="V244" s="584"/>
      <c r="W244" s="578" t="s">
        <v>1886</v>
      </c>
      <c r="X244" s="120"/>
      <c r="Y244" s="120"/>
      <c r="Z244" s="120"/>
      <c r="AA244" s="120"/>
      <c r="AB244" s="120"/>
      <c r="AC244" s="120"/>
      <c r="AD244" s="336"/>
      <c r="AE244" s="120"/>
      <c r="AF244" s="2799"/>
    </row>
    <row r="245" spans="1:32" s="296" customFormat="1" ht="65">
      <c r="A245" s="1119"/>
      <c r="B245" s="957" t="s">
        <v>56</v>
      </c>
      <c r="C245" s="577" t="s">
        <v>2125</v>
      </c>
      <c r="D245" s="973" t="s">
        <v>32</v>
      </c>
      <c r="E245" s="973"/>
      <c r="F245" s="973"/>
      <c r="G245" s="973"/>
      <c r="H245" s="578" t="s">
        <v>308</v>
      </c>
      <c r="I245" s="579" t="s">
        <v>47</v>
      </c>
      <c r="J245" s="1577" t="s">
        <v>2126</v>
      </c>
      <c r="K245" s="579"/>
      <c r="L245" s="580">
        <v>43220</v>
      </c>
      <c r="M245" s="580"/>
      <c r="N245" s="580"/>
      <c r="O245" s="580">
        <v>43304</v>
      </c>
      <c r="P245" s="581">
        <v>5</v>
      </c>
      <c r="Q245" s="1017">
        <v>5</v>
      </c>
      <c r="R245" s="582">
        <v>430000</v>
      </c>
      <c r="S245" s="1042" t="s">
        <v>1863</v>
      </c>
      <c r="T245" s="584" t="s">
        <v>38</v>
      </c>
      <c r="U245" s="584"/>
      <c r="V245" s="584"/>
      <c r="W245" s="578" t="s">
        <v>1886</v>
      </c>
      <c r="X245" s="120"/>
      <c r="Y245" s="120"/>
      <c r="Z245" s="120"/>
      <c r="AA245" s="120"/>
      <c r="AB245" s="120"/>
      <c r="AC245" s="120"/>
      <c r="AD245" s="336"/>
      <c r="AE245" s="120"/>
      <c r="AF245" s="2799"/>
    </row>
    <row r="246" spans="1:32" s="296" customFormat="1" ht="65">
      <c r="A246" s="1119"/>
      <c r="B246" s="957" t="s">
        <v>56</v>
      </c>
      <c r="C246" s="577" t="s">
        <v>2127</v>
      </c>
      <c r="D246" s="973" t="s">
        <v>32</v>
      </c>
      <c r="E246" s="973"/>
      <c r="F246" s="973"/>
      <c r="G246" s="973"/>
      <c r="H246" s="578" t="s">
        <v>308</v>
      </c>
      <c r="I246" s="579" t="s">
        <v>47</v>
      </c>
      <c r="J246" s="1577" t="s">
        <v>2128</v>
      </c>
      <c r="K246" s="579"/>
      <c r="L246" s="580">
        <v>43213</v>
      </c>
      <c r="M246" s="580"/>
      <c r="N246" s="580"/>
      <c r="O246" s="580">
        <v>43304</v>
      </c>
      <c r="P246" s="581">
        <v>1</v>
      </c>
      <c r="Q246" s="1017">
        <v>1</v>
      </c>
      <c r="R246" s="582">
        <v>166000</v>
      </c>
      <c r="S246" s="1042" t="s">
        <v>1803</v>
      </c>
      <c r="T246" s="1057" t="s">
        <v>38</v>
      </c>
      <c r="U246" s="584"/>
      <c r="V246" s="584"/>
      <c r="W246" s="578" t="s">
        <v>1923</v>
      </c>
      <c r="X246" s="120"/>
      <c r="Y246" s="120"/>
      <c r="Z246" s="120"/>
      <c r="AA246" s="120"/>
      <c r="AB246" s="120"/>
      <c r="AC246" s="120"/>
      <c r="AD246" s="336"/>
      <c r="AE246" s="120"/>
      <c r="AF246" s="2799"/>
    </row>
    <row r="247" spans="1:32" s="3" customFormat="1" ht="43.4" customHeight="1">
      <c r="A247" s="1119"/>
      <c r="B247" s="957" t="s">
        <v>56</v>
      </c>
      <c r="C247" s="577" t="s">
        <v>2129</v>
      </c>
      <c r="D247" s="973" t="s">
        <v>32</v>
      </c>
      <c r="E247" s="973"/>
      <c r="F247" s="973"/>
      <c r="G247" s="973"/>
      <c r="H247" s="578" t="s">
        <v>308</v>
      </c>
      <c r="I247" s="579" t="s">
        <v>47</v>
      </c>
      <c r="J247" s="1577" t="s">
        <v>2130</v>
      </c>
      <c r="K247" s="579"/>
      <c r="L247" s="580">
        <v>43186</v>
      </c>
      <c r="M247" s="580"/>
      <c r="N247" s="580"/>
      <c r="O247" s="580">
        <v>43304</v>
      </c>
      <c r="P247" s="581">
        <v>1</v>
      </c>
      <c r="Q247" s="1017">
        <v>1</v>
      </c>
      <c r="R247" s="582">
        <v>490000</v>
      </c>
      <c r="S247" s="1042" t="s">
        <v>1863</v>
      </c>
      <c r="T247" s="1057" t="s">
        <v>38</v>
      </c>
      <c r="U247" s="584"/>
      <c r="V247" s="584"/>
      <c r="W247" s="578" t="s">
        <v>1923</v>
      </c>
      <c r="X247" s="120"/>
      <c r="Y247" s="120"/>
      <c r="Z247" s="120"/>
      <c r="AA247" s="120"/>
      <c r="AB247" s="120"/>
      <c r="AC247" s="120"/>
      <c r="AD247" s="336"/>
      <c r="AE247" s="120"/>
      <c r="AF247" s="2799"/>
    </row>
    <row r="248" spans="1:32" s="295" customFormat="1" ht="65">
      <c r="A248" s="1119"/>
      <c r="B248" s="957" t="s">
        <v>56</v>
      </c>
      <c r="C248" s="577" t="s">
        <v>2131</v>
      </c>
      <c r="D248" s="973" t="s">
        <v>32</v>
      </c>
      <c r="E248" s="973"/>
      <c r="F248" s="973"/>
      <c r="G248" s="973"/>
      <c r="H248" s="578" t="s">
        <v>308</v>
      </c>
      <c r="I248" s="579" t="s">
        <v>47</v>
      </c>
      <c r="J248" s="1577" t="s">
        <v>2132</v>
      </c>
      <c r="K248" s="579"/>
      <c r="L248" s="580">
        <v>43187</v>
      </c>
      <c r="M248" s="580"/>
      <c r="N248" s="580"/>
      <c r="O248" s="580">
        <v>43304</v>
      </c>
      <c r="P248" s="581">
        <v>1</v>
      </c>
      <c r="Q248" s="1017">
        <v>1</v>
      </c>
      <c r="R248" s="582">
        <v>50000</v>
      </c>
      <c r="S248" s="1042" t="s">
        <v>1803</v>
      </c>
      <c r="T248" s="584" t="s">
        <v>38</v>
      </c>
      <c r="U248" s="584"/>
      <c r="V248" s="584"/>
      <c r="W248" s="578" t="s">
        <v>1886</v>
      </c>
      <c r="X248" s="120"/>
      <c r="Y248" s="120"/>
      <c r="Z248" s="120"/>
      <c r="AA248" s="186"/>
      <c r="AB248" s="120"/>
      <c r="AC248" s="120"/>
      <c r="AD248" s="336"/>
      <c r="AE248" s="120"/>
      <c r="AF248" s="2799"/>
    </row>
    <row r="249" spans="1:32" s="295" customFormat="1" ht="65">
      <c r="A249" s="1119"/>
      <c r="B249" s="959" t="s">
        <v>56</v>
      </c>
      <c r="C249" s="577" t="s">
        <v>2133</v>
      </c>
      <c r="D249" s="973" t="s">
        <v>32</v>
      </c>
      <c r="E249" s="973"/>
      <c r="F249" s="973"/>
      <c r="G249" s="973"/>
      <c r="H249" s="578" t="s">
        <v>308</v>
      </c>
      <c r="I249" s="579" t="s">
        <v>47</v>
      </c>
      <c r="J249" s="1577" t="s">
        <v>2134</v>
      </c>
      <c r="K249" s="579"/>
      <c r="L249" s="580">
        <v>43186</v>
      </c>
      <c r="M249" s="580"/>
      <c r="N249" s="580"/>
      <c r="O249" s="580">
        <v>43304</v>
      </c>
      <c r="P249" s="581">
        <v>1</v>
      </c>
      <c r="Q249" s="581">
        <v>1</v>
      </c>
      <c r="R249" s="582">
        <v>50000</v>
      </c>
      <c r="S249" s="583" t="s">
        <v>1803</v>
      </c>
      <c r="T249" s="584" t="s">
        <v>38</v>
      </c>
      <c r="U249" s="584"/>
      <c r="V249" s="584"/>
      <c r="W249" s="578" t="s">
        <v>1886</v>
      </c>
      <c r="X249" s="120"/>
      <c r="Y249" s="1081"/>
      <c r="Z249" s="120"/>
      <c r="AA249" s="120"/>
      <c r="AB249" s="120"/>
      <c r="AC249" s="120"/>
      <c r="AD249" s="336"/>
      <c r="AE249" s="120"/>
      <c r="AF249" s="2773"/>
    </row>
    <row r="250" spans="1:32" s="1" customFormat="1" ht="65">
      <c r="A250" s="1119"/>
      <c r="B250" s="959" t="s">
        <v>56</v>
      </c>
      <c r="C250" s="577" t="s">
        <v>2135</v>
      </c>
      <c r="D250" s="973" t="s">
        <v>32</v>
      </c>
      <c r="E250" s="973"/>
      <c r="F250" s="973"/>
      <c r="G250" s="973"/>
      <c r="H250" s="578" t="s">
        <v>308</v>
      </c>
      <c r="I250" s="579" t="s">
        <v>47</v>
      </c>
      <c r="J250" s="1577" t="s">
        <v>2136</v>
      </c>
      <c r="K250" s="579"/>
      <c r="L250" s="592" t="s">
        <v>2137</v>
      </c>
      <c r="M250" s="592"/>
      <c r="N250" s="592"/>
      <c r="O250" s="580">
        <v>43304</v>
      </c>
      <c r="P250" s="581">
        <v>1</v>
      </c>
      <c r="Q250" s="581">
        <v>1</v>
      </c>
      <c r="R250" s="582">
        <v>150000</v>
      </c>
      <c r="S250" s="1042" t="s">
        <v>1803</v>
      </c>
      <c r="T250" s="584" t="s">
        <v>38</v>
      </c>
      <c r="U250" s="584"/>
      <c r="V250" s="584"/>
      <c r="W250" s="578" t="s">
        <v>1877</v>
      </c>
      <c r="X250" s="120"/>
      <c r="Y250" s="1081"/>
      <c r="Z250" s="120"/>
      <c r="AA250" s="120"/>
      <c r="AB250" s="120"/>
      <c r="AC250" s="120"/>
      <c r="AD250" s="336"/>
      <c r="AE250" s="120"/>
      <c r="AF250" s="2773"/>
    </row>
    <row r="251" spans="1:32" s="295" customFormat="1" ht="65">
      <c r="A251" s="1119"/>
      <c r="B251" s="959" t="s">
        <v>56</v>
      </c>
      <c r="C251" s="577" t="s">
        <v>2138</v>
      </c>
      <c r="D251" s="973" t="s">
        <v>32</v>
      </c>
      <c r="E251" s="973"/>
      <c r="F251" s="973"/>
      <c r="G251" s="973"/>
      <c r="H251" s="578" t="s">
        <v>308</v>
      </c>
      <c r="I251" s="579" t="s">
        <v>47</v>
      </c>
      <c r="J251" s="1577" t="s">
        <v>2139</v>
      </c>
      <c r="K251" s="579"/>
      <c r="L251" s="580">
        <v>43252</v>
      </c>
      <c r="M251" s="580"/>
      <c r="N251" s="580"/>
      <c r="O251" s="580">
        <v>43304</v>
      </c>
      <c r="P251" s="581">
        <v>1</v>
      </c>
      <c r="Q251" s="1017">
        <v>1</v>
      </c>
      <c r="R251" s="582">
        <v>60000</v>
      </c>
      <c r="S251" s="1042" t="s">
        <v>1803</v>
      </c>
      <c r="T251" s="584" t="s">
        <v>38</v>
      </c>
      <c r="U251" s="584"/>
      <c r="V251" s="584"/>
      <c r="W251" s="585" t="s">
        <v>714</v>
      </c>
      <c r="X251" s="120"/>
      <c r="Y251" s="120"/>
      <c r="Z251" s="120"/>
      <c r="AA251" s="120"/>
      <c r="AB251" s="120"/>
      <c r="AC251" s="120"/>
      <c r="AD251" s="336"/>
      <c r="AE251" s="120"/>
      <c r="AF251" s="2773"/>
    </row>
    <row r="252" spans="1:32" s="296" customFormat="1" ht="70.5" customHeight="1">
      <c r="A252" s="1119"/>
      <c r="B252" s="959" t="s">
        <v>56</v>
      </c>
      <c r="C252" s="577" t="s">
        <v>2140</v>
      </c>
      <c r="D252" s="973" t="s">
        <v>32</v>
      </c>
      <c r="E252" s="973"/>
      <c r="F252" s="973"/>
      <c r="G252" s="973"/>
      <c r="H252" s="578" t="s">
        <v>308</v>
      </c>
      <c r="I252" s="579" t="s">
        <v>47</v>
      </c>
      <c r="J252" s="1577" t="s">
        <v>2141</v>
      </c>
      <c r="K252" s="579"/>
      <c r="L252" s="592">
        <v>43251</v>
      </c>
      <c r="M252" s="592"/>
      <c r="N252" s="592"/>
      <c r="O252" s="580">
        <v>43304</v>
      </c>
      <c r="P252" s="581">
        <v>1</v>
      </c>
      <c r="Q252" s="581">
        <v>1</v>
      </c>
      <c r="R252" s="582">
        <v>200000</v>
      </c>
      <c r="S252" s="583" t="s">
        <v>1803</v>
      </c>
      <c r="T252" s="584" t="s">
        <v>38</v>
      </c>
      <c r="U252" s="584"/>
      <c r="V252" s="584"/>
      <c r="W252" s="585" t="s">
        <v>714</v>
      </c>
      <c r="X252" s="120"/>
      <c r="Y252" s="120"/>
      <c r="Z252" s="120"/>
      <c r="AA252" s="186"/>
      <c r="AB252" s="120"/>
      <c r="AC252" s="120"/>
      <c r="AD252" s="336"/>
      <c r="AE252" s="120"/>
      <c r="AF252" s="2773"/>
    </row>
    <row r="253" spans="1:32" s="296" customFormat="1" ht="65">
      <c r="A253" s="1119"/>
      <c r="B253" s="959" t="s">
        <v>56</v>
      </c>
      <c r="C253" s="577" t="s">
        <v>2142</v>
      </c>
      <c r="D253" s="973" t="s">
        <v>32</v>
      </c>
      <c r="E253" s="973"/>
      <c r="F253" s="973"/>
      <c r="G253" s="973"/>
      <c r="H253" s="578" t="s">
        <v>308</v>
      </c>
      <c r="I253" s="579" t="s">
        <v>47</v>
      </c>
      <c r="J253" s="1577" t="s">
        <v>2143</v>
      </c>
      <c r="K253" s="579"/>
      <c r="L253" s="592">
        <v>43265</v>
      </c>
      <c r="M253" s="592"/>
      <c r="N253" s="592"/>
      <c r="O253" s="580">
        <v>43304</v>
      </c>
      <c r="P253" s="581">
        <v>1</v>
      </c>
      <c r="Q253" s="581">
        <v>1</v>
      </c>
      <c r="R253" s="582">
        <v>60000</v>
      </c>
      <c r="S253" s="1042" t="s">
        <v>1803</v>
      </c>
      <c r="T253" s="584" t="s">
        <v>38</v>
      </c>
      <c r="U253" s="584"/>
      <c r="V253" s="584"/>
      <c r="W253" s="585" t="s">
        <v>714</v>
      </c>
      <c r="X253" s="120"/>
      <c r="Y253" s="120"/>
      <c r="Z253" s="120"/>
      <c r="AA253" s="120"/>
      <c r="AB253" s="120"/>
      <c r="AC253" s="120"/>
      <c r="AD253" s="336"/>
      <c r="AE253" s="120"/>
      <c r="AF253" s="1"/>
    </row>
    <row r="254" spans="1:32" s="1" customFormat="1" ht="65">
      <c r="A254" s="1119"/>
      <c r="B254" s="959" t="s">
        <v>56</v>
      </c>
      <c r="C254" s="577" t="s">
        <v>2144</v>
      </c>
      <c r="D254" s="973" t="s">
        <v>32</v>
      </c>
      <c r="E254" s="973"/>
      <c r="F254" s="973"/>
      <c r="G254" s="973"/>
      <c r="H254" s="578" t="s">
        <v>308</v>
      </c>
      <c r="I254" s="579" t="s">
        <v>47</v>
      </c>
      <c r="J254" s="1577" t="s">
        <v>2145</v>
      </c>
      <c r="K254" s="579"/>
      <c r="L254" s="580">
        <v>43210</v>
      </c>
      <c r="M254" s="580"/>
      <c r="N254" s="580"/>
      <c r="O254" s="580">
        <v>43304</v>
      </c>
      <c r="P254" s="581">
        <v>2</v>
      </c>
      <c r="Q254" s="1017">
        <v>2</v>
      </c>
      <c r="R254" s="582">
        <v>50000</v>
      </c>
      <c r="S254" s="1042" t="s">
        <v>1803</v>
      </c>
      <c r="T254" s="584" t="s">
        <v>38</v>
      </c>
      <c r="U254" s="584"/>
      <c r="V254" s="584"/>
      <c r="W254" s="585" t="s">
        <v>714</v>
      </c>
      <c r="X254" s="120"/>
      <c r="Y254" s="120"/>
      <c r="Z254" s="120"/>
      <c r="AA254" s="120"/>
      <c r="AB254" s="120"/>
      <c r="AC254" s="120"/>
      <c r="AD254" s="336"/>
      <c r="AE254" s="120"/>
      <c r="AF254" s="2773"/>
    </row>
    <row r="255" spans="1:32" s="295" customFormat="1" ht="43.4" customHeight="1">
      <c r="A255" s="1119"/>
      <c r="B255" s="959" t="s">
        <v>56</v>
      </c>
      <c r="C255" s="510" t="s">
        <v>2146</v>
      </c>
      <c r="D255" s="611" t="s">
        <v>32</v>
      </c>
      <c r="E255" s="611"/>
      <c r="F255" s="611"/>
      <c r="G255" s="611"/>
      <c r="H255" s="511" t="s">
        <v>308</v>
      </c>
      <c r="I255" s="519" t="s">
        <v>47</v>
      </c>
      <c r="J255" s="1578" t="s">
        <v>2147</v>
      </c>
      <c r="K255" s="512"/>
      <c r="L255" s="597" t="s">
        <v>251</v>
      </c>
      <c r="M255" s="597"/>
      <c r="N255" s="597"/>
      <c r="O255" s="597">
        <v>43304</v>
      </c>
      <c r="P255" s="516">
        <v>1</v>
      </c>
      <c r="Q255" s="516">
        <v>1</v>
      </c>
      <c r="R255" s="599">
        <v>205000</v>
      </c>
      <c r="S255" s="1043" t="s">
        <v>84</v>
      </c>
      <c r="T255" s="515" t="s">
        <v>38</v>
      </c>
      <c r="U255" s="515"/>
      <c r="V255" s="515"/>
      <c r="W255" s="519" t="s">
        <v>714</v>
      </c>
      <c r="X255" s="120"/>
      <c r="Y255" s="120"/>
      <c r="Z255" s="120"/>
      <c r="AA255" s="120"/>
      <c r="AB255" s="120"/>
      <c r="AC255" s="120"/>
      <c r="AD255" s="336"/>
      <c r="AE255" s="120"/>
      <c r="AF255" s="2799"/>
    </row>
    <row r="256" spans="1:32" s="295" customFormat="1" ht="43.5">
      <c r="A256" s="498"/>
      <c r="B256" s="271" t="s">
        <v>44</v>
      </c>
      <c r="C256" s="2757"/>
      <c r="D256" s="118" t="s">
        <v>32</v>
      </c>
      <c r="E256" s="118"/>
      <c r="F256" s="118"/>
      <c r="G256" s="118"/>
      <c r="H256" s="5" t="s">
        <v>2148</v>
      </c>
      <c r="I256" s="5" t="s">
        <v>34</v>
      </c>
      <c r="J256" s="16" t="s">
        <v>2149</v>
      </c>
      <c r="K256" s="8"/>
      <c r="L256" s="8"/>
      <c r="M256" s="199">
        <v>42917</v>
      </c>
      <c r="N256" s="199"/>
      <c r="O256" s="199">
        <v>43313</v>
      </c>
      <c r="P256" s="5">
        <v>60</v>
      </c>
      <c r="Q256" s="25" t="s">
        <v>2150</v>
      </c>
      <c r="R256" s="18">
        <v>377750</v>
      </c>
      <c r="S256" s="31" t="s">
        <v>1691</v>
      </c>
      <c r="T256" s="11" t="s">
        <v>38</v>
      </c>
      <c r="U256" s="2757"/>
      <c r="V256" s="2757"/>
      <c r="W256" s="5" t="s">
        <v>2151</v>
      </c>
      <c r="X256" s="5" t="s">
        <v>283</v>
      </c>
      <c r="Y256" s="5" t="s">
        <v>40</v>
      </c>
      <c r="Z256" s="5"/>
      <c r="AA256" s="5"/>
      <c r="AB256" s="7"/>
      <c r="AC256" s="8" t="s">
        <v>2152</v>
      </c>
      <c r="AD256" s="147"/>
      <c r="AE256" s="85"/>
      <c r="AF256" s="1"/>
    </row>
    <row r="257" spans="1:32" s="295" customFormat="1" ht="43.5">
      <c r="A257" s="1184"/>
      <c r="B257" s="271" t="s">
        <v>44</v>
      </c>
      <c r="C257" s="2757"/>
      <c r="D257" s="118" t="s">
        <v>32</v>
      </c>
      <c r="E257" s="118"/>
      <c r="F257" s="118"/>
      <c r="G257" s="118"/>
      <c r="H257" s="5" t="s">
        <v>1697</v>
      </c>
      <c r="I257" s="5" t="s">
        <v>34</v>
      </c>
      <c r="J257" s="16" t="s">
        <v>1698</v>
      </c>
      <c r="K257" s="16"/>
      <c r="L257" s="16"/>
      <c r="M257" s="182">
        <v>43191</v>
      </c>
      <c r="N257" s="182"/>
      <c r="O257" s="182">
        <v>43313</v>
      </c>
      <c r="P257" s="12">
        <v>12</v>
      </c>
      <c r="Q257" s="13" t="s">
        <v>50</v>
      </c>
      <c r="R257" s="18">
        <v>446.4</v>
      </c>
      <c r="S257" s="31" t="s">
        <v>1639</v>
      </c>
      <c r="T257" s="11" t="s">
        <v>38</v>
      </c>
      <c r="U257" s="2757"/>
      <c r="V257" s="2757"/>
      <c r="W257" s="5" t="s">
        <v>1699</v>
      </c>
      <c r="X257" s="5" t="s">
        <v>1641</v>
      </c>
      <c r="Y257" s="5" t="s">
        <v>40</v>
      </c>
      <c r="Z257" s="5"/>
      <c r="AA257" s="26"/>
      <c r="AB257" s="199"/>
      <c r="AC257" s="36" t="s">
        <v>1700</v>
      </c>
      <c r="AD257" s="147"/>
      <c r="AE257" s="17"/>
      <c r="AF257" s="2799"/>
    </row>
    <row r="258" spans="1:32" s="295" customFormat="1" ht="43.5">
      <c r="A258" s="1184"/>
      <c r="B258" s="271" t="s">
        <v>44</v>
      </c>
      <c r="C258" s="4"/>
      <c r="D258" s="118" t="s">
        <v>57</v>
      </c>
      <c r="E258" s="118"/>
      <c r="F258" s="118"/>
      <c r="G258" s="118"/>
      <c r="H258" s="5" t="s">
        <v>46</v>
      </c>
      <c r="I258" s="5" t="s">
        <v>47</v>
      </c>
      <c r="J258" s="16" t="s">
        <v>2153</v>
      </c>
      <c r="K258" s="16"/>
      <c r="L258" s="16"/>
      <c r="M258" s="182">
        <v>43221</v>
      </c>
      <c r="N258" s="182"/>
      <c r="O258" s="182">
        <v>43313</v>
      </c>
      <c r="P258" s="12">
        <v>4</v>
      </c>
      <c r="Q258" s="7" t="s">
        <v>844</v>
      </c>
      <c r="R258" s="112">
        <v>55626</v>
      </c>
      <c r="S258" s="31" t="s">
        <v>2154</v>
      </c>
      <c r="T258" s="11" t="s">
        <v>38</v>
      </c>
      <c r="U258" s="4"/>
      <c r="V258" s="4"/>
      <c r="W258" s="5" t="s">
        <v>2155</v>
      </c>
      <c r="X258" s="5" t="s">
        <v>1892</v>
      </c>
      <c r="Y258" s="5" t="s">
        <v>40</v>
      </c>
      <c r="Z258" s="5"/>
      <c r="AA258" s="26"/>
      <c r="AB258" s="199">
        <v>43476</v>
      </c>
      <c r="AC258" s="113" t="s">
        <v>2156</v>
      </c>
      <c r="AD258" s="147"/>
      <c r="AE258" s="40"/>
      <c r="AF258" s="2773"/>
    </row>
    <row r="259" spans="1:32" s="295" customFormat="1" ht="43.5">
      <c r="A259" s="1184"/>
      <c r="B259" s="271" t="s">
        <v>44</v>
      </c>
      <c r="C259" s="4"/>
      <c r="D259" s="8" t="s">
        <v>57</v>
      </c>
      <c r="E259" s="8"/>
      <c r="F259" s="8"/>
      <c r="G259" s="8"/>
      <c r="H259" s="5" t="s">
        <v>46</v>
      </c>
      <c r="I259" s="5" t="s">
        <v>47</v>
      </c>
      <c r="J259" s="16" t="s">
        <v>2153</v>
      </c>
      <c r="K259" s="16"/>
      <c r="L259" s="16"/>
      <c r="M259" s="182">
        <v>43221</v>
      </c>
      <c r="N259" s="182"/>
      <c r="O259" s="182">
        <v>43313</v>
      </c>
      <c r="P259" s="12">
        <v>4</v>
      </c>
      <c r="Q259" s="25" t="s">
        <v>844</v>
      </c>
      <c r="R259" s="112">
        <v>55626</v>
      </c>
      <c r="S259" s="31" t="s">
        <v>2154</v>
      </c>
      <c r="T259" s="11" t="s">
        <v>38</v>
      </c>
      <c r="U259" s="4"/>
      <c r="V259" s="4"/>
      <c r="W259" s="5" t="s">
        <v>2155</v>
      </c>
      <c r="X259" s="5" t="s">
        <v>1892</v>
      </c>
      <c r="Y259" s="5" t="s">
        <v>40</v>
      </c>
      <c r="Z259" s="5"/>
      <c r="AA259" s="5"/>
      <c r="AB259" s="199">
        <v>43476</v>
      </c>
      <c r="AC259" s="113" t="s">
        <v>2156</v>
      </c>
      <c r="AD259" s="147"/>
      <c r="AE259" s="40"/>
      <c r="AF259" s="2799"/>
    </row>
    <row r="260" spans="1:32" s="295" customFormat="1" ht="87">
      <c r="A260" s="1184"/>
      <c r="B260" s="271" t="s">
        <v>44</v>
      </c>
      <c r="C260" s="2757"/>
      <c r="D260" s="118" t="s">
        <v>32</v>
      </c>
      <c r="E260" s="118"/>
      <c r="F260" s="118"/>
      <c r="G260" s="118"/>
      <c r="H260" s="5" t="s">
        <v>2157</v>
      </c>
      <c r="I260" s="5" t="s">
        <v>34</v>
      </c>
      <c r="J260" s="16" t="s">
        <v>2158</v>
      </c>
      <c r="K260" s="16"/>
      <c r="L260" s="16"/>
      <c r="M260" s="14">
        <v>43313</v>
      </c>
      <c r="N260" s="14"/>
      <c r="O260" s="14">
        <v>43313</v>
      </c>
      <c r="P260" s="12">
        <v>12</v>
      </c>
      <c r="Q260" s="26">
        <v>12</v>
      </c>
      <c r="R260" s="18">
        <v>54000</v>
      </c>
      <c r="S260" s="31" t="s">
        <v>84</v>
      </c>
      <c r="T260" s="12" t="s">
        <v>38</v>
      </c>
      <c r="U260" s="2757"/>
      <c r="V260" s="2757"/>
      <c r="W260" s="5" t="s">
        <v>2159</v>
      </c>
      <c r="X260" s="5" t="s">
        <v>715</v>
      </c>
      <c r="Y260" s="5" t="s">
        <v>40</v>
      </c>
      <c r="Z260" s="5"/>
      <c r="AA260" s="5"/>
      <c r="AB260" s="199">
        <v>43476</v>
      </c>
      <c r="AC260" s="8" t="s">
        <v>2160</v>
      </c>
      <c r="AD260" s="147"/>
      <c r="AE260" s="18"/>
      <c r="AF260" s="1"/>
    </row>
    <row r="261" spans="1:32" s="295" customFormat="1" ht="43.4" customHeight="1">
      <c r="A261" s="1119"/>
      <c r="B261" s="959" t="s">
        <v>56</v>
      </c>
      <c r="C261" s="510"/>
      <c r="D261" s="511" t="s">
        <v>57</v>
      </c>
      <c r="E261" s="511"/>
      <c r="F261" s="511"/>
      <c r="G261" s="511"/>
      <c r="H261" s="511" t="s">
        <v>58</v>
      </c>
      <c r="I261" s="519" t="s">
        <v>47</v>
      </c>
      <c r="J261" s="1578" t="s">
        <v>1710</v>
      </c>
      <c r="K261" s="512"/>
      <c r="L261" s="597">
        <v>43221</v>
      </c>
      <c r="M261" s="597"/>
      <c r="N261" s="597"/>
      <c r="O261" s="597">
        <v>43313</v>
      </c>
      <c r="P261" s="516">
        <v>12</v>
      </c>
      <c r="Q261" s="516">
        <v>12</v>
      </c>
      <c r="R261" s="599">
        <v>50000</v>
      </c>
      <c r="S261" s="523" t="s">
        <v>176</v>
      </c>
      <c r="T261" s="515" t="s">
        <v>38</v>
      </c>
      <c r="U261" s="515"/>
      <c r="V261" s="515"/>
      <c r="W261" s="519" t="s">
        <v>1711</v>
      </c>
      <c r="X261" s="120"/>
      <c r="Y261" s="120"/>
      <c r="Z261" s="120"/>
      <c r="AA261" s="120"/>
      <c r="AB261" s="120"/>
      <c r="AC261" s="120"/>
      <c r="AD261" s="336"/>
      <c r="AE261" s="120"/>
      <c r="AF261" s="1"/>
    </row>
    <row r="262" spans="1:32" s="296" customFormat="1" ht="65">
      <c r="A262" s="1119"/>
      <c r="B262" s="959" t="s">
        <v>56</v>
      </c>
      <c r="C262" s="577" t="s">
        <v>2161</v>
      </c>
      <c r="D262" s="973" t="s">
        <v>32</v>
      </c>
      <c r="E262" s="973"/>
      <c r="F262" s="973"/>
      <c r="G262" s="973"/>
      <c r="H262" s="578" t="s">
        <v>308</v>
      </c>
      <c r="I262" s="579" t="s">
        <v>47</v>
      </c>
      <c r="J262" s="1577" t="s">
        <v>2162</v>
      </c>
      <c r="K262" s="579"/>
      <c r="L262" s="580">
        <v>43199</v>
      </c>
      <c r="M262" s="580"/>
      <c r="N262" s="580"/>
      <c r="O262" s="580">
        <v>43318</v>
      </c>
      <c r="P262" s="581">
        <v>5</v>
      </c>
      <c r="Q262" s="1017">
        <v>5</v>
      </c>
      <c r="R262" s="582">
        <v>470000</v>
      </c>
      <c r="S262" s="1042" t="s">
        <v>1863</v>
      </c>
      <c r="T262" s="584" t="s">
        <v>38</v>
      </c>
      <c r="U262" s="584"/>
      <c r="V262" s="584"/>
      <c r="W262" s="578" t="s">
        <v>1886</v>
      </c>
      <c r="X262" s="120"/>
      <c r="Y262" s="1081"/>
      <c r="Z262" s="120"/>
      <c r="AA262" s="120"/>
      <c r="AB262" s="120"/>
      <c r="AC262" s="120"/>
      <c r="AD262" s="336"/>
      <c r="AE262" s="120"/>
      <c r="AF262" s="2799"/>
    </row>
    <row r="263" spans="1:32" s="296" customFormat="1" ht="58">
      <c r="A263" s="1184"/>
      <c r="B263" s="271" t="s">
        <v>44</v>
      </c>
      <c r="C263" s="4" t="s">
        <v>2163</v>
      </c>
      <c r="D263" s="118" t="s">
        <v>32</v>
      </c>
      <c r="E263" s="118"/>
      <c r="F263" s="118"/>
      <c r="G263" s="118"/>
      <c r="H263" s="5" t="s">
        <v>46</v>
      </c>
      <c r="I263" s="12" t="s">
        <v>47</v>
      </c>
      <c r="J263" s="16" t="s">
        <v>2164</v>
      </c>
      <c r="K263" s="16"/>
      <c r="L263" s="16"/>
      <c r="M263" s="182">
        <v>43251</v>
      </c>
      <c r="N263" s="182"/>
      <c r="O263" s="182">
        <v>43325</v>
      </c>
      <c r="P263" s="12">
        <v>3</v>
      </c>
      <c r="Q263" s="25" t="s">
        <v>2165</v>
      </c>
      <c r="R263" s="18">
        <v>20000</v>
      </c>
      <c r="S263" s="31" t="s">
        <v>176</v>
      </c>
      <c r="T263" s="12" t="s">
        <v>38</v>
      </c>
      <c r="U263" s="4"/>
      <c r="V263" s="4"/>
      <c r="W263" s="12" t="s">
        <v>2166</v>
      </c>
      <c r="X263" s="5" t="s">
        <v>2167</v>
      </c>
      <c r="Y263" s="5" t="s">
        <v>40</v>
      </c>
      <c r="Z263" s="5"/>
      <c r="AA263" s="5"/>
      <c r="AB263" s="199">
        <v>43332</v>
      </c>
      <c r="AC263" s="36" t="s">
        <v>2168</v>
      </c>
      <c r="AD263" s="147"/>
      <c r="AE263" s="17"/>
      <c r="AF263" s="2799"/>
    </row>
    <row r="264" spans="1:32" s="296" customFormat="1" ht="58">
      <c r="A264" s="1184"/>
      <c r="B264" s="292" t="s">
        <v>44</v>
      </c>
      <c r="C264" s="279" t="s">
        <v>2163</v>
      </c>
      <c r="D264" s="505" t="s">
        <v>32</v>
      </c>
      <c r="E264" s="505"/>
      <c r="F264" s="505"/>
      <c r="G264" s="505"/>
      <c r="H264" s="73" t="s">
        <v>46</v>
      </c>
      <c r="I264" s="275" t="s">
        <v>47</v>
      </c>
      <c r="J264" s="281" t="s">
        <v>2164</v>
      </c>
      <c r="K264" s="281"/>
      <c r="L264" s="281"/>
      <c r="M264" s="182">
        <v>43251</v>
      </c>
      <c r="N264" s="288"/>
      <c r="O264" s="288">
        <v>43325</v>
      </c>
      <c r="P264" s="275">
        <v>3</v>
      </c>
      <c r="Q264" s="319" t="s">
        <v>2165</v>
      </c>
      <c r="R264" s="282">
        <v>20000</v>
      </c>
      <c r="S264" s="274" t="s">
        <v>176</v>
      </c>
      <c r="T264" s="276" t="s">
        <v>38</v>
      </c>
      <c r="U264" s="279"/>
      <c r="V264" s="279"/>
      <c r="W264" s="275" t="s">
        <v>2166</v>
      </c>
      <c r="X264" s="73" t="s">
        <v>2167</v>
      </c>
      <c r="Y264" s="73" t="s">
        <v>40</v>
      </c>
      <c r="Z264" s="73"/>
      <c r="AA264" s="73"/>
      <c r="AB264" s="199">
        <v>43332</v>
      </c>
      <c r="AC264" s="1113" t="s">
        <v>2168</v>
      </c>
      <c r="AD264" s="980"/>
      <c r="AE264" s="509"/>
      <c r="AF264" s="2799"/>
    </row>
    <row r="265" spans="1:32" s="296" customFormat="1" ht="39">
      <c r="A265" s="1119"/>
      <c r="B265" s="959" t="s">
        <v>56</v>
      </c>
      <c r="C265" s="593" t="s">
        <v>2169</v>
      </c>
      <c r="D265" s="973" t="s">
        <v>57</v>
      </c>
      <c r="E265" s="973"/>
      <c r="F265" s="973"/>
      <c r="G265" s="973"/>
      <c r="H265" s="578" t="s">
        <v>308</v>
      </c>
      <c r="I265" s="579" t="s">
        <v>47</v>
      </c>
      <c r="J265" s="594" t="s">
        <v>2170</v>
      </c>
      <c r="K265" s="594"/>
      <c r="L265" s="592">
        <v>43298</v>
      </c>
      <c r="M265" s="592"/>
      <c r="N265" s="592"/>
      <c r="O265" s="580">
        <v>43325</v>
      </c>
      <c r="P265" s="581">
        <v>1</v>
      </c>
      <c r="Q265" s="1017">
        <v>1</v>
      </c>
      <c r="R265" s="582">
        <v>15000</v>
      </c>
      <c r="S265" s="1049" t="s">
        <v>1730</v>
      </c>
      <c r="T265" s="584" t="s">
        <v>38</v>
      </c>
      <c r="U265" s="584"/>
      <c r="V265" s="584"/>
      <c r="W265" s="578" t="s">
        <v>2171</v>
      </c>
      <c r="X265" s="120"/>
      <c r="Y265" s="120"/>
      <c r="Z265" s="120"/>
      <c r="AA265" s="120"/>
      <c r="AB265" s="120"/>
      <c r="AC265" s="330"/>
      <c r="AD265" s="336"/>
      <c r="AE265" s="120"/>
      <c r="AF265" s="3"/>
    </row>
    <row r="266" spans="1:32" s="1" customFormat="1" ht="37.5">
      <c r="A266" s="1119"/>
      <c r="B266" s="959" t="s">
        <v>56</v>
      </c>
      <c r="C266" s="510" t="s">
        <v>2172</v>
      </c>
      <c r="D266" s="611" t="s">
        <v>32</v>
      </c>
      <c r="E266" s="611"/>
      <c r="F266" s="611"/>
      <c r="G266" s="611"/>
      <c r="H266" s="511" t="s">
        <v>308</v>
      </c>
      <c r="I266" s="519" t="s">
        <v>47</v>
      </c>
      <c r="J266" s="1578" t="s">
        <v>2173</v>
      </c>
      <c r="K266" s="512"/>
      <c r="L266" s="597" t="s">
        <v>251</v>
      </c>
      <c r="M266" s="597"/>
      <c r="N266" s="597"/>
      <c r="O266" s="597">
        <v>43325</v>
      </c>
      <c r="P266" s="516">
        <v>6</v>
      </c>
      <c r="Q266" s="516">
        <v>6</v>
      </c>
      <c r="R266" s="599">
        <v>1990000</v>
      </c>
      <c r="S266" s="1043" t="s">
        <v>1937</v>
      </c>
      <c r="T266" s="515" t="s">
        <v>38</v>
      </c>
      <c r="U266" s="515"/>
      <c r="V266" s="515"/>
      <c r="W266" s="519" t="s">
        <v>714</v>
      </c>
      <c r="X266" s="120"/>
      <c r="Y266" s="120"/>
      <c r="Z266" s="120"/>
      <c r="AA266" s="120"/>
      <c r="AB266" s="120"/>
      <c r="AC266" s="120"/>
      <c r="AD266" s="336"/>
      <c r="AE266" s="120"/>
      <c r="AF266" s="2773"/>
    </row>
    <row r="267" spans="1:32" s="1" customFormat="1" ht="37.5">
      <c r="A267" s="1119"/>
      <c r="B267" s="959" t="s">
        <v>56</v>
      </c>
      <c r="C267" s="510" t="s">
        <v>2174</v>
      </c>
      <c r="D267" s="611" t="s">
        <v>32</v>
      </c>
      <c r="E267" s="611"/>
      <c r="F267" s="611"/>
      <c r="G267" s="611"/>
      <c r="H267" s="511" t="s">
        <v>308</v>
      </c>
      <c r="I267" s="519" t="s">
        <v>47</v>
      </c>
      <c r="J267" s="1578" t="s">
        <v>2175</v>
      </c>
      <c r="K267" s="512"/>
      <c r="L267" s="597" t="s">
        <v>251</v>
      </c>
      <c r="M267" s="597"/>
      <c r="N267" s="597"/>
      <c r="O267" s="597">
        <v>43325</v>
      </c>
      <c r="P267" s="516">
        <v>6</v>
      </c>
      <c r="Q267" s="1009">
        <v>6</v>
      </c>
      <c r="R267" s="599">
        <v>1154000</v>
      </c>
      <c r="S267" s="1043" t="s">
        <v>1937</v>
      </c>
      <c r="T267" s="515" t="s">
        <v>38</v>
      </c>
      <c r="U267" s="515"/>
      <c r="V267" s="515"/>
      <c r="W267" s="519" t="s">
        <v>714</v>
      </c>
      <c r="X267" s="120"/>
      <c r="Y267" s="1081"/>
      <c r="Z267" s="120"/>
      <c r="AA267" s="120"/>
      <c r="AB267" s="120"/>
      <c r="AC267" s="120"/>
      <c r="AD267" s="336"/>
      <c r="AE267" s="120"/>
      <c r="AF267" s="2773"/>
    </row>
    <row r="268" spans="1:32" s="1" customFormat="1" ht="43.5">
      <c r="A268" s="1185"/>
      <c r="B268" s="271" t="s">
        <v>44</v>
      </c>
      <c r="C268" s="4"/>
      <c r="D268" s="118" t="s">
        <v>32</v>
      </c>
      <c r="E268" s="118"/>
      <c r="F268" s="118"/>
      <c r="G268" s="118"/>
      <c r="H268" s="5" t="s">
        <v>46</v>
      </c>
      <c r="I268" s="12" t="s">
        <v>47</v>
      </c>
      <c r="J268" s="16" t="s">
        <v>2176</v>
      </c>
      <c r="K268" s="16"/>
      <c r="L268" s="16"/>
      <c r="M268" s="182">
        <v>43101</v>
      </c>
      <c r="N268" s="182"/>
      <c r="O268" s="182">
        <v>43332</v>
      </c>
      <c r="P268" s="12">
        <v>56</v>
      </c>
      <c r="Q268" s="27" t="s">
        <v>2177</v>
      </c>
      <c r="R268" s="18">
        <v>125000</v>
      </c>
      <c r="S268" s="31" t="s">
        <v>176</v>
      </c>
      <c r="T268" s="12" t="s">
        <v>38</v>
      </c>
      <c r="U268" s="4"/>
      <c r="V268" s="4"/>
      <c r="W268" s="5" t="s">
        <v>2178</v>
      </c>
      <c r="X268" s="5" t="s">
        <v>2179</v>
      </c>
      <c r="Y268" s="73" t="s">
        <v>40</v>
      </c>
      <c r="Z268" s="5"/>
      <c r="AA268" s="5"/>
      <c r="AB268" s="199">
        <v>43332</v>
      </c>
      <c r="AC268" s="8" t="s">
        <v>2180</v>
      </c>
      <c r="AD268" s="147"/>
      <c r="AE268" s="17"/>
    </row>
    <row r="269" spans="1:32" s="1" customFormat="1" ht="65">
      <c r="A269" s="1119"/>
      <c r="B269" s="959" t="s">
        <v>56</v>
      </c>
      <c r="C269" s="595" t="s">
        <v>2181</v>
      </c>
      <c r="D269" s="973" t="s">
        <v>57</v>
      </c>
      <c r="E269" s="973"/>
      <c r="F269" s="973"/>
      <c r="G269" s="973"/>
      <c r="H269" s="578" t="s">
        <v>308</v>
      </c>
      <c r="I269" s="579" t="s">
        <v>47</v>
      </c>
      <c r="J269" s="594" t="s">
        <v>2182</v>
      </c>
      <c r="K269" s="594"/>
      <c r="L269" s="592">
        <v>43298</v>
      </c>
      <c r="M269" s="592"/>
      <c r="N269" s="592"/>
      <c r="O269" s="580">
        <v>43332</v>
      </c>
      <c r="P269" s="581">
        <v>1</v>
      </c>
      <c r="Q269" s="581">
        <v>1</v>
      </c>
      <c r="R269" s="596">
        <v>15000</v>
      </c>
      <c r="S269" s="583" t="s">
        <v>1657</v>
      </c>
      <c r="T269" s="584" t="s">
        <v>38</v>
      </c>
      <c r="U269" s="584"/>
      <c r="V269" s="584"/>
      <c r="W269" s="578" t="s">
        <v>2183</v>
      </c>
      <c r="X269" s="120"/>
      <c r="Y269" s="120"/>
      <c r="Z269" s="120"/>
      <c r="AA269" s="120"/>
      <c r="AB269" s="120"/>
      <c r="AC269" s="120"/>
      <c r="AD269" s="336"/>
      <c r="AE269" s="120"/>
      <c r="AF269" s="2773"/>
    </row>
    <row r="270" spans="1:32" s="295" customFormat="1" ht="84.65" customHeight="1">
      <c r="A270" s="1184"/>
      <c r="B270" s="271" t="s">
        <v>44</v>
      </c>
      <c r="C270" s="4"/>
      <c r="D270" s="118" t="s">
        <v>32</v>
      </c>
      <c r="E270" s="118"/>
      <c r="F270" s="118"/>
      <c r="G270" s="118"/>
      <c r="H270" s="5" t="s">
        <v>33</v>
      </c>
      <c r="I270" s="5" t="s">
        <v>47</v>
      </c>
      <c r="J270" s="16" t="s">
        <v>2184</v>
      </c>
      <c r="K270" s="16"/>
      <c r="L270" s="16"/>
      <c r="M270" s="199">
        <v>43191</v>
      </c>
      <c r="N270" s="199"/>
      <c r="O270" s="182">
        <v>43336</v>
      </c>
      <c r="P270" s="5">
        <v>24</v>
      </c>
      <c r="Q270" s="5">
        <v>24</v>
      </c>
      <c r="R270" s="18">
        <v>45612</v>
      </c>
      <c r="S270" s="31" t="s">
        <v>84</v>
      </c>
      <c r="T270" s="5" t="s">
        <v>38</v>
      </c>
      <c r="U270" s="4"/>
      <c r="V270" s="4"/>
      <c r="W270" s="5" t="s">
        <v>2185</v>
      </c>
      <c r="X270" s="5" t="s">
        <v>543</v>
      </c>
      <c r="Y270" s="5" t="s">
        <v>40</v>
      </c>
      <c r="Z270" s="5"/>
      <c r="AA270" s="5"/>
      <c r="AB270" s="199">
        <v>43536</v>
      </c>
      <c r="AC270" s="8" t="s">
        <v>2186</v>
      </c>
      <c r="AD270" s="147"/>
      <c r="AE270" s="41">
        <v>22806</v>
      </c>
      <c r="AF270" s="2799"/>
    </row>
    <row r="271" spans="1:32" s="296" customFormat="1" ht="29">
      <c r="A271" s="1184"/>
      <c r="B271" s="271" t="s">
        <v>44</v>
      </c>
      <c r="C271" s="4"/>
      <c r="D271" s="118" t="s">
        <v>32</v>
      </c>
      <c r="E271" s="118"/>
      <c r="F271" s="118"/>
      <c r="G271" s="118"/>
      <c r="H271" s="5" t="s">
        <v>33</v>
      </c>
      <c r="I271" s="5" t="s">
        <v>47</v>
      </c>
      <c r="J271" s="16" t="s">
        <v>74</v>
      </c>
      <c r="K271" s="8"/>
      <c r="L271" s="8"/>
      <c r="M271" s="14">
        <v>43160</v>
      </c>
      <c r="N271" s="14"/>
      <c r="O271" s="14">
        <v>43343</v>
      </c>
      <c r="P271" s="12">
        <v>12</v>
      </c>
      <c r="Q271" s="26" t="s">
        <v>50</v>
      </c>
      <c r="R271" s="18">
        <v>45000</v>
      </c>
      <c r="S271" s="31" t="s">
        <v>1639</v>
      </c>
      <c r="T271" s="161" t="s">
        <v>38</v>
      </c>
      <c r="U271" s="4"/>
      <c r="V271" s="4"/>
      <c r="W271" s="5" t="s">
        <v>76</v>
      </c>
      <c r="X271" s="5" t="s">
        <v>1892</v>
      </c>
      <c r="Y271" s="5" t="s">
        <v>40</v>
      </c>
      <c r="Z271" s="5"/>
      <c r="AA271" s="5"/>
      <c r="AB271" s="199">
        <v>43312</v>
      </c>
      <c r="AC271" s="36" t="s">
        <v>2187</v>
      </c>
      <c r="AD271" s="147"/>
      <c r="AE271" s="85"/>
      <c r="AF271" s="2799"/>
    </row>
    <row r="272" spans="1:32" s="295" customFormat="1" ht="42" customHeight="1">
      <c r="A272" s="1185"/>
      <c r="B272" s="271" t="s">
        <v>44</v>
      </c>
      <c r="C272" s="4"/>
      <c r="D272" s="118" t="s">
        <v>32</v>
      </c>
      <c r="E272" s="118"/>
      <c r="F272" s="118"/>
      <c r="G272" s="118"/>
      <c r="H272" s="5" t="s">
        <v>33</v>
      </c>
      <c r="I272" s="5" t="s">
        <v>47</v>
      </c>
      <c r="J272" s="16" t="s">
        <v>2188</v>
      </c>
      <c r="K272" s="16"/>
      <c r="L272" s="16"/>
      <c r="M272" s="182">
        <v>42705</v>
      </c>
      <c r="N272" s="182"/>
      <c r="O272" s="182">
        <v>43344</v>
      </c>
      <c r="P272" s="12">
        <v>60</v>
      </c>
      <c r="Q272" s="25" t="s">
        <v>2189</v>
      </c>
      <c r="R272" s="18">
        <v>7347666.2000000002</v>
      </c>
      <c r="S272" s="31" t="s">
        <v>2110</v>
      </c>
      <c r="T272" s="12" t="s">
        <v>70</v>
      </c>
      <c r="U272" s="4"/>
      <c r="V272" s="4"/>
      <c r="W272" s="5" t="s">
        <v>2190</v>
      </c>
      <c r="X272" s="5" t="s">
        <v>543</v>
      </c>
      <c r="Y272" s="5" t="s">
        <v>40</v>
      </c>
      <c r="Z272" s="5"/>
      <c r="AA272" s="8"/>
      <c r="AB272" s="199">
        <v>43475</v>
      </c>
      <c r="AC272" s="8" t="s">
        <v>2191</v>
      </c>
      <c r="AD272" s="147"/>
      <c r="AE272" s="40">
        <v>1469533.24</v>
      </c>
      <c r="AF272" s="1"/>
    </row>
    <row r="273" spans="1:32" s="296" customFormat="1" ht="29">
      <c r="A273" s="1119"/>
      <c r="B273" s="271" t="s">
        <v>44</v>
      </c>
      <c r="C273" s="4"/>
      <c r="D273" s="118" t="s">
        <v>122</v>
      </c>
      <c r="E273" s="118"/>
      <c r="F273" s="118"/>
      <c r="G273" s="118"/>
      <c r="H273" s="12" t="s">
        <v>33</v>
      </c>
      <c r="I273" s="12" t="s">
        <v>34</v>
      </c>
      <c r="J273" s="103" t="s">
        <v>527</v>
      </c>
      <c r="K273" s="103"/>
      <c r="L273" s="103"/>
      <c r="M273" s="182">
        <v>42979</v>
      </c>
      <c r="N273" s="182"/>
      <c r="O273" s="182">
        <v>43344</v>
      </c>
      <c r="P273" s="12">
        <v>12</v>
      </c>
      <c r="Q273" s="7" t="s">
        <v>50</v>
      </c>
      <c r="R273" s="18" t="s">
        <v>45</v>
      </c>
      <c r="S273" s="31" t="s">
        <v>1660</v>
      </c>
      <c r="T273" s="12" t="s">
        <v>38</v>
      </c>
      <c r="U273" s="4"/>
      <c r="V273" s="4"/>
      <c r="W273" s="12" t="s">
        <v>142</v>
      </c>
      <c r="X273" s="12" t="s">
        <v>1962</v>
      </c>
      <c r="Y273" s="5" t="s">
        <v>40</v>
      </c>
      <c r="Z273" s="5"/>
      <c r="AA273" s="26"/>
      <c r="AB273" s="7"/>
      <c r="AC273" s="8" t="s">
        <v>2192</v>
      </c>
      <c r="AD273" s="147"/>
      <c r="AE273" s="17"/>
      <c r="AF273" s="2773"/>
    </row>
    <row r="274" spans="1:32" s="295" customFormat="1" ht="79.5" customHeight="1">
      <c r="A274" s="498"/>
      <c r="B274" s="271" t="s">
        <v>44</v>
      </c>
      <c r="C274" s="4"/>
      <c r="D274" s="118" t="s">
        <v>32</v>
      </c>
      <c r="E274" s="118"/>
      <c r="F274" s="118"/>
      <c r="G274" s="118"/>
      <c r="H274" s="5" t="s">
        <v>33</v>
      </c>
      <c r="I274" s="5" t="s">
        <v>47</v>
      </c>
      <c r="J274" s="16" t="s">
        <v>2193</v>
      </c>
      <c r="K274" s="8"/>
      <c r="L274" s="8"/>
      <c r="M274" s="182">
        <v>42979</v>
      </c>
      <c r="N274" s="182"/>
      <c r="O274" s="182">
        <v>43344</v>
      </c>
      <c r="P274" s="12">
        <v>108</v>
      </c>
      <c r="Q274" s="28" t="s">
        <v>2194</v>
      </c>
      <c r="R274" s="18">
        <v>900000</v>
      </c>
      <c r="S274" s="31" t="s">
        <v>91</v>
      </c>
      <c r="T274" s="12" t="s">
        <v>38</v>
      </c>
      <c r="U274" s="4"/>
      <c r="V274" s="4"/>
      <c r="W274" s="5" t="s">
        <v>1900</v>
      </c>
      <c r="X274" s="5" t="s">
        <v>1892</v>
      </c>
      <c r="Y274" s="5" t="s">
        <v>40</v>
      </c>
      <c r="Z274" s="5"/>
      <c r="AA274" s="5"/>
      <c r="AB274" s="7"/>
      <c r="AC274" s="8" t="s">
        <v>2195</v>
      </c>
      <c r="AD274" s="147"/>
      <c r="AE274" s="17">
        <v>128000</v>
      </c>
      <c r="AF274" s="2773"/>
    </row>
    <row r="275" spans="1:32" s="296" customFormat="1" ht="29">
      <c r="A275" s="1183"/>
      <c r="B275" s="271" t="s">
        <v>44</v>
      </c>
      <c r="C275" s="4"/>
      <c r="D275" s="118" t="s">
        <v>32</v>
      </c>
      <c r="E275" s="118"/>
      <c r="F275" s="118"/>
      <c r="G275" s="118"/>
      <c r="H275" s="5" t="s">
        <v>33</v>
      </c>
      <c r="I275" s="5" t="s">
        <v>47</v>
      </c>
      <c r="J275" s="16" t="s">
        <v>2196</v>
      </c>
      <c r="K275" s="16"/>
      <c r="L275" s="16"/>
      <c r="M275" s="182">
        <v>43066</v>
      </c>
      <c r="N275" s="182"/>
      <c r="O275" s="182">
        <v>43344</v>
      </c>
      <c r="P275" s="12">
        <v>36</v>
      </c>
      <c r="Q275" s="25" t="s">
        <v>98</v>
      </c>
      <c r="R275" s="18">
        <v>18750</v>
      </c>
      <c r="S275" s="31" t="s">
        <v>176</v>
      </c>
      <c r="T275" s="12" t="s">
        <v>38</v>
      </c>
      <c r="U275" s="4"/>
      <c r="V275" s="4"/>
      <c r="W275" s="5" t="s">
        <v>383</v>
      </c>
      <c r="X275" s="5" t="s">
        <v>1892</v>
      </c>
      <c r="Y275" s="5" t="s">
        <v>40</v>
      </c>
      <c r="Z275" s="5"/>
      <c r="AA275" s="5"/>
      <c r="AB275" s="199">
        <v>43353</v>
      </c>
      <c r="AC275" s="8" t="s">
        <v>2197</v>
      </c>
      <c r="AD275" s="147"/>
      <c r="AE275" s="17"/>
      <c r="AF275" s="2773"/>
    </row>
    <row r="276" spans="1:32" s="296" customFormat="1">
      <c r="A276" s="1119"/>
      <c r="B276" s="271" t="s">
        <v>44</v>
      </c>
      <c r="C276" s="4"/>
      <c r="D276" s="2792" t="s">
        <v>122</v>
      </c>
      <c r="E276" s="2792"/>
      <c r="F276" s="2792"/>
      <c r="G276" s="2792"/>
      <c r="H276" s="2763" t="s">
        <v>1670</v>
      </c>
      <c r="I276" s="2757" t="s">
        <v>2198</v>
      </c>
      <c r="J276" s="16" t="s">
        <v>2199</v>
      </c>
      <c r="K276" s="16"/>
      <c r="L276" s="16"/>
      <c r="M276" s="182">
        <v>43101</v>
      </c>
      <c r="N276" s="182"/>
      <c r="O276" s="182">
        <v>43344</v>
      </c>
      <c r="P276" s="12">
        <v>24</v>
      </c>
      <c r="Q276" s="25">
        <v>24</v>
      </c>
      <c r="R276" s="18">
        <v>58600</v>
      </c>
      <c r="S276" s="31" t="s">
        <v>2198</v>
      </c>
      <c r="T276" s="2757" t="s">
        <v>38</v>
      </c>
      <c r="U276" s="4"/>
      <c r="V276" s="4"/>
      <c r="W276" s="2757" t="s">
        <v>2200</v>
      </c>
      <c r="X276" s="2757" t="s">
        <v>54</v>
      </c>
      <c r="Y276" s="5" t="s">
        <v>40</v>
      </c>
      <c r="Z276" s="5"/>
      <c r="AA276" s="2795"/>
      <c r="AB276" s="2757"/>
      <c r="AC276" s="2757" t="s">
        <v>2201</v>
      </c>
      <c r="AD276" s="2792"/>
      <c r="AE276" s="2757"/>
      <c r="AF276" s="2773"/>
    </row>
    <row r="277" spans="1:32" s="296" customFormat="1" ht="43.5">
      <c r="A277" s="1119"/>
      <c r="B277" s="271" t="s">
        <v>44</v>
      </c>
      <c r="C277" s="4"/>
      <c r="D277" s="118" t="s">
        <v>32</v>
      </c>
      <c r="E277" s="118"/>
      <c r="F277" s="118"/>
      <c r="G277" s="118"/>
      <c r="H277" s="5" t="s">
        <v>33</v>
      </c>
      <c r="I277" s="5" t="s">
        <v>47</v>
      </c>
      <c r="J277" s="16" t="s">
        <v>2202</v>
      </c>
      <c r="K277" s="8"/>
      <c r="L277" s="8"/>
      <c r="M277" s="14">
        <v>43101</v>
      </c>
      <c r="N277" s="14"/>
      <c r="O277" s="14">
        <v>43344</v>
      </c>
      <c r="P277" s="12">
        <v>12</v>
      </c>
      <c r="Q277" s="5" t="s">
        <v>50</v>
      </c>
      <c r="R277" s="18">
        <v>15195</v>
      </c>
      <c r="S277" s="31" t="s">
        <v>1639</v>
      </c>
      <c r="T277" s="14" t="s">
        <v>38</v>
      </c>
      <c r="U277" s="4"/>
      <c r="V277" s="4"/>
      <c r="W277" s="5" t="s">
        <v>1640</v>
      </c>
      <c r="X277" s="5" t="s">
        <v>1892</v>
      </c>
      <c r="Y277" s="5" t="s">
        <v>40</v>
      </c>
      <c r="Z277" s="5"/>
      <c r="AA277" s="5"/>
      <c r="AB277" s="199">
        <v>43312</v>
      </c>
      <c r="AC277" s="8" t="s">
        <v>2203</v>
      </c>
      <c r="AD277" s="147"/>
      <c r="AE277" s="85"/>
      <c r="AF277" s="2773"/>
    </row>
    <row r="278" spans="1:32" s="296" customFormat="1" ht="29">
      <c r="A278" s="1119"/>
      <c r="B278" s="271" t="s">
        <v>44</v>
      </c>
      <c r="C278" s="4"/>
      <c r="D278" s="118" t="s">
        <v>32</v>
      </c>
      <c r="E278" s="118"/>
      <c r="F278" s="118"/>
      <c r="G278" s="118"/>
      <c r="H278" s="5" t="s">
        <v>33</v>
      </c>
      <c r="I278" s="5" t="s">
        <v>47</v>
      </c>
      <c r="J278" s="16" t="s">
        <v>2204</v>
      </c>
      <c r="K278" s="16"/>
      <c r="L278" s="16"/>
      <c r="M278" s="182">
        <v>43101</v>
      </c>
      <c r="N278" s="182"/>
      <c r="O278" s="182">
        <v>43344</v>
      </c>
      <c r="P278" s="12">
        <v>24</v>
      </c>
      <c r="Q278" s="25" t="s">
        <v>391</v>
      </c>
      <c r="R278" s="18">
        <v>120000</v>
      </c>
      <c r="S278" s="31" t="s">
        <v>176</v>
      </c>
      <c r="T278" s="12" t="s">
        <v>38</v>
      </c>
      <c r="U278" s="4"/>
      <c r="V278" s="4"/>
      <c r="W278" s="5" t="s">
        <v>1667</v>
      </c>
      <c r="X278" s="5" t="s">
        <v>1962</v>
      </c>
      <c r="Y278" s="5" t="s">
        <v>40</v>
      </c>
      <c r="Z278" s="5"/>
      <c r="AA278" s="5"/>
      <c r="AB278" s="199">
        <v>43427</v>
      </c>
      <c r="AC278" s="8" t="s">
        <v>2205</v>
      </c>
      <c r="AD278" s="147"/>
      <c r="AE278" s="41"/>
      <c r="AF278" s="2773"/>
    </row>
    <row r="279" spans="1:32" s="295" customFormat="1" ht="101.5">
      <c r="A279" s="1119"/>
      <c r="B279" s="271" t="s">
        <v>44</v>
      </c>
      <c r="C279" s="4"/>
      <c r="D279" s="118" t="s">
        <v>32</v>
      </c>
      <c r="E279" s="118"/>
      <c r="F279" s="118"/>
      <c r="G279" s="118"/>
      <c r="H279" s="5" t="s">
        <v>33</v>
      </c>
      <c r="I279" s="5" t="s">
        <v>47</v>
      </c>
      <c r="J279" s="16" t="s">
        <v>2206</v>
      </c>
      <c r="K279" s="16"/>
      <c r="L279" s="16"/>
      <c r="M279" s="182">
        <v>43101</v>
      </c>
      <c r="N279" s="182"/>
      <c r="O279" s="182">
        <v>43344</v>
      </c>
      <c r="P279" s="12">
        <v>48</v>
      </c>
      <c r="Q279" s="7" t="s">
        <v>215</v>
      </c>
      <c r="R279" s="18">
        <v>603912</v>
      </c>
      <c r="S279" s="31" t="s">
        <v>84</v>
      </c>
      <c r="T279" s="12" t="s">
        <v>70</v>
      </c>
      <c r="U279" s="4"/>
      <c r="V279" s="4"/>
      <c r="W279" s="5" t="s">
        <v>2207</v>
      </c>
      <c r="X279" s="5" t="s">
        <v>543</v>
      </c>
      <c r="Y279" s="5" t="s">
        <v>40</v>
      </c>
      <c r="Z279" s="5"/>
      <c r="AA279" s="5"/>
      <c r="AB279" s="199">
        <v>43635</v>
      </c>
      <c r="AC279" s="8" t="s">
        <v>2208</v>
      </c>
      <c r="AD279" s="2792"/>
      <c r="AE279" s="40">
        <v>150348</v>
      </c>
      <c r="AF279" s="2773"/>
    </row>
    <row r="280" spans="1:32" s="295" customFormat="1" ht="43.5">
      <c r="A280" s="1184"/>
      <c r="B280" s="271" t="s">
        <v>44</v>
      </c>
      <c r="C280" s="4"/>
      <c r="D280" s="118" t="s">
        <v>32</v>
      </c>
      <c r="E280" s="118"/>
      <c r="F280" s="118"/>
      <c r="G280" s="118"/>
      <c r="H280" s="5" t="s">
        <v>33</v>
      </c>
      <c r="I280" s="5" t="s">
        <v>47</v>
      </c>
      <c r="J280" s="16" t="s">
        <v>2209</v>
      </c>
      <c r="K280" s="16"/>
      <c r="L280" s="16"/>
      <c r="M280" s="182">
        <v>43191</v>
      </c>
      <c r="N280" s="182"/>
      <c r="O280" s="182">
        <v>43344</v>
      </c>
      <c r="P280" s="12">
        <v>36</v>
      </c>
      <c r="Q280" s="7" t="s">
        <v>1538</v>
      </c>
      <c r="R280" s="18">
        <v>993867</v>
      </c>
      <c r="S280" s="31" t="s">
        <v>2210</v>
      </c>
      <c r="T280" s="12" t="s">
        <v>70</v>
      </c>
      <c r="U280" s="4"/>
      <c r="V280" s="4"/>
      <c r="W280" s="5" t="s">
        <v>2211</v>
      </c>
      <c r="X280" s="5" t="s">
        <v>1674</v>
      </c>
      <c r="Y280" s="5" t="s">
        <v>40</v>
      </c>
      <c r="Z280" s="5"/>
      <c r="AA280" s="5"/>
      <c r="AB280" s="199" t="s">
        <v>2212</v>
      </c>
      <c r="AC280" s="36" t="s">
        <v>2213</v>
      </c>
      <c r="AD280" s="147"/>
      <c r="AE280" s="17">
        <v>331289</v>
      </c>
      <c r="AF280" s="2799"/>
    </row>
    <row r="281" spans="1:32" s="295" customFormat="1" ht="48.75" customHeight="1">
      <c r="A281" s="1184"/>
      <c r="B281" s="271" t="s">
        <v>44</v>
      </c>
      <c r="C281" s="4"/>
      <c r="D281" s="118" t="s">
        <v>32</v>
      </c>
      <c r="E281" s="118"/>
      <c r="F281" s="118"/>
      <c r="G281" s="118"/>
      <c r="H281" s="5" t="s">
        <v>2214</v>
      </c>
      <c r="I281" s="5" t="s">
        <v>47</v>
      </c>
      <c r="J281" s="114" t="s">
        <v>2215</v>
      </c>
      <c r="K281" s="114"/>
      <c r="L281" s="114"/>
      <c r="M281" s="14">
        <v>43290</v>
      </c>
      <c r="N281" s="14"/>
      <c r="O281" s="182">
        <v>43344</v>
      </c>
      <c r="P281" s="12">
        <v>36</v>
      </c>
      <c r="Q281" s="27">
        <v>36</v>
      </c>
      <c r="R281" s="18">
        <v>16357</v>
      </c>
      <c r="S281" s="31" t="s">
        <v>1615</v>
      </c>
      <c r="T281" s="12" t="s">
        <v>38</v>
      </c>
      <c r="U281" s="4"/>
      <c r="V281" s="4"/>
      <c r="W281" s="5" t="s">
        <v>2216</v>
      </c>
      <c r="X281" s="5" t="s">
        <v>54</v>
      </c>
      <c r="Y281" s="5" t="s">
        <v>40</v>
      </c>
      <c r="Z281" s="5"/>
      <c r="AA281" s="5"/>
      <c r="AB281" s="199">
        <v>43655</v>
      </c>
      <c r="AC281" s="8" t="s">
        <v>2217</v>
      </c>
      <c r="AD281" s="147"/>
      <c r="AE281" s="17">
        <v>5452.33</v>
      </c>
      <c r="AF281" s="2799"/>
    </row>
    <row r="282" spans="1:32" s="295" customFormat="1" ht="79.5" customHeight="1">
      <c r="A282" s="1184"/>
      <c r="B282" s="271" t="s">
        <v>44</v>
      </c>
      <c r="C282" s="4"/>
      <c r="D282" s="118" t="s">
        <v>32</v>
      </c>
      <c r="E282" s="118"/>
      <c r="F282" s="118"/>
      <c r="G282" s="118"/>
      <c r="H282" s="5" t="s">
        <v>2214</v>
      </c>
      <c r="I282" s="5" t="s">
        <v>47</v>
      </c>
      <c r="J282" s="114" t="s">
        <v>2215</v>
      </c>
      <c r="K282" s="114"/>
      <c r="L282" s="114"/>
      <c r="M282" s="14">
        <v>43290</v>
      </c>
      <c r="N282" s="14"/>
      <c r="O282" s="182">
        <v>43344</v>
      </c>
      <c r="P282" s="12">
        <v>36</v>
      </c>
      <c r="Q282" s="27">
        <v>36</v>
      </c>
      <c r="R282" s="18">
        <v>16357</v>
      </c>
      <c r="S282" s="31" t="s">
        <v>1615</v>
      </c>
      <c r="T282" s="12" t="s">
        <v>38</v>
      </c>
      <c r="U282" s="4"/>
      <c r="V282" s="4"/>
      <c r="W282" s="5" t="s">
        <v>2216</v>
      </c>
      <c r="X282" s="5" t="s">
        <v>54</v>
      </c>
      <c r="Y282" s="5" t="s">
        <v>40</v>
      </c>
      <c r="Z282" s="5"/>
      <c r="AA282" s="5"/>
      <c r="AB282" s="199">
        <v>43655</v>
      </c>
      <c r="AC282" s="8" t="s">
        <v>2217</v>
      </c>
      <c r="AD282" s="147"/>
      <c r="AE282" s="17">
        <v>5452.33</v>
      </c>
      <c r="AF282" s="2799"/>
    </row>
    <row r="283" spans="1:32" s="295" customFormat="1" ht="29">
      <c r="A283" s="1184"/>
      <c r="B283" s="271" t="s">
        <v>44</v>
      </c>
      <c r="C283" s="271"/>
      <c r="D283" s="2802" t="s">
        <v>32</v>
      </c>
      <c r="E283" s="2802"/>
      <c r="F283" s="2802"/>
      <c r="G283" s="2802"/>
      <c r="H283" s="2803" t="s">
        <v>1670</v>
      </c>
      <c r="I283" s="2804" t="s">
        <v>47</v>
      </c>
      <c r="J283" s="2805" t="s">
        <v>2218</v>
      </c>
      <c r="K283" s="2805"/>
      <c r="L283" s="2805"/>
      <c r="M283" s="2806">
        <v>43336</v>
      </c>
      <c r="N283" s="2806"/>
      <c r="O283" s="2806">
        <v>43344</v>
      </c>
      <c r="P283" s="2807">
        <v>6</v>
      </c>
      <c r="Q283" s="2808">
        <v>6</v>
      </c>
      <c r="R283" s="286">
        <v>76300</v>
      </c>
      <c r="S283" s="2809" t="s">
        <v>2219</v>
      </c>
      <c r="T283" s="2807" t="s">
        <v>38</v>
      </c>
      <c r="U283" s="271"/>
      <c r="V283" s="271"/>
      <c r="W283" s="2807" t="s">
        <v>2220</v>
      </c>
      <c r="X283" s="2810" t="s">
        <v>86</v>
      </c>
      <c r="Y283" s="283" t="s">
        <v>40</v>
      </c>
      <c r="Z283" s="283"/>
      <c r="AA283" s="2802"/>
      <c r="AB283" s="2801">
        <v>43340</v>
      </c>
      <c r="AC283" s="2811" t="s">
        <v>2221</v>
      </c>
      <c r="AD283" s="2802"/>
      <c r="AE283" s="2812"/>
      <c r="AF283" s="2799"/>
    </row>
    <row r="284" spans="1:32" s="295" customFormat="1" ht="29">
      <c r="A284" s="1184"/>
      <c r="B284" s="271" t="s">
        <v>44</v>
      </c>
      <c r="C284" s="4"/>
      <c r="D284" s="2813" t="s">
        <v>32</v>
      </c>
      <c r="E284" s="2813"/>
      <c r="F284" s="2813"/>
      <c r="G284" s="2813"/>
      <c r="H284" s="2814" t="s">
        <v>1670</v>
      </c>
      <c r="I284" s="2815" t="s">
        <v>47</v>
      </c>
      <c r="J284" s="2816" t="s">
        <v>2222</v>
      </c>
      <c r="K284" s="2816"/>
      <c r="L284" s="2816"/>
      <c r="M284" s="2817">
        <v>43336</v>
      </c>
      <c r="N284" s="2817"/>
      <c r="O284" s="2817">
        <v>43344</v>
      </c>
      <c r="P284" s="2818">
        <v>36</v>
      </c>
      <c r="Q284" s="2819">
        <v>36</v>
      </c>
      <c r="R284" s="18">
        <v>16800</v>
      </c>
      <c r="S284" s="2820" t="s">
        <v>2219</v>
      </c>
      <c r="T284" s="2818" t="s">
        <v>38</v>
      </c>
      <c r="U284" s="4"/>
      <c r="V284" s="4"/>
      <c r="W284" s="2818" t="s">
        <v>2220</v>
      </c>
      <c r="X284" s="2789" t="s">
        <v>86</v>
      </c>
      <c r="Y284" s="5" t="s">
        <v>40</v>
      </c>
      <c r="Z284" s="5"/>
      <c r="AA284" s="2821"/>
      <c r="AB284" s="2801">
        <v>43340</v>
      </c>
      <c r="AC284" s="2822" t="s">
        <v>2221</v>
      </c>
      <c r="AD284" s="2813"/>
      <c r="AE284" s="2823"/>
      <c r="AF284" s="1"/>
    </row>
    <row r="285" spans="1:32" s="1" customFormat="1" ht="29">
      <c r="A285" s="1184"/>
      <c r="B285" s="271" t="s">
        <v>44</v>
      </c>
      <c r="C285" s="4"/>
      <c r="D285" s="118" t="s">
        <v>57</v>
      </c>
      <c r="E285" s="118"/>
      <c r="F285" s="118"/>
      <c r="G285" s="118"/>
      <c r="H285" s="5" t="s">
        <v>46</v>
      </c>
      <c r="I285" s="5" t="s">
        <v>47</v>
      </c>
      <c r="J285" s="16" t="s">
        <v>2223</v>
      </c>
      <c r="K285" s="16"/>
      <c r="L285" s="16"/>
      <c r="M285" s="182">
        <v>43336</v>
      </c>
      <c r="N285" s="182"/>
      <c r="O285" s="182">
        <v>43344</v>
      </c>
      <c r="P285" s="12">
        <v>6</v>
      </c>
      <c r="Q285" s="28" t="s">
        <v>344</v>
      </c>
      <c r="R285" s="18">
        <v>16000</v>
      </c>
      <c r="S285" s="31" t="s">
        <v>1660</v>
      </c>
      <c r="T285" s="12" t="s">
        <v>38</v>
      </c>
      <c r="U285" s="4"/>
      <c r="V285" s="4"/>
      <c r="W285" s="5" t="s">
        <v>2166</v>
      </c>
      <c r="X285" s="5" t="s">
        <v>2179</v>
      </c>
      <c r="Y285" s="5" t="s">
        <v>40</v>
      </c>
      <c r="Z285" s="5"/>
      <c r="AA285" s="5"/>
      <c r="AB285" s="199">
        <v>43375</v>
      </c>
      <c r="AC285" s="36" t="s">
        <v>2224</v>
      </c>
      <c r="AD285" s="147"/>
      <c r="AE285" s="17"/>
    </row>
    <row r="286" spans="1:32" s="296" customFormat="1" ht="91">
      <c r="A286" s="1119"/>
      <c r="B286" s="959" t="s">
        <v>56</v>
      </c>
      <c r="C286" s="577" t="s">
        <v>2225</v>
      </c>
      <c r="D286" s="973" t="s">
        <v>57</v>
      </c>
      <c r="E286" s="973"/>
      <c r="F286" s="973"/>
      <c r="G286" s="973"/>
      <c r="H286" s="578" t="s">
        <v>58</v>
      </c>
      <c r="I286" s="579" t="s">
        <v>47</v>
      </c>
      <c r="J286" s="1577" t="s">
        <v>2226</v>
      </c>
      <c r="K286" s="579"/>
      <c r="L286" s="580">
        <v>43185</v>
      </c>
      <c r="M286" s="580"/>
      <c r="N286" s="580"/>
      <c r="O286" s="580">
        <v>43344</v>
      </c>
      <c r="P286" s="581">
        <v>1</v>
      </c>
      <c r="Q286" s="581">
        <v>1</v>
      </c>
      <c r="R286" s="582">
        <v>139516</v>
      </c>
      <c r="S286" s="1042" t="s">
        <v>1650</v>
      </c>
      <c r="T286" s="584" t="s">
        <v>38</v>
      </c>
      <c r="U286" s="584"/>
      <c r="V286" s="584"/>
      <c r="W286" s="585" t="s">
        <v>840</v>
      </c>
      <c r="X286" s="120"/>
      <c r="Y286" s="120"/>
      <c r="Z286" s="120"/>
      <c r="AA286" s="120"/>
      <c r="AB286" s="120"/>
      <c r="AC286" s="120"/>
      <c r="AD286" s="336"/>
      <c r="AE286" s="120"/>
      <c r="AF286" s="1"/>
    </row>
    <row r="287" spans="1:32" s="296" customFormat="1" ht="37.5">
      <c r="A287" s="1119"/>
      <c r="B287" s="959" t="s">
        <v>56</v>
      </c>
      <c r="C287" s="601"/>
      <c r="D287" s="611" t="s">
        <v>57</v>
      </c>
      <c r="E287" s="611"/>
      <c r="F287" s="611"/>
      <c r="G287" s="611"/>
      <c r="H287" s="511" t="s">
        <v>308</v>
      </c>
      <c r="I287" s="519" t="s">
        <v>47</v>
      </c>
      <c r="J287" s="606" t="s">
        <v>2227</v>
      </c>
      <c r="K287" s="529"/>
      <c r="L287" s="602">
        <v>43282</v>
      </c>
      <c r="M287" s="602"/>
      <c r="N287" s="602"/>
      <c r="O287" s="597">
        <v>43344</v>
      </c>
      <c r="P287" s="519" t="s">
        <v>60</v>
      </c>
      <c r="Q287" s="516" t="s">
        <v>45</v>
      </c>
      <c r="R287" s="607">
        <v>400000</v>
      </c>
      <c r="S287" s="1043" t="s">
        <v>1937</v>
      </c>
      <c r="T287" s="515" t="s">
        <v>38</v>
      </c>
      <c r="U287" s="515"/>
      <c r="V287" s="515"/>
      <c r="W287" s="511" t="s">
        <v>2228</v>
      </c>
      <c r="X287" s="120"/>
      <c r="Y287" s="120"/>
      <c r="Z287" s="120"/>
      <c r="AA287" s="120"/>
      <c r="AB287" s="120"/>
      <c r="AC287" s="120"/>
      <c r="AD287" s="336"/>
      <c r="AE287" s="120"/>
      <c r="AF287" s="1"/>
    </row>
    <row r="288" spans="1:32" s="296" customFormat="1" ht="68.25" customHeight="1">
      <c r="A288" s="1119"/>
      <c r="B288" s="959" t="s">
        <v>56</v>
      </c>
      <c r="C288" s="521" t="s">
        <v>2229</v>
      </c>
      <c r="D288" s="611" t="s">
        <v>32</v>
      </c>
      <c r="E288" s="611"/>
      <c r="F288" s="611"/>
      <c r="G288" s="611"/>
      <c r="H288" s="511" t="s">
        <v>308</v>
      </c>
      <c r="I288" s="519" t="s">
        <v>47</v>
      </c>
      <c r="J288" s="606" t="s">
        <v>2230</v>
      </c>
      <c r="K288" s="529"/>
      <c r="L288" s="602">
        <v>43304</v>
      </c>
      <c r="M288" s="602"/>
      <c r="N288" s="602"/>
      <c r="O288" s="602">
        <v>43344</v>
      </c>
      <c r="P288" s="516" t="s">
        <v>45</v>
      </c>
      <c r="Q288" s="1009" t="s">
        <v>45</v>
      </c>
      <c r="R288" s="599">
        <v>20000</v>
      </c>
      <c r="S288" s="523" t="s">
        <v>84</v>
      </c>
      <c r="T288" s="515" t="s">
        <v>38</v>
      </c>
      <c r="U288" s="515"/>
      <c r="V288" s="515"/>
      <c r="W288" s="511" t="s">
        <v>2231</v>
      </c>
      <c r="X288" s="120"/>
      <c r="Y288" s="120"/>
      <c r="Z288" s="120"/>
      <c r="AA288" s="186"/>
      <c r="AB288" s="120"/>
      <c r="AC288" s="120"/>
      <c r="AD288" s="336"/>
      <c r="AE288" s="120"/>
      <c r="AF288" s="2773"/>
    </row>
    <row r="289" spans="1:32" s="1" customFormat="1" ht="25">
      <c r="A289" s="1119"/>
      <c r="B289" s="959" t="s">
        <v>56</v>
      </c>
      <c r="C289" s="601"/>
      <c r="D289" s="611" t="s">
        <v>32</v>
      </c>
      <c r="E289" s="611"/>
      <c r="F289" s="611"/>
      <c r="G289" s="611"/>
      <c r="H289" s="511" t="s">
        <v>308</v>
      </c>
      <c r="I289" s="519" t="s">
        <v>47</v>
      </c>
      <c r="J289" s="606" t="s">
        <v>2232</v>
      </c>
      <c r="K289" s="529"/>
      <c r="L289" s="612">
        <v>43344</v>
      </c>
      <c r="M289" s="612"/>
      <c r="N289" s="612"/>
      <c r="O289" s="612">
        <v>43344</v>
      </c>
      <c r="P289" s="516" t="s">
        <v>60</v>
      </c>
      <c r="Q289" s="516" t="s">
        <v>60</v>
      </c>
      <c r="R289" s="604" t="s">
        <v>60</v>
      </c>
      <c r="S289" s="1043" t="s">
        <v>84</v>
      </c>
      <c r="T289" s="515" t="s">
        <v>38</v>
      </c>
      <c r="U289" s="515"/>
      <c r="V289" s="515"/>
      <c r="W289" s="511" t="s">
        <v>714</v>
      </c>
      <c r="X289" s="120"/>
      <c r="Y289" s="120"/>
      <c r="Z289" s="120"/>
      <c r="AA289" s="120"/>
      <c r="AB289" s="120"/>
      <c r="AC289" s="120"/>
      <c r="AD289" s="336"/>
      <c r="AE289" s="120"/>
      <c r="AF289" s="2799"/>
    </row>
    <row r="290" spans="1:32" s="1" customFormat="1" ht="43.5">
      <c r="A290" s="1184"/>
      <c r="B290" s="271" t="s">
        <v>44</v>
      </c>
      <c r="C290" s="4"/>
      <c r="D290" s="118" t="s">
        <v>57</v>
      </c>
      <c r="E290" s="118"/>
      <c r="F290" s="118"/>
      <c r="G290" s="118"/>
      <c r="H290" s="5" t="s">
        <v>46</v>
      </c>
      <c r="I290" s="5" t="s">
        <v>47</v>
      </c>
      <c r="J290" s="16" t="s">
        <v>2233</v>
      </c>
      <c r="K290" s="16"/>
      <c r="L290" s="16"/>
      <c r="M290" s="182">
        <v>43290</v>
      </c>
      <c r="N290" s="182"/>
      <c r="O290" s="77">
        <v>43346</v>
      </c>
      <c r="P290" s="12">
        <v>8</v>
      </c>
      <c r="Q290" s="7" t="s">
        <v>2234</v>
      </c>
      <c r="R290" s="115">
        <v>50000</v>
      </c>
      <c r="S290" s="31" t="s">
        <v>2235</v>
      </c>
      <c r="T290" s="11" t="s">
        <v>38</v>
      </c>
      <c r="U290" s="4"/>
      <c r="V290" s="4"/>
      <c r="W290" s="5" t="s">
        <v>2236</v>
      </c>
      <c r="X290" s="5" t="s">
        <v>715</v>
      </c>
      <c r="Y290" s="5" t="s">
        <v>40</v>
      </c>
      <c r="Z290" s="5"/>
      <c r="AA290" s="5"/>
      <c r="AB290" s="199">
        <v>43342</v>
      </c>
      <c r="AC290" s="8" t="s">
        <v>2237</v>
      </c>
      <c r="AD290" s="147"/>
      <c r="AE290" s="17">
        <v>33252</v>
      </c>
      <c r="AF290" s="2773"/>
    </row>
    <row r="291" spans="1:32" s="297" customFormat="1" ht="43.5">
      <c r="A291" s="1184"/>
      <c r="B291" s="271" t="s">
        <v>44</v>
      </c>
      <c r="C291" s="4"/>
      <c r="D291" s="118" t="s">
        <v>57</v>
      </c>
      <c r="E291" s="118"/>
      <c r="F291" s="118"/>
      <c r="G291" s="118"/>
      <c r="H291" s="5" t="s">
        <v>46</v>
      </c>
      <c r="I291" s="5" t="s">
        <v>47</v>
      </c>
      <c r="J291" s="16" t="s">
        <v>2233</v>
      </c>
      <c r="K291" s="16"/>
      <c r="L291" s="16"/>
      <c r="M291" s="182">
        <v>43290</v>
      </c>
      <c r="N291" s="182"/>
      <c r="O291" s="77">
        <v>43346</v>
      </c>
      <c r="P291" s="12">
        <v>8</v>
      </c>
      <c r="Q291" s="25" t="s">
        <v>2234</v>
      </c>
      <c r="R291" s="115">
        <v>50000</v>
      </c>
      <c r="S291" s="31" t="s">
        <v>2235</v>
      </c>
      <c r="T291" s="11" t="s">
        <v>38</v>
      </c>
      <c r="U291" s="4"/>
      <c r="V291" s="4"/>
      <c r="W291" s="5" t="s">
        <v>2236</v>
      </c>
      <c r="X291" s="5" t="s">
        <v>715</v>
      </c>
      <c r="Y291" s="5" t="s">
        <v>40</v>
      </c>
      <c r="Z291" s="5"/>
      <c r="AA291" s="5"/>
      <c r="AB291" s="199">
        <v>43342</v>
      </c>
      <c r="AC291" s="8" t="s">
        <v>2237</v>
      </c>
      <c r="AD291" s="147"/>
      <c r="AE291" s="17">
        <v>33252</v>
      </c>
      <c r="AF291" s="2799"/>
    </row>
    <row r="292" spans="1:32" s="297" customFormat="1" ht="14.5">
      <c r="A292" s="1184"/>
      <c r="B292" s="271" t="s">
        <v>44</v>
      </c>
      <c r="C292" s="4"/>
      <c r="D292" s="2792" t="s">
        <v>32</v>
      </c>
      <c r="E292" s="2792"/>
      <c r="F292" s="2792"/>
      <c r="G292" s="2792"/>
      <c r="H292" s="2825" t="s">
        <v>1670</v>
      </c>
      <c r="I292" s="2793" t="s">
        <v>47</v>
      </c>
      <c r="J292" s="2757" t="s">
        <v>2238</v>
      </c>
      <c r="K292" s="2757"/>
      <c r="L292" s="2757"/>
      <c r="M292" s="2757"/>
      <c r="N292" s="2757"/>
      <c r="O292" s="2764">
        <v>43346</v>
      </c>
      <c r="P292" s="2763">
        <v>36</v>
      </c>
      <c r="Q292" s="2763" t="s">
        <v>160</v>
      </c>
      <c r="R292" s="2826">
        <v>36600</v>
      </c>
      <c r="S292" s="2763" t="s">
        <v>2239</v>
      </c>
      <c r="T292" s="12" t="s">
        <v>38</v>
      </c>
      <c r="U292" s="4"/>
      <c r="V292" s="4"/>
      <c r="W292" s="2763" t="s">
        <v>1737</v>
      </c>
      <c r="X292" s="2793" t="s">
        <v>86</v>
      </c>
      <c r="Y292" s="5" t="s">
        <v>40</v>
      </c>
      <c r="Z292" s="5"/>
      <c r="AA292" s="2795"/>
      <c r="AB292" s="2757"/>
      <c r="AC292" s="2757"/>
      <c r="AD292" s="2792"/>
      <c r="AE292" s="2757"/>
      <c r="AF292" s="2773"/>
    </row>
    <row r="293" spans="1:32" s="296" customFormat="1" ht="14.5">
      <c r="A293" s="1184"/>
      <c r="B293" s="467" t="s">
        <v>44</v>
      </c>
      <c r="C293" s="204"/>
      <c r="D293" s="2827" t="s">
        <v>32</v>
      </c>
      <c r="E293" s="2827"/>
      <c r="F293" s="2827"/>
      <c r="G293" s="2827"/>
      <c r="H293" s="2828" t="s">
        <v>1670</v>
      </c>
      <c r="I293" s="2829" t="s">
        <v>47</v>
      </c>
      <c r="J293" s="2830" t="s">
        <v>2240</v>
      </c>
      <c r="K293" s="2830"/>
      <c r="L293" s="2830"/>
      <c r="M293" s="2830"/>
      <c r="N293" s="2830"/>
      <c r="O293" s="2831">
        <v>43346</v>
      </c>
      <c r="P293" s="2832">
        <v>36</v>
      </c>
      <c r="Q293" s="2833" t="s">
        <v>160</v>
      </c>
      <c r="R293" s="2834">
        <v>22500</v>
      </c>
      <c r="S293" s="2835" t="s">
        <v>2239</v>
      </c>
      <c r="T293" s="202" t="s">
        <v>38</v>
      </c>
      <c r="U293" s="204"/>
      <c r="V293" s="204"/>
      <c r="W293" s="2832" t="s">
        <v>1737</v>
      </c>
      <c r="X293" s="2793" t="s">
        <v>86</v>
      </c>
      <c r="Y293" s="58" t="s">
        <v>40</v>
      </c>
      <c r="Z293" s="58"/>
      <c r="AA293" s="2836"/>
      <c r="AB293" s="2757"/>
      <c r="AC293" s="2830"/>
      <c r="AD293" s="2827"/>
      <c r="AE293" s="2830"/>
      <c r="AF293" s="2799"/>
    </row>
    <row r="294" spans="1:32" s="296" customFormat="1" ht="14.5">
      <c r="A294" s="1184"/>
      <c r="B294" s="271" t="s">
        <v>44</v>
      </c>
      <c r="C294" s="4"/>
      <c r="D294" s="2792" t="s">
        <v>32</v>
      </c>
      <c r="E294" s="2792"/>
      <c r="F294" s="2792"/>
      <c r="G294" s="2792"/>
      <c r="H294" s="2825" t="s">
        <v>1670</v>
      </c>
      <c r="I294" s="2793" t="s">
        <v>47</v>
      </c>
      <c r="J294" s="2757" t="s">
        <v>2241</v>
      </c>
      <c r="K294" s="2757"/>
      <c r="L294" s="2757"/>
      <c r="M294" s="2757"/>
      <c r="N294" s="2757"/>
      <c r="O294" s="2764">
        <v>43346</v>
      </c>
      <c r="P294" s="2763">
        <v>36</v>
      </c>
      <c r="Q294" s="2837" t="s">
        <v>160</v>
      </c>
      <c r="R294" s="2826">
        <v>214500</v>
      </c>
      <c r="S294" s="2838" t="s">
        <v>2239</v>
      </c>
      <c r="T294" s="12" t="s">
        <v>38</v>
      </c>
      <c r="U294" s="4"/>
      <c r="V294" s="4"/>
      <c r="W294" s="2763" t="s">
        <v>1737</v>
      </c>
      <c r="X294" s="2793" t="s">
        <v>86</v>
      </c>
      <c r="Y294" s="5" t="s">
        <v>40</v>
      </c>
      <c r="Z294" s="5"/>
      <c r="AA294" s="2795"/>
      <c r="AB294" s="2757"/>
      <c r="AC294" s="2757"/>
      <c r="AD294" s="2792"/>
      <c r="AE294" s="2757"/>
      <c r="AF294" s="2799"/>
    </row>
    <row r="295" spans="1:32" s="296" customFormat="1" ht="29">
      <c r="A295" s="1184"/>
      <c r="B295" s="271" t="s">
        <v>44</v>
      </c>
      <c r="C295" s="2821"/>
      <c r="D295" s="2813" t="s">
        <v>32</v>
      </c>
      <c r="E295" s="2813"/>
      <c r="F295" s="2813"/>
      <c r="G295" s="2813"/>
      <c r="H295" s="2814" t="s">
        <v>1670</v>
      </c>
      <c r="I295" s="2815" t="s">
        <v>47</v>
      </c>
      <c r="J295" s="2816" t="s">
        <v>2242</v>
      </c>
      <c r="K295" s="2839"/>
      <c r="L295" s="2839"/>
      <c r="M295" s="2815"/>
      <c r="N295" s="2815"/>
      <c r="O295" s="2817">
        <v>43346</v>
      </c>
      <c r="P295" s="2818">
        <v>12</v>
      </c>
      <c r="Q295" s="2819" t="s">
        <v>589</v>
      </c>
      <c r="R295" s="18">
        <v>6250</v>
      </c>
      <c r="S295" s="31" t="s">
        <v>176</v>
      </c>
      <c r="T295" s="2818" t="s">
        <v>38</v>
      </c>
      <c r="U295" s="2821"/>
      <c r="V295" s="2821"/>
      <c r="W295" s="2818" t="s">
        <v>1673</v>
      </c>
      <c r="X295" s="2789" t="s">
        <v>86</v>
      </c>
      <c r="Y295" s="5" t="s">
        <v>40</v>
      </c>
      <c r="Z295" s="5"/>
      <c r="AA295" s="2821"/>
      <c r="AB295" s="2801">
        <v>43453</v>
      </c>
      <c r="AC295" s="2822" t="s">
        <v>2243</v>
      </c>
      <c r="AD295" s="178"/>
      <c r="AE295" s="2840"/>
      <c r="AF295" s="2799"/>
    </row>
    <row r="296" spans="1:32" s="1" customFormat="1" ht="37.5">
      <c r="A296" s="1119"/>
      <c r="B296" s="959" t="s">
        <v>56</v>
      </c>
      <c r="C296" s="510" t="s">
        <v>2122</v>
      </c>
      <c r="D296" s="611" t="s">
        <v>32</v>
      </c>
      <c r="E296" s="611"/>
      <c r="F296" s="611"/>
      <c r="G296" s="611"/>
      <c r="H296" s="511" t="s">
        <v>308</v>
      </c>
      <c r="I296" s="519" t="s">
        <v>47</v>
      </c>
      <c r="J296" s="1578" t="s">
        <v>2244</v>
      </c>
      <c r="K296" s="512"/>
      <c r="L296" s="602" t="s">
        <v>251</v>
      </c>
      <c r="M296" s="602"/>
      <c r="N296" s="602"/>
      <c r="O296" s="597">
        <v>43346</v>
      </c>
      <c r="P296" s="516">
        <v>8</v>
      </c>
      <c r="Q296" s="516">
        <v>8</v>
      </c>
      <c r="R296" s="599">
        <v>665000</v>
      </c>
      <c r="S296" s="1043" t="s">
        <v>1937</v>
      </c>
      <c r="T296" s="515" t="s">
        <v>38</v>
      </c>
      <c r="U296" s="515"/>
      <c r="V296" s="515"/>
      <c r="W296" s="519" t="s">
        <v>714</v>
      </c>
      <c r="X296" s="120"/>
      <c r="Y296" s="1081"/>
      <c r="Z296" s="120"/>
      <c r="AA296" s="120"/>
      <c r="AB296" s="120"/>
      <c r="AC296" s="120"/>
      <c r="AD296" s="336"/>
      <c r="AE296" s="120"/>
      <c r="AF296" s="2799"/>
    </row>
    <row r="297" spans="1:32" s="296" customFormat="1" ht="58">
      <c r="A297" s="498"/>
      <c r="B297" s="271" t="s">
        <v>44</v>
      </c>
      <c r="C297" s="2821"/>
      <c r="D297" s="118" t="s">
        <v>32</v>
      </c>
      <c r="E297" s="118"/>
      <c r="F297" s="118"/>
      <c r="G297" s="118"/>
      <c r="H297" s="5" t="s">
        <v>33</v>
      </c>
      <c r="I297" s="5" t="s">
        <v>47</v>
      </c>
      <c r="J297" s="16" t="s">
        <v>2245</v>
      </c>
      <c r="K297" s="16"/>
      <c r="L297" s="16"/>
      <c r="M297" s="182">
        <v>43009</v>
      </c>
      <c r="N297" s="182"/>
      <c r="O297" s="182">
        <v>43349</v>
      </c>
      <c r="P297" s="12">
        <v>36</v>
      </c>
      <c r="Q297" s="13" t="s">
        <v>160</v>
      </c>
      <c r="R297" s="41">
        <v>76552</v>
      </c>
      <c r="S297" s="31" t="s">
        <v>176</v>
      </c>
      <c r="T297" s="12" t="s">
        <v>38</v>
      </c>
      <c r="U297" s="2821"/>
      <c r="V297" s="2821"/>
      <c r="W297" s="5" t="s">
        <v>2246</v>
      </c>
      <c r="X297" s="5" t="s">
        <v>413</v>
      </c>
      <c r="Y297" s="5" t="s">
        <v>40</v>
      </c>
      <c r="Z297" s="5"/>
      <c r="AA297" s="5"/>
      <c r="AB297" s="199">
        <v>43487</v>
      </c>
      <c r="AC297" s="8" t="s">
        <v>2247</v>
      </c>
      <c r="AD297" s="147"/>
      <c r="AE297" s="17">
        <f>SUM(R297/3)</f>
        <v>25517.333333333332</v>
      </c>
      <c r="AF297" s="2773"/>
    </row>
    <row r="298" spans="1:32" s="296" customFormat="1" ht="65">
      <c r="A298" s="1119"/>
      <c r="B298" s="959" t="s">
        <v>56</v>
      </c>
      <c r="C298" s="577" t="s">
        <v>2248</v>
      </c>
      <c r="D298" s="973" t="s">
        <v>57</v>
      </c>
      <c r="E298" s="973"/>
      <c r="F298" s="973"/>
      <c r="G298" s="973"/>
      <c r="H298" s="578" t="s">
        <v>58</v>
      </c>
      <c r="I298" s="579" t="s">
        <v>47</v>
      </c>
      <c r="J298" s="1577" t="s">
        <v>2249</v>
      </c>
      <c r="K298" s="579"/>
      <c r="L298" s="580">
        <v>43280</v>
      </c>
      <c r="M298" s="580"/>
      <c r="N298" s="580"/>
      <c r="O298" s="580">
        <v>43353</v>
      </c>
      <c r="P298" s="581">
        <v>2</v>
      </c>
      <c r="Q298" s="1017">
        <v>2</v>
      </c>
      <c r="R298" s="582">
        <v>250000</v>
      </c>
      <c r="S298" s="583" t="s">
        <v>1657</v>
      </c>
      <c r="T298" s="584" t="s">
        <v>38</v>
      </c>
      <c r="U298" s="584"/>
      <c r="V298" s="584"/>
      <c r="W298" s="585" t="s">
        <v>1751</v>
      </c>
      <c r="X298" s="120"/>
      <c r="Y298" s="120"/>
      <c r="Z298" s="120"/>
      <c r="AA298" s="186"/>
      <c r="AB298" s="120"/>
      <c r="AC298" s="120"/>
      <c r="AD298" s="336"/>
      <c r="AE298" s="120"/>
      <c r="AF298" s="2773"/>
    </row>
    <row r="299" spans="1:32" s="1" customFormat="1" ht="65">
      <c r="A299" s="1119"/>
      <c r="B299" s="959" t="s">
        <v>56</v>
      </c>
      <c r="C299" s="595" t="s">
        <v>2250</v>
      </c>
      <c r="D299" s="973" t="s">
        <v>57</v>
      </c>
      <c r="E299" s="973"/>
      <c r="F299" s="973"/>
      <c r="G299" s="973"/>
      <c r="H299" s="578" t="s">
        <v>308</v>
      </c>
      <c r="I299" s="579" t="s">
        <v>47</v>
      </c>
      <c r="J299" s="594" t="s">
        <v>2251</v>
      </c>
      <c r="K299" s="594"/>
      <c r="L299" s="592">
        <v>43306</v>
      </c>
      <c r="M299" s="592"/>
      <c r="N299" s="592"/>
      <c r="O299" s="592">
        <v>43353</v>
      </c>
      <c r="P299" s="581">
        <v>0.5</v>
      </c>
      <c r="Q299" s="1017">
        <v>0.5</v>
      </c>
      <c r="R299" s="596">
        <v>50000</v>
      </c>
      <c r="S299" s="1042" t="s">
        <v>1657</v>
      </c>
      <c r="T299" s="584" t="s">
        <v>38</v>
      </c>
      <c r="U299" s="584"/>
      <c r="V299" s="584"/>
      <c r="W299" s="578" t="s">
        <v>2252</v>
      </c>
      <c r="X299" s="120"/>
      <c r="Y299" s="120"/>
      <c r="Z299" s="120"/>
      <c r="AA299" s="120"/>
      <c r="AB299" s="120"/>
      <c r="AC299" s="120"/>
      <c r="AD299" s="336"/>
      <c r="AE299" s="120"/>
      <c r="AF299" s="2773"/>
    </row>
    <row r="300" spans="1:32" s="295" customFormat="1" ht="49.4" customHeight="1">
      <c r="A300" s="1119"/>
      <c r="B300" s="959" t="s">
        <v>56</v>
      </c>
      <c r="C300" s="593" t="s">
        <v>2253</v>
      </c>
      <c r="D300" s="973" t="s">
        <v>57</v>
      </c>
      <c r="E300" s="973"/>
      <c r="F300" s="973"/>
      <c r="G300" s="973"/>
      <c r="H300" s="578" t="s">
        <v>58</v>
      </c>
      <c r="I300" s="579" t="s">
        <v>47</v>
      </c>
      <c r="J300" s="594" t="s">
        <v>2254</v>
      </c>
      <c r="K300" s="594"/>
      <c r="L300" s="592">
        <v>43328</v>
      </c>
      <c r="M300" s="592"/>
      <c r="N300" s="592"/>
      <c r="O300" s="592">
        <v>43353</v>
      </c>
      <c r="P300" s="581">
        <v>3</v>
      </c>
      <c r="Q300" s="1017">
        <v>3</v>
      </c>
      <c r="R300" s="596">
        <v>90000</v>
      </c>
      <c r="S300" s="1042" t="s">
        <v>1657</v>
      </c>
      <c r="T300" s="584" t="s">
        <v>38</v>
      </c>
      <c r="U300" s="584"/>
      <c r="V300" s="584"/>
      <c r="W300" s="578" t="s">
        <v>2252</v>
      </c>
      <c r="X300" s="120"/>
      <c r="Y300" s="120"/>
      <c r="Z300" s="120"/>
      <c r="AA300" s="120"/>
      <c r="AB300" s="120"/>
      <c r="AC300" s="120"/>
      <c r="AD300" s="336"/>
      <c r="AE300" s="120"/>
      <c r="AF300" s="2773"/>
    </row>
    <row r="301" spans="1:32" s="295" customFormat="1" ht="84.65" customHeight="1">
      <c r="A301" s="1119"/>
      <c r="B301" s="959" t="s">
        <v>56</v>
      </c>
      <c r="C301" s="593" t="s">
        <v>2255</v>
      </c>
      <c r="D301" s="973" t="s">
        <v>57</v>
      </c>
      <c r="E301" s="973"/>
      <c r="F301" s="973"/>
      <c r="G301" s="973"/>
      <c r="H301" s="578" t="s">
        <v>308</v>
      </c>
      <c r="I301" s="579" t="s">
        <v>47</v>
      </c>
      <c r="J301" s="594" t="s">
        <v>2256</v>
      </c>
      <c r="K301" s="594"/>
      <c r="L301" s="592">
        <v>43312</v>
      </c>
      <c r="M301" s="592"/>
      <c r="N301" s="592"/>
      <c r="O301" s="592">
        <v>43360</v>
      </c>
      <c r="P301" s="581">
        <v>1</v>
      </c>
      <c r="Q301" s="581">
        <v>1</v>
      </c>
      <c r="R301" s="596">
        <v>25000</v>
      </c>
      <c r="S301" s="1042" t="s">
        <v>1657</v>
      </c>
      <c r="T301" s="584" t="s">
        <v>38</v>
      </c>
      <c r="U301" s="584"/>
      <c r="V301" s="584"/>
      <c r="W301" s="578" t="s">
        <v>1047</v>
      </c>
      <c r="X301" s="120"/>
      <c r="Y301" s="120"/>
      <c r="Z301" s="120"/>
      <c r="AA301" s="120"/>
      <c r="AB301" s="120"/>
      <c r="AC301" s="120"/>
      <c r="AD301" s="336"/>
      <c r="AE301" s="120"/>
      <c r="AF301" s="2773"/>
    </row>
    <row r="302" spans="1:32" s="295" customFormat="1" ht="91">
      <c r="A302" s="1119"/>
      <c r="B302" s="959" t="s">
        <v>56</v>
      </c>
      <c r="C302" s="577" t="s">
        <v>2257</v>
      </c>
      <c r="D302" s="973" t="s">
        <v>57</v>
      </c>
      <c r="E302" s="973"/>
      <c r="F302" s="973"/>
      <c r="G302" s="973"/>
      <c r="H302" s="578" t="s">
        <v>58</v>
      </c>
      <c r="I302" s="579" t="s">
        <v>47</v>
      </c>
      <c r="J302" s="1577" t="s">
        <v>2258</v>
      </c>
      <c r="K302" s="579"/>
      <c r="L302" s="580">
        <v>43266</v>
      </c>
      <c r="M302" s="580"/>
      <c r="N302" s="580"/>
      <c r="O302" s="580">
        <v>43367</v>
      </c>
      <c r="P302" s="581">
        <v>0.25</v>
      </c>
      <c r="Q302" s="1017">
        <v>0.25</v>
      </c>
      <c r="R302" s="582">
        <v>50000</v>
      </c>
      <c r="S302" s="583" t="s">
        <v>1650</v>
      </c>
      <c r="T302" s="584" t="s">
        <v>38</v>
      </c>
      <c r="U302" s="584"/>
      <c r="V302" s="584"/>
      <c r="W302" s="578" t="s">
        <v>2252</v>
      </c>
      <c r="X302" s="120"/>
      <c r="Y302" s="120"/>
      <c r="Z302" s="120"/>
      <c r="AA302" s="186"/>
      <c r="AB302" s="120"/>
      <c r="AC302" s="120"/>
      <c r="AD302" s="336"/>
      <c r="AE302" s="120"/>
      <c r="AF302" s="2773"/>
    </row>
    <row r="303" spans="1:32" s="295" customFormat="1" ht="65">
      <c r="A303" s="1119"/>
      <c r="B303" s="959" t="s">
        <v>56</v>
      </c>
      <c r="C303" s="577" t="s">
        <v>2259</v>
      </c>
      <c r="D303" s="973" t="s">
        <v>57</v>
      </c>
      <c r="E303" s="973"/>
      <c r="F303" s="973"/>
      <c r="G303" s="973"/>
      <c r="H303" s="578" t="s">
        <v>58</v>
      </c>
      <c r="I303" s="579" t="s">
        <v>47</v>
      </c>
      <c r="J303" s="1577" t="s">
        <v>2260</v>
      </c>
      <c r="K303" s="579"/>
      <c r="L303" s="580">
        <v>43257</v>
      </c>
      <c r="M303" s="580"/>
      <c r="N303" s="580"/>
      <c r="O303" s="580">
        <v>43367</v>
      </c>
      <c r="P303" s="581">
        <v>4</v>
      </c>
      <c r="Q303" s="581">
        <v>4</v>
      </c>
      <c r="R303" s="582">
        <v>450000</v>
      </c>
      <c r="S303" s="583" t="s">
        <v>1780</v>
      </c>
      <c r="T303" s="584" t="s">
        <v>38</v>
      </c>
      <c r="U303" s="584"/>
      <c r="V303" s="584"/>
      <c r="W303" s="578" t="s">
        <v>1940</v>
      </c>
      <c r="X303" s="120"/>
      <c r="Y303" s="120"/>
      <c r="Z303" s="120"/>
      <c r="AA303" s="120"/>
      <c r="AB303" s="120"/>
      <c r="AC303" s="120"/>
      <c r="AD303" s="336"/>
      <c r="AE303" s="120"/>
      <c r="AF303" s="1"/>
    </row>
    <row r="304" spans="1:32" s="295" customFormat="1" ht="65">
      <c r="A304" s="1119"/>
      <c r="B304" s="959" t="s">
        <v>56</v>
      </c>
      <c r="C304" s="577" t="s">
        <v>2261</v>
      </c>
      <c r="D304" s="973" t="s">
        <v>57</v>
      </c>
      <c r="E304" s="973"/>
      <c r="F304" s="973"/>
      <c r="G304" s="973"/>
      <c r="H304" s="578" t="s">
        <v>58</v>
      </c>
      <c r="I304" s="579" t="s">
        <v>47</v>
      </c>
      <c r="J304" s="1577" t="s">
        <v>2262</v>
      </c>
      <c r="K304" s="579"/>
      <c r="L304" s="580">
        <v>43319</v>
      </c>
      <c r="M304" s="580"/>
      <c r="N304" s="580"/>
      <c r="O304" s="580">
        <v>43367</v>
      </c>
      <c r="P304" s="581">
        <v>4</v>
      </c>
      <c r="Q304" s="581">
        <v>4</v>
      </c>
      <c r="R304" s="582">
        <v>75000</v>
      </c>
      <c r="S304" s="1042" t="s">
        <v>1657</v>
      </c>
      <c r="T304" s="584" t="s">
        <v>38</v>
      </c>
      <c r="U304" s="584"/>
      <c r="V304" s="584"/>
      <c r="W304" s="578" t="s">
        <v>1047</v>
      </c>
      <c r="X304" s="120"/>
      <c r="Y304" s="120"/>
      <c r="Z304" s="120"/>
      <c r="AA304" s="120"/>
      <c r="AB304" s="120"/>
      <c r="AC304" s="120"/>
      <c r="AD304" s="336"/>
      <c r="AE304" s="120"/>
      <c r="AF304" s="2799"/>
    </row>
    <row r="305" spans="1:32" s="295" customFormat="1" ht="65">
      <c r="A305" s="1119"/>
      <c r="B305" s="959" t="s">
        <v>56</v>
      </c>
      <c r="C305" s="577" t="s">
        <v>2263</v>
      </c>
      <c r="D305" s="973" t="s">
        <v>57</v>
      </c>
      <c r="E305" s="973"/>
      <c r="F305" s="973"/>
      <c r="G305" s="973"/>
      <c r="H305" s="578" t="s">
        <v>308</v>
      </c>
      <c r="I305" s="579" t="s">
        <v>47</v>
      </c>
      <c r="J305" s="1577" t="s">
        <v>2264</v>
      </c>
      <c r="K305" s="579"/>
      <c r="L305" s="592">
        <v>43283</v>
      </c>
      <c r="M305" s="592"/>
      <c r="N305" s="592"/>
      <c r="O305" s="580">
        <v>43367</v>
      </c>
      <c r="P305" s="581">
        <v>1</v>
      </c>
      <c r="Q305" s="581">
        <v>1</v>
      </c>
      <c r="R305" s="582">
        <v>104000</v>
      </c>
      <c r="S305" s="1042" t="s">
        <v>1803</v>
      </c>
      <c r="T305" s="584" t="s">
        <v>38</v>
      </c>
      <c r="U305" s="584"/>
      <c r="V305" s="584"/>
      <c r="W305" s="578" t="s">
        <v>1804</v>
      </c>
      <c r="X305" s="120"/>
      <c r="Y305" s="1081"/>
      <c r="Z305" s="120"/>
      <c r="AA305" s="186"/>
      <c r="AB305" s="120"/>
      <c r="AC305" s="120"/>
      <c r="AD305" s="336"/>
      <c r="AE305" s="120"/>
      <c r="AF305" s="2799"/>
    </row>
    <row r="306" spans="1:32" s="303" customFormat="1" ht="72.5">
      <c r="A306" s="1184"/>
      <c r="B306" s="331"/>
      <c r="C306" s="4" t="s">
        <v>45</v>
      </c>
      <c r="D306" s="32" t="s">
        <v>32</v>
      </c>
      <c r="E306" s="32"/>
      <c r="F306" s="32"/>
      <c r="G306" s="32"/>
      <c r="H306" s="5" t="s">
        <v>127</v>
      </c>
      <c r="I306" s="5" t="s">
        <v>34</v>
      </c>
      <c r="J306" s="16" t="s">
        <v>2265</v>
      </c>
      <c r="K306" s="8"/>
      <c r="L306" s="5" t="e">
        <f>IF(OR(S306=#REF!,S306=#REF!,S306=#REF!,S306=#REF!,S306=#REF!,S306=#REF!,S306=#REF!,S306=#REF!),12,IF(OR(S306=#REF!,S306=#REF!,S306=#REF!,S306=#REF!,S306=#REF!,S306=#REF!,S306=#REF!),3,IF(S306=#REF!,1,IF(S306=#REF!,18,IF(OR(S306=#REF!,S306=#REF!,S306=#REF!,S306=#REF!,S306=#REF!),14,"Invalid proposed procurement method")))))</f>
        <v>#REF!</v>
      </c>
      <c r="M306" s="199" t="str">
        <f>IFERROR(EDATE($N306,-3),"Invalid procurement method or date entered")</f>
        <v>Invalid procurement method or date entered</v>
      </c>
      <c r="N306" s="199" t="str">
        <f>IFERROR(EDATE(O306,-L306),"Invalid procurement method or date entered")</f>
        <v>Invalid procurement method or date entered</v>
      </c>
      <c r="O306" s="182">
        <v>43374</v>
      </c>
      <c r="P306" s="5">
        <v>18</v>
      </c>
      <c r="Q306" s="7" t="s">
        <v>2266</v>
      </c>
      <c r="R306" s="18">
        <v>250000</v>
      </c>
      <c r="S306" s="31" t="s">
        <v>130</v>
      </c>
      <c r="T306" s="51" t="s">
        <v>62</v>
      </c>
      <c r="U306" s="51" t="s">
        <v>67</v>
      </c>
      <c r="V306" s="51"/>
      <c r="W306" s="5" t="s">
        <v>425</v>
      </c>
      <c r="X306" s="5"/>
      <c r="Y306" s="5" t="s">
        <v>115</v>
      </c>
      <c r="Z306" s="5"/>
      <c r="AA306" s="5" t="s">
        <v>38</v>
      </c>
      <c r="AB306" s="199" t="s">
        <v>67</v>
      </c>
      <c r="AC306" s="8" t="s">
        <v>2267</v>
      </c>
      <c r="AD306" s="20" t="s">
        <v>2268</v>
      </c>
      <c r="AE306" s="41">
        <v>100000</v>
      </c>
      <c r="AF306" s="2799"/>
    </row>
    <row r="307" spans="1:32" s="303" customFormat="1" ht="101.5">
      <c r="A307" s="2754"/>
      <c r="B307" s="271" t="s">
        <v>44</v>
      </c>
      <c r="C307" s="4"/>
      <c r="D307" s="118" t="s">
        <v>32</v>
      </c>
      <c r="E307" s="118"/>
      <c r="F307" s="118"/>
      <c r="G307" s="118"/>
      <c r="H307" s="5" t="s">
        <v>1770</v>
      </c>
      <c r="I307" s="5" t="s">
        <v>47</v>
      </c>
      <c r="J307" s="16" t="s">
        <v>2269</v>
      </c>
      <c r="K307" s="16"/>
      <c r="L307" s="16"/>
      <c r="M307" s="14">
        <v>42736</v>
      </c>
      <c r="N307" s="14"/>
      <c r="O307" s="182">
        <v>43374</v>
      </c>
      <c r="P307" s="12">
        <v>12</v>
      </c>
      <c r="Q307" s="27">
        <v>12</v>
      </c>
      <c r="R307" s="18">
        <v>88000</v>
      </c>
      <c r="S307" s="5" t="s">
        <v>34</v>
      </c>
      <c r="T307" s="12" t="s">
        <v>38</v>
      </c>
      <c r="U307" s="4"/>
      <c r="V307" s="4"/>
      <c r="W307" s="5" t="s">
        <v>2270</v>
      </c>
      <c r="X307" s="5" t="s">
        <v>413</v>
      </c>
      <c r="Y307" s="5" t="s">
        <v>40</v>
      </c>
      <c r="Z307" s="5"/>
      <c r="AA307" s="5"/>
      <c r="AB307" s="199">
        <v>43299</v>
      </c>
      <c r="AC307" s="8" t="s">
        <v>2271</v>
      </c>
      <c r="AD307" s="147"/>
      <c r="AE307" s="17" t="s">
        <v>2272</v>
      </c>
      <c r="AF307" s="1"/>
    </row>
    <row r="308" spans="1:32" s="295" customFormat="1" ht="101.5">
      <c r="A308" s="498"/>
      <c r="B308" s="271" t="s">
        <v>44</v>
      </c>
      <c r="C308" s="4"/>
      <c r="D308" s="287" t="s">
        <v>32</v>
      </c>
      <c r="E308" s="287"/>
      <c r="F308" s="287"/>
      <c r="G308" s="287"/>
      <c r="H308" s="283" t="s">
        <v>1770</v>
      </c>
      <c r="I308" s="283" t="s">
        <v>34</v>
      </c>
      <c r="J308" s="273" t="s">
        <v>2269</v>
      </c>
      <c r="K308" s="273"/>
      <c r="L308" s="273"/>
      <c r="M308" s="1743">
        <v>42917</v>
      </c>
      <c r="N308" s="1743"/>
      <c r="O308" s="294">
        <v>43374</v>
      </c>
      <c r="P308" s="285">
        <v>48</v>
      </c>
      <c r="Q308" s="293" t="s">
        <v>2273</v>
      </c>
      <c r="R308" s="286">
        <v>88000</v>
      </c>
      <c r="S308" s="274" t="s">
        <v>1189</v>
      </c>
      <c r="T308" s="285" t="s">
        <v>38</v>
      </c>
      <c r="U308" s="271"/>
      <c r="V308" s="271"/>
      <c r="W308" s="283" t="s">
        <v>2274</v>
      </c>
      <c r="X308" s="283" t="s">
        <v>413</v>
      </c>
      <c r="Y308" s="283" t="s">
        <v>40</v>
      </c>
      <c r="Z308" s="283"/>
      <c r="AA308" s="283"/>
      <c r="AB308" s="2759">
        <v>43299</v>
      </c>
      <c r="AC308" s="287" t="s">
        <v>2271</v>
      </c>
      <c r="AD308" s="271"/>
      <c r="AE308" s="1937" t="s">
        <v>2272</v>
      </c>
      <c r="AF308" s="1"/>
    </row>
    <row r="309" spans="1:32" s="295" customFormat="1" ht="84.65" customHeight="1">
      <c r="A309" s="498"/>
      <c r="B309" s="271" t="s">
        <v>44</v>
      </c>
      <c r="C309" s="2757"/>
      <c r="D309" s="118" t="s">
        <v>32</v>
      </c>
      <c r="E309" s="118"/>
      <c r="F309" s="118"/>
      <c r="G309" s="118"/>
      <c r="H309" s="5" t="s">
        <v>127</v>
      </c>
      <c r="I309" s="5" t="s">
        <v>34</v>
      </c>
      <c r="J309" s="16" t="s">
        <v>2275</v>
      </c>
      <c r="K309" s="8"/>
      <c r="L309" s="8"/>
      <c r="M309" s="199">
        <v>43009</v>
      </c>
      <c r="N309" s="199"/>
      <c r="O309" s="199">
        <v>43374</v>
      </c>
      <c r="P309" s="5">
        <v>60</v>
      </c>
      <c r="Q309" s="7" t="s">
        <v>2276</v>
      </c>
      <c r="R309" s="18">
        <v>75000</v>
      </c>
      <c r="S309" s="31" t="s">
        <v>130</v>
      </c>
      <c r="T309" s="11" t="s">
        <v>38</v>
      </c>
      <c r="U309" s="2757"/>
      <c r="V309" s="2757"/>
      <c r="W309" s="5" t="s">
        <v>1973</v>
      </c>
      <c r="X309" s="5" t="s">
        <v>86</v>
      </c>
      <c r="Y309" s="5" t="s">
        <v>40</v>
      </c>
      <c r="Z309" s="5"/>
      <c r="AA309" s="5"/>
      <c r="AB309" s="199">
        <v>43426</v>
      </c>
      <c r="AC309" s="8" t="s">
        <v>2277</v>
      </c>
      <c r="AD309" s="147"/>
      <c r="AE309" s="41"/>
      <c r="AF309" s="2824"/>
    </row>
    <row r="310" spans="1:32" s="296" customFormat="1" ht="58">
      <c r="A310" s="498"/>
      <c r="B310" s="271" t="s">
        <v>44</v>
      </c>
      <c r="C310" s="4"/>
      <c r="D310" s="118" t="s">
        <v>32</v>
      </c>
      <c r="E310" s="118"/>
      <c r="F310" s="118"/>
      <c r="G310" s="118"/>
      <c r="H310" s="5" t="s">
        <v>33</v>
      </c>
      <c r="I310" s="5" t="s">
        <v>47</v>
      </c>
      <c r="J310" s="268" t="s">
        <v>2278</v>
      </c>
      <c r="K310" s="16"/>
      <c r="L310" s="16"/>
      <c r="M310" s="182">
        <v>43009</v>
      </c>
      <c r="N310" s="182"/>
      <c r="O310" s="182">
        <v>43374</v>
      </c>
      <c r="P310" s="12">
        <v>36</v>
      </c>
      <c r="Q310" s="28" t="s">
        <v>160</v>
      </c>
      <c r="R310" s="41">
        <v>76552</v>
      </c>
      <c r="S310" s="31" t="s">
        <v>1691</v>
      </c>
      <c r="T310" s="12" t="s">
        <v>38</v>
      </c>
      <c r="U310" s="4"/>
      <c r="V310" s="4"/>
      <c r="W310" s="5" t="s">
        <v>1852</v>
      </c>
      <c r="X310" s="5" t="s">
        <v>413</v>
      </c>
      <c r="Y310" s="73" t="s">
        <v>40</v>
      </c>
      <c r="Z310" s="5"/>
      <c r="AA310" s="5"/>
      <c r="AB310" s="199">
        <v>43361</v>
      </c>
      <c r="AC310" s="8" t="s">
        <v>1853</v>
      </c>
      <c r="AD310" s="147"/>
      <c r="AE310" s="17"/>
      <c r="AF310" s="2824"/>
    </row>
    <row r="311" spans="1:32" s="295" customFormat="1" ht="58">
      <c r="A311" s="498"/>
      <c r="B311" s="271" t="s">
        <v>44</v>
      </c>
      <c r="C311" s="271"/>
      <c r="D311" s="287" t="s">
        <v>32</v>
      </c>
      <c r="E311" s="287"/>
      <c r="F311" s="287"/>
      <c r="G311" s="287"/>
      <c r="H311" s="283" t="s">
        <v>33</v>
      </c>
      <c r="I311" s="283" t="s">
        <v>47</v>
      </c>
      <c r="J311" s="273" t="s">
        <v>2278</v>
      </c>
      <c r="K311" s="273"/>
      <c r="L311" s="273"/>
      <c r="M311" s="294">
        <v>43009</v>
      </c>
      <c r="N311" s="294"/>
      <c r="O311" s="294">
        <v>43374</v>
      </c>
      <c r="P311" s="285">
        <v>36</v>
      </c>
      <c r="Q311" s="349" t="s">
        <v>160</v>
      </c>
      <c r="R311" s="286">
        <v>76552</v>
      </c>
      <c r="S311" s="274" t="s">
        <v>1691</v>
      </c>
      <c r="T311" s="285" t="s">
        <v>38</v>
      </c>
      <c r="U311" s="271"/>
      <c r="V311" s="271"/>
      <c r="W311" s="283" t="s">
        <v>2246</v>
      </c>
      <c r="X311" s="73" t="s">
        <v>413</v>
      </c>
      <c r="Y311" s="283" t="s">
        <v>727</v>
      </c>
      <c r="Z311" s="283"/>
      <c r="AA311" s="283"/>
      <c r="AB311" s="199">
        <v>43523</v>
      </c>
      <c r="AC311" s="287" t="s">
        <v>2279</v>
      </c>
      <c r="AD311" s="271"/>
      <c r="AE311" s="1937"/>
      <c r="AF311" s="2799"/>
    </row>
    <row r="312" spans="1:32" s="1" customFormat="1" ht="29">
      <c r="A312" s="1119"/>
      <c r="B312" s="271" t="s">
        <v>44</v>
      </c>
      <c r="C312" s="4"/>
      <c r="D312" s="118" t="s">
        <v>32</v>
      </c>
      <c r="E312" s="118"/>
      <c r="F312" s="118"/>
      <c r="G312" s="118"/>
      <c r="H312" s="5" t="s">
        <v>1770</v>
      </c>
      <c r="I312" s="5" t="s">
        <v>47</v>
      </c>
      <c r="J312" s="16" t="s">
        <v>1771</v>
      </c>
      <c r="K312" s="16"/>
      <c r="L312" s="16"/>
      <c r="M312" s="182">
        <v>43040</v>
      </c>
      <c r="N312" s="182"/>
      <c r="O312" s="182">
        <v>43374</v>
      </c>
      <c r="P312" s="12" t="s">
        <v>45</v>
      </c>
      <c r="Q312" s="27" t="s">
        <v>45</v>
      </c>
      <c r="R312" s="18">
        <v>1600</v>
      </c>
      <c r="S312" s="31" t="s">
        <v>1593</v>
      </c>
      <c r="T312" s="12" t="s">
        <v>38</v>
      </c>
      <c r="U312" s="4"/>
      <c r="V312" s="4"/>
      <c r="W312" s="5" t="s">
        <v>1076</v>
      </c>
      <c r="X312" s="12" t="s">
        <v>413</v>
      </c>
      <c r="Y312" s="5" t="s">
        <v>40</v>
      </c>
      <c r="Z312" s="5"/>
      <c r="AA312" s="5"/>
      <c r="AB312" s="5"/>
      <c r="AC312" s="8" t="s">
        <v>2280</v>
      </c>
      <c r="AD312" s="147"/>
      <c r="AE312" s="17"/>
      <c r="AF312" s="2799"/>
    </row>
    <row r="313" spans="1:32" s="1" customFormat="1" ht="29">
      <c r="A313" s="1184"/>
      <c r="B313" s="271" t="s">
        <v>44</v>
      </c>
      <c r="C313" s="4"/>
      <c r="D313" s="147" t="s">
        <v>32</v>
      </c>
      <c r="E313" s="147"/>
      <c r="F313" s="147"/>
      <c r="G313" s="147"/>
      <c r="H313" s="5" t="s">
        <v>33</v>
      </c>
      <c r="I313" s="8" t="s">
        <v>47</v>
      </c>
      <c r="J313" s="16" t="s">
        <v>1762</v>
      </c>
      <c r="K313" s="8"/>
      <c r="L313" s="8"/>
      <c r="M313" s="14">
        <v>43132</v>
      </c>
      <c r="N313" s="14"/>
      <c r="O313" s="14">
        <v>43374</v>
      </c>
      <c r="P313" s="12">
        <v>12</v>
      </c>
      <c r="Q313" s="26">
        <v>12</v>
      </c>
      <c r="R313" s="82">
        <v>7000</v>
      </c>
      <c r="S313" s="31" t="s">
        <v>1763</v>
      </c>
      <c r="T313" s="14" t="s">
        <v>38</v>
      </c>
      <c r="U313" s="4"/>
      <c r="V313" s="4"/>
      <c r="W313" s="5" t="s">
        <v>1766</v>
      </c>
      <c r="X313" s="5" t="s">
        <v>1764</v>
      </c>
      <c r="Y313" s="5" t="s">
        <v>40</v>
      </c>
      <c r="Z313" s="5"/>
      <c r="AA313" s="5"/>
      <c r="AB313" s="13"/>
      <c r="AC313" s="4" t="s">
        <v>2281</v>
      </c>
      <c r="AD313" s="147"/>
      <c r="AE313" s="5"/>
      <c r="AF313" s="2799"/>
    </row>
    <row r="314" spans="1:32" s="295" customFormat="1" ht="58">
      <c r="A314" s="1184"/>
      <c r="B314" s="292" t="s">
        <v>44</v>
      </c>
      <c r="C314" s="279"/>
      <c r="D314" s="505" t="s">
        <v>32</v>
      </c>
      <c r="E314" s="505"/>
      <c r="F314" s="505"/>
      <c r="G314" s="505"/>
      <c r="H314" s="73" t="s">
        <v>33</v>
      </c>
      <c r="I314" s="73" t="s">
        <v>47</v>
      </c>
      <c r="J314" s="281" t="s">
        <v>1762</v>
      </c>
      <c r="K314" s="270"/>
      <c r="L314" s="270"/>
      <c r="M314" s="343">
        <v>43132</v>
      </c>
      <c r="N314" s="343"/>
      <c r="O314" s="343">
        <v>43374</v>
      </c>
      <c r="P314" s="275">
        <v>12</v>
      </c>
      <c r="Q314" s="340">
        <v>12</v>
      </c>
      <c r="R314" s="282">
        <v>6000</v>
      </c>
      <c r="S314" s="1838" t="s">
        <v>37</v>
      </c>
      <c r="T314" s="343" t="s">
        <v>38</v>
      </c>
      <c r="U314" s="279"/>
      <c r="V314" s="279"/>
      <c r="W314" s="73" t="s">
        <v>2282</v>
      </c>
      <c r="X314" s="73" t="s">
        <v>715</v>
      </c>
      <c r="Y314" s="73" t="s">
        <v>40</v>
      </c>
      <c r="Z314" s="73"/>
      <c r="AA314" s="73"/>
      <c r="AB314" s="199">
        <v>43341</v>
      </c>
      <c r="AC314" s="1113" t="s">
        <v>2283</v>
      </c>
      <c r="AD314" s="980"/>
      <c r="AE314" s="282">
        <v>6000</v>
      </c>
      <c r="AF314" s="1"/>
    </row>
    <row r="315" spans="1:32" s="296" customFormat="1" ht="58">
      <c r="A315" s="1184"/>
      <c r="B315" s="271" t="s">
        <v>44</v>
      </c>
      <c r="C315" s="4"/>
      <c r="D315" s="2792" t="s">
        <v>32</v>
      </c>
      <c r="E315" s="2792"/>
      <c r="F315" s="2792"/>
      <c r="G315" s="2792"/>
      <c r="H315" s="2825" t="s">
        <v>33</v>
      </c>
      <c r="I315" s="2793" t="s">
        <v>47</v>
      </c>
      <c r="J315" s="2795" t="s">
        <v>2284</v>
      </c>
      <c r="K315" s="2795"/>
      <c r="L315" s="2795"/>
      <c r="M315" s="2764">
        <v>43208</v>
      </c>
      <c r="N315" s="2764"/>
      <c r="O315" s="1762">
        <v>43374</v>
      </c>
      <c r="P315" s="2832">
        <v>60</v>
      </c>
      <c r="Q315" s="2842" t="s">
        <v>705</v>
      </c>
      <c r="R315" s="201">
        <v>7500</v>
      </c>
      <c r="S315" s="2838" t="s">
        <v>45</v>
      </c>
      <c r="T315" s="2763" t="s">
        <v>38</v>
      </c>
      <c r="U315" s="4"/>
      <c r="V315" s="4"/>
      <c r="W315" s="2763" t="s">
        <v>2285</v>
      </c>
      <c r="X315" s="2751" t="s">
        <v>2286</v>
      </c>
      <c r="Y315" s="5" t="s">
        <v>40</v>
      </c>
      <c r="Z315" s="5"/>
      <c r="AA315" s="2757"/>
      <c r="AB315" s="199">
        <v>43368</v>
      </c>
      <c r="AC315" s="36" t="s">
        <v>2287</v>
      </c>
      <c r="AD315" s="147"/>
      <c r="AE315" s="2843"/>
      <c r="AF315" s="2799"/>
    </row>
    <row r="316" spans="1:32" s="1" customFormat="1" ht="58">
      <c r="A316" s="1184"/>
      <c r="B316" s="271" t="s">
        <v>44</v>
      </c>
      <c r="C316" s="4"/>
      <c r="D316" s="2792" t="s">
        <v>32</v>
      </c>
      <c r="E316" s="2792"/>
      <c r="F316" s="2792"/>
      <c r="G316" s="2792"/>
      <c r="H316" s="2825" t="s">
        <v>33</v>
      </c>
      <c r="I316" s="2793" t="s">
        <v>47</v>
      </c>
      <c r="J316" s="2795" t="s">
        <v>2284</v>
      </c>
      <c r="K316" s="2795"/>
      <c r="L316" s="2795"/>
      <c r="M316" s="2764">
        <v>43208</v>
      </c>
      <c r="N316" s="2764"/>
      <c r="O316" s="96">
        <v>43374</v>
      </c>
      <c r="P316" s="2763">
        <v>60</v>
      </c>
      <c r="Q316" s="2751" t="s">
        <v>705</v>
      </c>
      <c r="R316" s="18">
        <v>7500</v>
      </c>
      <c r="S316" s="2838" t="s">
        <v>45</v>
      </c>
      <c r="T316" s="2763" t="s">
        <v>38</v>
      </c>
      <c r="U316" s="4"/>
      <c r="V316" s="4"/>
      <c r="W316" s="2763" t="s">
        <v>2285</v>
      </c>
      <c r="X316" s="2751" t="s">
        <v>2286</v>
      </c>
      <c r="Y316" s="73" t="s">
        <v>40</v>
      </c>
      <c r="Z316" s="5"/>
      <c r="AA316" s="2757"/>
      <c r="AB316" s="199">
        <v>43368</v>
      </c>
      <c r="AC316" s="36" t="s">
        <v>2287</v>
      </c>
      <c r="AD316" s="147"/>
      <c r="AE316" s="2843"/>
      <c r="AF316" s="2799"/>
    </row>
    <row r="317" spans="1:32" s="1" customFormat="1" ht="99.75" customHeight="1">
      <c r="A317" s="1184"/>
      <c r="B317" s="271" t="s">
        <v>44</v>
      </c>
      <c r="C317" s="4"/>
      <c r="D317" s="2792" t="s">
        <v>32</v>
      </c>
      <c r="E317" s="2792"/>
      <c r="F317" s="2792"/>
      <c r="G317" s="2792"/>
      <c r="H317" s="2763" t="s">
        <v>1670</v>
      </c>
      <c r="I317" s="2763" t="s">
        <v>47</v>
      </c>
      <c r="J317" s="2755" t="s">
        <v>2288</v>
      </c>
      <c r="K317" s="2755"/>
      <c r="L317" s="2755"/>
      <c r="M317" s="2757"/>
      <c r="N317" s="2757"/>
      <c r="O317" s="2764">
        <v>43374</v>
      </c>
      <c r="P317" s="2763">
        <v>48</v>
      </c>
      <c r="Q317" s="2763">
        <v>48</v>
      </c>
      <c r="R317" s="2844">
        <v>36000</v>
      </c>
      <c r="S317" s="2763" t="s">
        <v>2239</v>
      </c>
      <c r="T317" s="2763" t="s">
        <v>38</v>
      </c>
      <c r="U317" s="4"/>
      <c r="V317" s="4"/>
      <c r="W317" s="2763" t="s">
        <v>1737</v>
      </c>
      <c r="X317" s="2763" t="s">
        <v>86</v>
      </c>
      <c r="Y317" s="5" t="s">
        <v>40</v>
      </c>
      <c r="Z317" s="5"/>
      <c r="AA317" s="2795"/>
      <c r="AB317" s="2764">
        <v>43350</v>
      </c>
      <c r="AC317" s="2757"/>
      <c r="AD317" s="2792"/>
      <c r="AE317" s="2757"/>
    </row>
    <row r="318" spans="1:32" s="927" customFormat="1" ht="65">
      <c r="A318" s="1119"/>
      <c r="B318" s="959" t="s">
        <v>56</v>
      </c>
      <c r="C318" s="593" t="s">
        <v>2289</v>
      </c>
      <c r="D318" s="973" t="s">
        <v>57</v>
      </c>
      <c r="E318" s="973"/>
      <c r="F318" s="973"/>
      <c r="G318" s="973"/>
      <c r="H318" s="578" t="s">
        <v>308</v>
      </c>
      <c r="I318" s="579" t="s">
        <v>47</v>
      </c>
      <c r="J318" s="594" t="s">
        <v>2290</v>
      </c>
      <c r="K318" s="594"/>
      <c r="L318" s="592">
        <v>43318</v>
      </c>
      <c r="M318" s="592"/>
      <c r="N318" s="592"/>
      <c r="O318" s="592">
        <v>43374</v>
      </c>
      <c r="P318" s="581">
        <v>1</v>
      </c>
      <c r="Q318" s="581">
        <v>1</v>
      </c>
      <c r="R318" s="596">
        <v>70000</v>
      </c>
      <c r="S318" s="583" t="s">
        <v>1657</v>
      </c>
      <c r="T318" s="584" t="s">
        <v>38</v>
      </c>
      <c r="U318" s="584"/>
      <c r="V318" s="584"/>
      <c r="W318" s="578" t="s">
        <v>1047</v>
      </c>
      <c r="X318" s="120"/>
      <c r="Y318" s="120"/>
      <c r="Z318" s="120"/>
      <c r="AA318" s="120"/>
      <c r="AB318" s="120"/>
      <c r="AC318" s="186"/>
      <c r="AD318" s="336"/>
      <c r="AE318" s="120"/>
      <c r="AF318" s="2773"/>
    </row>
    <row r="319" spans="1:32" s="927" customFormat="1" ht="65">
      <c r="A319" s="1119"/>
      <c r="B319" s="959" t="s">
        <v>56</v>
      </c>
      <c r="C319" s="959" t="s">
        <v>2291</v>
      </c>
      <c r="D319" s="976" t="s">
        <v>57</v>
      </c>
      <c r="E319" s="976"/>
      <c r="F319" s="976"/>
      <c r="G319" s="976"/>
      <c r="H319" s="976" t="s">
        <v>58</v>
      </c>
      <c r="I319" s="986" t="s">
        <v>47</v>
      </c>
      <c r="J319" s="1616" t="s">
        <v>2292</v>
      </c>
      <c r="K319" s="986"/>
      <c r="L319" s="1007">
        <v>43314</v>
      </c>
      <c r="M319" s="1007"/>
      <c r="N319" s="1007"/>
      <c r="O319" s="1007">
        <v>43374</v>
      </c>
      <c r="P319" s="1014">
        <v>3</v>
      </c>
      <c r="Q319" s="1014">
        <v>3</v>
      </c>
      <c r="R319" s="1813">
        <v>250000</v>
      </c>
      <c r="S319" s="1047" t="s">
        <v>1657</v>
      </c>
      <c r="T319" s="1061" t="s">
        <v>38</v>
      </c>
      <c r="U319" s="1061"/>
      <c r="V319" s="1061"/>
      <c r="W319" s="976" t="s">
        <v>2293</v>
      </c>
      <c r="X319" s="1081"/>
      <c r="Y319" s="330"/>
      <c r="Z319" s="330"/>
      <c r="AA319" s="330"/>
      <c r="AB319" s="120"/>
      <c r="AC319" s="330"/>
      <c r="AD319" s="330"/>
      <c r="AE319" s="330"/>
      <c r="AF319" s="2773"/>
    </row>
    <row r="320" spans="1:32" s="928" customFormat="1" ht="37.5">
      <c r="A320" s="1119"/>
      <c r="B320" s="959" t="s">
        <v>56</v>
      </c>
      <c r="C320" s="601"/>
      <c r="D320" s="611" t="s">
        <v>57</v>
      </c>
      <c r="E320" s="611"/>
      <c r="F320" s="611"/>
      <c r="G320" s="611"/>
      <c r="H320" s="511" t="s">
        <v>58</v>
      </c>
      <c r="I320" s="519" t="s">
        <v>47</v>
      </c>
      <c r="J320" s="606" t="s">
        <v>2294</v>
      </c>
      <c r="K320" s="529"/>
      <c r="L320" s="602">
        <v>43315</v>
      </c>
      <c r="M320" s="602"/>
      <c r="N320" s="602"/>
      <c r="O320" s="602">
        <v>43374</v>
      </c>
      <c r="P320" s="516">
        <v>2</v>
      </c>
      <c r="Q320" s="1009">
        <v>2</v>
      </c>
      <c r="R320" s="607">
        <v>200000</v>
      </c>
      <c r="S320" s="1043" t="s">
        <v>1937</v>
      </c>
      <c r="T320" s="518" t="s">
        <v>38</v>
      </c>
      <c r="U320" s="518"/>
      <c r="V320" s="518"/>
      <c r="W320" s="519" t="s">
        <v>2295</v>
      </c>
      <c r="X320" s="120"/>
      <c r="Y320" s="120"/>
      <c r="Z320" s="120"/>
      <c r="AA320" s="120"/>
      <c r="AB320" s="120"/>
      <c r="AC320" s="120"/>
      <c r="AD320" s="336"/>
      <c r="AE320" s="120"/>
      <c r="AF320" s="2773"/>
    </row>
    <row r="321" spans="1:32" s="296" customFormat="1" ht="42.75" customHeight="1">
      <c r="A321" s="1119"/>
      <c r="B321" s="959" t="s">
        <v>56</v>
      </c>
      <c r="C321" s="510" t="s">
        <v>991</v>
      </c>
      <c r="D321" s="611" t="s">
        <v>57</v>
      </c>
      <c r="E321" s="611"/>
      <c r="F321" s="611"/>
      <c r="G321" s="611"/>
      <c r="H321" s="511" t="s">
        <v>58</v>
      </c>
      <c r="I321" s="510" t="s">
        <v>47</v>
      </c>
      <c r="J321" s="1580" t="s">
        <v>2296</v>
      </c>
      <c r="K321" s="533"/>
      <c r="L321" s="618">
        <v>43374</v>
      </c>
      <c r="M321" s="618"/>
      <c r="N321" s="618"/>
      <c r="O321" s="618">
        <v>43374</v>
      </c>
      <c r="P321" s="535">
        <v>20</v>
      </c>
      <c r="Q321" s="1011">
        <v>20</v>
      </c>
      <c r="R321" s="599">
        <v>170000</v>
      </c>
      <c r="S321" s="1046" t="s">
        <v>51</v>
      </c>
      <c r="T321" s="615" t="s">
        <v>38</v>
      </c>
      <c r="U321" s="615"/>
      <c r="V321" s="615"/>
      <c r="W321" s="510" t="s">
        <v>2297</v>
      </c>
      <c r="X321" s="120"/>
      <c r="Y321" s="1081"/>
      <c r="Z321" s="120"/>
      <c r="AA321" s="120"/>
      <c r="AB321" s="120"/>
      <c r="AC321" s="120"/>
      <c r="AD321" s="336"/>
      <c r="AE321" s="120"/>
      <c r="AF321" s="2773"/>
    </row>
    <row r="322" spans="1:32" s="1" customFormat="1" ht="86.9" customHeight="1">
      <c r="A322" s="1648">
        <v>44974</v>
      </c>
      <c r="B322" s="1653" t="s">
        <v>1168</v>
      </c>
      <c r="C322" s="1664" t="s">
        <v>2298</v>
      </c>
      <c r="D322" s="1570" t="s">
        <v>1169</v>
      </c>
      <c r="E322" s="1569" t="s">
        <v>1168</v>
      </c>
      <c r="F322" s="1569" t="s">
        <v>1170</v>
      </c>
      <c r="G322" s="1569" t="s">
        <v>1170</v>
      </c>
      <c r="H322" s="1655" t="s">
        <v>1170</v>
      </c>
      <c r="I322" s="1655" t="s">
        <v>1170</v>
      </c>
      <c r="J322" s="1698" t="s">
        <v>2299</v>
      </c>
      <c r="K322" s="1664" t="s">
        <v>2300</v>
      </c>
      <c r="L322" s="1655" t="s">
        <v>1170</v>
      </c>
      <c r="M322" s="1655" t="s">
        <v>1170</v>
      </c>
      <c r="N322" s="1655" t="s">
        <v>1170</v>
      </c>
      <c r="O322" s="1755">
        <v>43381</v>
      </c>
      <c r="P322" s="1755">
        <v>44842</v>
      </c>
      <c r="Q322" s="1770">
        <v>45206</v>
      </c>
      <c r="R322" s="1805">
        <v>750000</v>
      </c>
      <c r="S322" s="1570" t="s">
        <v>2301</v>
      </c>
      <c r="T322" s="1655" t="s">
        <v>1170</v>
      </c>
      <c r="U322" s="1655" t="s">
        <v>1170</v>
      </c>
      <c r="V322" s="1655"/>
      <c r="W322" s="1664" t="s">
        <v>1174</v>
      </c>
      <c r="X322" s="1664" t="s">
        <v>1175</v>
      </c>
      <c r="Y322" s="1876" t="s">
        <v>251</v>
      </c>
      <c r="Z322" s="1655" t="s">
        <v>1170</v>
      </c>
      <c r="AA322" s="1655" t="s">
        <v>1170</v>
      </c>
      <c r="AB322" s="1655" t="s">
        <v>1170</v>
      </c>
      <c r="AC322" s="1698" t="s">
        <v>2302</v>
      </c>
      <c r="AD322" s="1569" t="s">
        <v>1170</v>
      </c>
      <c r="AE322" s="1805">
        <v>750000</v>
      </c>
      <c r="AF322"/>
    </row>
    <row r="323" spans="1:32" s="305" customFormat="1">
      <c r="A323" s="1648">
        <v>44974</v>
      </c>
      <c r="B323" s="1653" t="s">
        <v>1168</v>
      </c>
      <c r="C323" s="1664" t="s">
        <v>2298</v>
      </c>
      <c r="D323" s="1570" t="s">
        <v>1169</v>
      </c>
      <c r="E323" s="1569" t="s">
        <v>1168</v>
      </c>
      <c r="F323" s="1569" t="s">
        <v>1170</v>
      </c>
      <c r="G323" s="1569" t="s">
        <v>1170</v>
      </c>
      <c r="H323" s="1655" t="s">
        <v>1170</v>
      </c>
      <c r="I323" s="1655" t="s">
        <v>1170</v>
      </c>
      <c r="J323" s="1698" t="s">
        <v>2299</v>
      </c>
      <c r="K323" s="1664" t="s">
        <v>2300</v>
      </c>
      <c r="L323" s="1655" t="s">
        <v>1170</v>
      </c>
      <c r="M323" s="1655" t="s">
        <v>1170</v>
      </c>
      <c r="N323" s="1655" t="s">
        <v>1170</v>
      </c>
      <c r="O323" s="1755">
        <v>43381</v>
      </c>
      <c r="P323" s="1755">
        <v>45016</v>
      </c>
      <c r="Q323" s="1667" t="s">
        <v>589</v>
      </c>
      <c r="R323" s="1805">
        <v>750000</v>
      </c>
      <c r="S323" s="1570" t="s">
        <v>2301</v>
      </c>
      <c r="T323" s="1655" t="s">
        <v>1170</v>
      </c>
      <c r="U323" s="1655" t="s">
        <v>1170</v>
      </c>
      <c r="V323" s="1655"/>
      <c r="W323" s="1664" t="s">
        <v>1174</v>
      </c>
      <c r="X323" s="1664" t="s">
        <v>1175</v>
      </c>
      <c r="Y323" s="1664" t="s">
        <v>251</v>
      </c>
      <c r="Z323" s="1655" t="s">
        <v>1170</v>
      </c>
      <c r="AA323" s="1655" t="s">
        <v>1170</v>
      </c>
      <c r="AB323" s="1655" t="s">
        <v>1170</v>
      </c>
      <c r="AC323" s="1698" t="s">
        <v>2303</v>
      </c>
      <c r="AD323" s="1569" t="s">
        <v>1170</v>
      </c>
      <c r="AE323" s="1805">
        <v>750000</v>
      </c>
      <c r="AF323"/>
    </row>
    <row r="324" spans="1:32" s="928" customFormat="1" ht="43.5">
      <c r="A324" s="1184"/>
      <c r="B324" s="271" t="s">
        <v>44</v>
      </c>
      <c r="C324" s="4"/>
      <c r="D324" s="118" t="s">
        <v>32</v>
      </c>
      <c r="E324" s="118"/>
      <c r="F324" s="118"/>
      <c r="G324" s="118"/>
      <c r="H324" s="5" t="s">
        <v>33</v>
      </c>
      <c r="I324" s="5" t="s">
        <v>34</v>
      </c>
      <c r="J324" s="16" t="s">
        <v>1793</v>
      </c>
      <c r="K324" s="16"/>
      <c r="L324" s="16"/>
      <c r="M324" s="182">
        <v>43191</v>
      </c>
      <c r="N324" s="182"/>
      <c r="O324" s="182">
        <v>43393</v>
      </c>
      <c r="P324" s="12">
        <v>120</v>
      </c>
      <c r="Q324" s="25" t="s">
        <v>2304</v>
      </c>
      <c r="R324" s="18">
        <v>184465</v>
      </c>
      <c r="S324" s="31" t="s">
        <v>91</v>
      </c>
      <c r="T324" s="12" t="s">
        <v>38</v>
      </c>
      <c r="U324" s="4"/>
      <c r="V324" s="4"/>
      <c r="W324" s="5" t="s">
        <v>2305</v>
      </c>
      <c r="X324" s="5" t="s">
        <v>86</v>
      </c>
      <c r="Y324" s="73" t="s">
        <v>40</v>
      </c>
      <c r="Z324" s="5"/>
      <c r="AA324" s="5"/>
      <c r="AB324" s="199">
        <v>43308</v>
      </c>
      <c r="AC324" s="36" t="s">
        <v>2306</v>
      </c>
      <c r="AD324" s="147"/>
      <c r="AE324" s="17">
        <v>12600</v>
      </c>
      <c r="AF324" s="2773"/>
    </row>
    <row r="325" spans="1:32" s="927" customFormat="1" ht="15" customHeight="1">
      <c r="A325" s="1184"/>
      <c r="B325" s="271" t="s">
        <v>44</v>
      </c>
      <c r="C325" s="4"/>
      <c r="D325" s="118" t="s">
        <v>32</v>
      </c>
      <c r="E325" s="118"/>
      <c r="F325" s="118"/>
      <c r="G325" s="118"/>
      <c r="H325" s="5" t="s">
        <v>33</v>
      </c>
      <c r="I325" s="5" t="s">
        <v>47</v>
      </c>
      <c r="J325" s="16" t="s">
        <v>1797</v>
      </c>
      <c r="K325" s="16"/>
      <c r="L325" s="16"/>
      <c r="M325" s="14">
        <v>43252</v>
      </c>
      <c r="N325" s="14"/>
      <c r="O325" s="182">
        <v>43394</v>
      </c>
      <c r="P325" s="12">
        <v>12</v>
      </c>
      <c r="Q325" s="5">
        <v>12</v>
      </c>
      <c r="R325" s="18">
        <v>21962.19</v>
      </c>
      <c r="S325" s="31" t="s">
        <v>130</v>
      </c>
      <c r="T325" s="12" t="s">
        <v>612</v>
      </c>
      <c r="U325" s="4"/>
      <c r="V325" s="4"/>
      <c r="W325" s="5" t="s">
        <v>383</v>
      </c>
      <c r="X325" s="5" t="s">
        <v>413</v>
      </c>
      <c r="Y325" s="5" t="s">
        <v>40</v>
      </c>
      <c r="Z325" s="5"/>
      <c r="AA325" s="17"/>
      <c r="AB325" s="199">
        <v>43388</v>
      </c>
      <c r="AC325" s="8" t="s">
        <v>2307</v>
      </c>
      <c r="AD325" s="147"/>
      <c r="AE325" s="12"/>
      <c r="AF325" s="2773"/>
    </row>
    <row r="326" spans="1:32" s="296" customFormat="1" ht="43.5">
      <c r="A326" s="1184"/>
      <c r="B326" s="271" t="s">
        <v>44</v>
      </c>
      <c r="C326" s="4"/>
      <c r="D326" s="118" t="s">
        <v>32</v>
      </c>
      <c r="E326" s="118"/>
      <c r="F326" s="118"/>
      <c r="G326" s="118"/>
      <c r="H326" s="5" t="s">
        <v>33</v>
      </c>
      <c r="I326" s="5" t="s">
        <v>47</v>
      </c>
      <c r="J326" s="16" t="s">
        <v>1797</v>
      </c>
      <c r="K326" s="16"/>
      <c r="L326" s="16"/>
      <c r="M326" s="14">
        <v>43252</v>
      </c>
      <c r="N326" s="14"/>
      <c r="O326" s="182">
        <v>43394</v>
      </c>
      <c r="P326" s="12">
        <v>12</v>
      </c>
      <c r="Q326" s="5">
        <v>12</v>
      </c>
      <c r="R326" s="18">
        <v>21962.19</v>
      </c>
      <c r="S326" s="31" t="s">
        <v>130</v>
      </c>
      <c r="T326" s="12" t="s">
        <v>612</v>
      </c>
      <c r="U326" s="4"/>
      <c r="V326" s="4"/>
      <c r="W326" s="5" t="s">
        <v>383</v>
      </c>
      <c r="X326" s="5" t="s">
        <v>413</v>
      </c>
      <c r="Y326" s="5" t="s">
        <v>40</v>
      </c>
      <c r="Z326" s="5"/>
      <c r="AA326" s="17"/>
      <c r="AB326" s="199">
        <v>43388</v>
      </c>
      <c r="AC326" s="8" t="s">
        <v>2307</v>
      </c>
      <c r="AD326" s="147"/>
      <c r="AE326" s="12"/>
      <c r="AF326" s="2841"/>
    </row>
    <row r="327" spans="1:32" s="927" customFormat="1" ht="15" customHeight="1">
      <c r="A327" s="1119"/>
      <c r="B327" s="959" t="s">
        <v>56</v>
      </c>
      <c r="C327" s="510" t="s">
        <v>2308</v>
      </c>
      <c r="D327" s="611" t="s">
        <v>57</v>
      </c>
      <c r="E327" s="611"/>
      <c r="F327" s="611"/>
      <c r="G327" s="611"/>
      <c r="H327" s="511" t="s">
        <v>58</v>
      </c>
      <c r="I327" s="519" t="s">
        <v>47</v>
      </c>
      <c r="J327" s="1578" t="s">
        <v>2309</v>
      </c>
      <c r="K327" s="512"/>
      <c r="L327" s="597">
        <v>43313</v>
      </c>
      <c r="M327" s="597"/>
      <c r="N327" s="597"/>
      <c r="O327" s="597">
        <v>43402</v>
      </c>
      <c r="P327" s="1767">
        <v>4</v>
      </c>
      <c r="Q327" s="1799">
        <v>4</v>
      </c>
      <c r="R327" s="1027">
        <v>500000</v>
      </c>
      <c r="S327" s="1043" t="s">
        <v>1937</v>
      </c>
      <c r="T327" s="515" t="s">
        <v>38</v>
      </c>
      <c r="U327" s="515"/>
      <c r="V327" s="515"/>
      <c r="W327" s="1064" t="s">
        <v>1940</v>
      </c>
      <c r="X327" s="330"/>
      <c r="Y327" s="336"/>
      <c r="Z327" s="120"/>
      <c r="AA327" s="186"/>
      <c r="AB327" s="120"/>
      <c r="AC327" s="120"/>
      <c r="AD327" s="336"/>
      <c r="AE327" s="120"/>
      <c r="AF327" s="2841"/>
    </row>
    <row r="328" spans="1:32" s="928" customFormat="1" ht="145">
      <c r="A328" s="1190"/>
      <c r="B328" s="271" t="s">
        <v>44</v>
      </c>
      <c r="C328" s="10"/>
      <c r="D328" s="118" t="s">
        <v>32</v>
      </c>
      <c r="E328" s="118"/>
      <c r="F328" s="118"/>
      <c r="G328" s="118"/>
      <c r="H328" s="5" t="s">
        <v>33</v>
      </c>
      <c r="I328" s="5" t="s">
        <v>47</v>
      </c>
      <c r="J328" s="16" t="s">
        <v>2310</v>
      </c>
      <c r="K328" s="16"/>
      <c r="L328" s="16"/>
      <c r="M328" s="182">
        <v>42826</v>
      </c>
      <c r="N328" s="182"/>
      <c r="O328" s="221">
        <v>43405</v>
      </c>
      <c r="P328" s="202">
        <v>60</v>
      </c>
      <c r="Q328" s="1025" t="s">
        <v>171</v>
      </c>
      <c r="R328" s="201">
        <v>256000</v>
      </c>
      <c r="S328" s="31" t="s">
        <v>91</v>
      </c>
      <c r="T328" s="12" t="s">
        <v>38</v>
      </c>
      <c r="U328" s="10"/>
      <c r="V328" s="10"/>
      <c r="W328" s="5" t="s">
        <v>2311</v>
      </c>
      <c r="X328" s="5" t="s">
        <v>543</v>
      </c>
      <c r="Y328" s="5" t="s">
        <v>40</v>
      </c>
      <c r="Z328" s="5"/>
      <c r="AA328" s="5"/>
      <c r="AB328" s="199">
        <v>43570</v>
      </c>
      <c r="AC328" s="8" t="s">
        <v>2312</v>
      </c>
      <c r="AD328" s="147"/>
      <c r="AE328" s="41" t="s">
        <v>500</v>
      </c>
      <c r="AF328" s="2773"/>
    </row>
    <row r="329" spans="1:32" s="296" customFormat="1" ht="97.4" customHeight="1">
      <c r="A329" s="1119"/>
      <c r="B329" s="271" t="s">
        <v>44</v>
      </c>
      <c r="C329" s="4"/>
      <c r="D329" s="118" t="s">
        <v>32</v>
      </c>
      <c r="E329" s="118"/>
      <c r="F329" s="118"/>
      <c r="G329" s="118"/>
      <c r="H329" s="5" t="s">
        <v>33</v>
      </c>
      <c r="I329" s="5" t="s">
        <v>34</v>
      </c>
      <c r="J329" s="16" t="s">
        <v>2313</v>
      </c>
      <c r="K329" s="16"/>
      <c r="L329" s="16"/>
      <c r="M329" s="182">
        <v>43040</v>
      </c>
      <c r="N329" s="182"/>
      <c r="O329" s="182">
        <v>43405</v>
      </c>
      <c r="P329" s="12">
        <v>12</v>
      </c>
      <c r="Q329" s="28" t="s">
        <v>50</v>
      </c>
      <c r="R329" s="18">
        <v>15900</v>
      </c>
      <c r="S329" s="31" t="s">
        <v>1639</v>
      </c>
      <c r="T329" s="12" t="s">
        <v>38</v>
      </c>
      <c r="U329" s="4"/>
      <c r="V329" s="4"/>
      <c r="W329" s="5" t="s">
        <v>142</v>
      </c>
      <c r="X329" s="5" t="s">
        <v>1598</v>
      </c>
      <c r="Y329" s="5" t="s">
        <v>40</v>
      </c>
      <c r="Z329" s="5"/>
      <c r="AA329" s="5"/>
      <c r="AB329" s="7"/>
      <c r="AC329" s="8" t="s">
        <v>2314</v>
      </c>
      <c r="AD329" s="147"/>
      <c r="AE329" s="17"/>
      <c r="AF329" s="2773"/>
    </row>
    <row r="330" spans="1:32" s="296" customFormat="1" ht="59.25" customHeight="1">
      <c r="A330" s="1184"/>
      <c r="B330" s="271" t="s">
        <v>44</v>
      </c>
      <c r="C330" s="4"/>
      <c r="D330" s="118" t="s">
        <v>57</v>
      </c>
      <c r="E330" s="118"/>
      <c r="F330" s="118"/>
      <c r="G330" s="118"/>
      <c r="H330" s="5" t="s">
        <v>2315</v>
      </c>
      <c r="I330" s="5" t="s">
        <v>47</v>
      </c>
      <c r="J330" s="16" t="s">
        <v>2316</v>
      </c>
      <c r="K330" s="16"/>
      <c r="L330" s="16"/>
      <c r="M330" s="14">
        <v>43103</v>
      </c>
      <c r="N330" s="14"/>
      <c r="O330" s="182">
        <v>43405</v>
      </c>
      <c r="P330" s="12">
        <v>60</v>
      </c>
      <c r="Q330" s="26" t="s">
        <v>171</v>
      </c>
      <c r="R330" s="18">
        <v>231600</v>
      </c>
      <c r="S330" s="31" t="s">
        <v>2110</v>
      </c>
      <c r="T330" s="14" t="s">
        <v>38</v>
      </c>
      <c r="U330" s="4"/>
      <c r="V330" s="4"/>
      <c r="W330" s="5" t="s">
        <v>2317</v>
      </c>
      <c r="X330" s="5" t="s">
        <v>543</v>
      </c>
      <c r="Y330" s="5" t="s">
        <v>40</v>
      </c>
      <c r="Z330" s="5"/>
      <c r="AA330" s="5"/>
      <c r="AB330" s="199">
        <v>43475</v>
      </c>
      <c r="AC330" s="8" t="s">
        <v>2191</v>
      </c>
      <c r="AD330" s="147"/>
      <c r="AE330" s="18" t="s">
        <v>2318</v>
      </c>
      <c r="AF330" s="2799"/>
    </row>
    <row r="331" spans="1:32" s="296" customFormat="1" ht="207" customHeight="1">
      <c r="A331" s="1184"/>
      <c r="B331" s="271" t="s">
        <v>44</v>
      </c>
      <c r="C331" s="4"/>
      <c r="D331" s="118" t="s">
        <v>32</v>
      </c>
      <c r="E331" s="118"/>
      <c r="F331" s="118"/>
      <c r="G331" s="118"/>
      <c r="H331" s="5" t="s">
        <v>502</v>
      </c>
      <c r="I331" s="5" t="s">
        <v>47</v>
      </c>
      <c r="J331" s="16" t="s">
        <v>507</v>
      </c>
      <c r="K331" s="8"/>
      <c r="L331" s="8"/>
      <c r="M331" s="182">
        <v>43132</v>
      </c>
      <c r="N331" s="182"/>
      <c r="O331" s="182">
        <v>43405</v>
      </c>
      <c r="P331" s="12">
        <v>48</v>
      </c>
      <c r="Q331" s="13" t="s">
        <v>215</v>
      </c>
      <c r="R331" s="18">
        <v>500000</v>
      </c>
      <c r="S331" s="5" t="s">
        <v>2110</v>
      </c>
      <c r="T331" s="12" t="s">
        <v>612</v>
      </c>
      <c r="U331" s="4"/>
      <c r="V331" s="4"/>
      <c r="W331" s="5" t="s">
        <v>509</v>
      </c>
      <c r="X331" s="5" t="s">
        <v>108</v>
      </c>
      <c r="Y331" s="5" t="s">
        <v>40</v>
      </c>
      <c r="Z331" s="5"/>
      <c r="AA331" s="1887"/>
      <c r="AB331" s="199">
        <v>43388</v>
      </c>
      <c r="AC331" s="36" t="s">
        <v>2319</v>
      </c>
      <c r="AD331" s="147"/>
      <c r="AE331" s="5"/>
      <c r="AF331" s="2773"/>
    </row>
    <row r="332" spans="1:32" s="1" customFormat="1" ht="72.5">
      <c r="A332" s="1184"/>
      <c r="B332" s="271" t="s">
        <v>44</v>
      </c>
      <c r="C332" s="4"/>
      <c r="D332" s="118" t="s">
        <v>57</v>
      </c>
      <c r="E332" s="118"/>
      <c r="F332" s="118"/>
      <c r="G332" s="118"/>
      <c r="H332" s="5" t="s">
        <v>33</v>
      </c>
      <c r="I332" s="5" t="s">
        <v>47</v>
      </c>
      <c r="J332" s="16" t="s">
        <v>1805</v>
      </c>
      <c r="K332" s="8"/>
      <c r="L332" s="8"/>
      <c r="M332" s="14">
        <v>43252</v>
      </c>
      <c r="N332" s="14"/>
      <c r="O332" s="14">
        <v>43405</v>
      </c>
      <c r="P332" s="12">
        <v>12</v>
      </c>
      <c r="Q332" s="26">
        <v>12</v>
      </c>
      <c r="R332" s="18">
        <v>3500</v>
      </c>
      <c r="S332" s="31" t="s">
        <v>1660</v>
      </c>
      <c r="T332" s="14"/>
      <c r="U332" s="4"/>
      <c r="V332" s="4"/>
      <c r="W332" s="5" t="s">
        <v>1806</v>
      </c>
      <c r="X332" s="5" t="s">
        <v>1613</v>
      </c>
      <c r="Y332" s="5" t="s">
        <v>40</v>
      </c>
      <c r="Z332" s="5"/>
      <c r="AA332" s="5"/>
      <c r="AB332" s="7"/>
      <c r="AC332" s="8" t="s">
        <v>1807</v>
      </c>
      <c r="AD332" s="1127" t="s">
        <v>2320</v>
      </c>
      <c r="AE332" s="85"/>
    </row>
    <row r="333" spans="1:32" s="295" customFormat="1" ht="72.5">
      <c r="A333" s="1184"/>
      <c r="B333" s="271" t="s">
        <v>44</v>
      </c>
      <c r="C333" s="4"/>
      <c r="D333" s="118" t="s">
        <v>57</v>
      </c>
      <c r="E333" s="118"/>
      <c r="F333" s="118"/>
      <c r="G333" s="118"/>
      <c r="H333" s="5" t="s">
        <v>33</v>
      </c>
      <c r="I333" s="5" t="s">
        <v>47</v>
      </c>
      <c r="J333" s="16" t="s">
        <v>1805</v>
      </c>
      <c r="K333" s="8"/>
      <c r="L333" s="8"/>
      <c r="M333" s="14">
        <v>43252</v>
      </c>
      <c r="N333" s="14"/>
      <c r="O333" s="14">
        <v>43405</v>
      </c>
      <c r="P333" s="12">
        <v>12</v>
      </c>
      <c r="Q333" s="26">
        <v>12</v>
      </c>
      <c r="R333" s="18">
        <v>3500</v>
      </c>
      <c r="S333" s="5" t="s">
        <v>1660</v>
      </c>
      <c r="T333" s="14"/>
      <c r="U333" s="4"/>
      <c r="V333" s="4"/>
      <c r="W333" s="5" t="s">
        <v>1806</v>
      </c>
      <c r="X333" s="5" t="s">
        <v>1613</v>
      </c>
      <c r="Y333" s="5" t="s">
        <v>40</v>
      </c>
      <c r="Z333" s="5"/>
      <c r="AA333" s="26"/>
      <c r="AB333" s="7"/>
      <c r="AC333" s="8" t="s">
        <v>1807</v>
      </c>
      <c r="AD333" s="1127" t="s">
        <v>2320</v>
      </c>
      <c r="AE333" s="85"/>
      <c r="AF333" s="1"/>
    </row>
    <row r="334" spans="1:32" s="295" customFormat="1" ht="29">
      <c r="A334" s="1184"/>
      <c r="B334" s="271" t="s">
        <v>44</v>
      </c>
      <c r="C334" s="4"/>
      <c r="D334" s="118" t="s">
        <v>57</v>
      </c>
      <c r="E334" s="118"/>
      <c r="F334" s="118"/>
      <c r="G334" s="118"/>
      <c r="H334" s="5" t="s">
        <v>1619</v>
      </c>
      <c r="I334" s="5" t="s">
        <v>268</v>
      </c>
      <c r="J334" s="16" t="s">
        <v>2321</v>
      </c>
      <c r="K334" s="16"/>
      <c r="L334" s="16"/>
      <c r="M334" s="182">
        <v>43374</v>
      </c>
      <c r="N334" s="182"/>
      <c r="O334" s="182">
        <v>43405</v>
      </c>
      <c r="P334" s="12" t="s">
        <v>2322</v>
      </c>
      <c r="Q334" s="25" t="s">
        <v>215</v>
      </c>
      <c r="R334" s="18">
        <v>75000</v>
      </c>
      <c r="S334" s="5" t="s">
        <v>270</v>
      </c>
      <c r="T334" s="12" t="s">
        <v>38</v>
      </c>
      <c r="U334" s="4"/>
      <c r="V334" s="4"/>
      <c r="W334" s="5" t="s">
        <v>1622</v>
      </c>
      <c r="X334" s="5" t="s">
        <v>125</v>
      </c>
      <c r="Y334" s="5" t="s">
        <v>40</v>
      </c>
      <c r="Z334" s="5"/>
      <c r="AA334" s="26"/>
      <c r="AB334" s="199">
        <v>43479</v>
      </c>
      <c r="AC334" s="36" t="s">
        <v>2323</v>
      </c>
      <c r="AD334" s="147"/>
      <c r="AE334" s="41"/>
      <c r="AF334" s="2773"/>
    </row>
    <row r="335" spans="1:32" s="295" customFormat="1" ht="37.5">
      <c r="A335" s="1119"/>
      <c r="B335" s="959" t="s">
        <v>56</v>
      </c>
      <c r="C335" s="529" t="s">
        <v>1551</v>
      </c>
      <c r="D335" s="680" t="s">
        <v>57</v>
      </c>
      <c r="E335" s="680"/>
      <c r="F335" s="680"/>
      <c r="G335" s="680"/>
      <c r="H335" s="680" t="s">
        <v>58</v>
      </c>
      <c r="I335" s="985" t="s">
        <v>47</v>
      </c>
      <c r="J335" s="1702" t="s">
        <v>2324</v>
      </c>
      <c r="K335" s="1726"/>
      <c r="L335" s="998">
        <v>43399</v>
      </c>
      <c r="M335" s="1748"/>
      <c r="N335" s="998"/>
      <c r="O335" s="1734">
        <v>43405</v>
      </c>
      <c r="P335" s="1012">
        <v>1</v>
      </c>
      <c r="Q335" s="677">
        <v>1</v>
      </c>
      <c r="R335" s="1819">
        <v>127829.94</v>
      </c>
      <c r="S335" s="1054" t="s">
        <v>529</v>
      </c>
      <c r="T335" s="686" t="s">
        <v>38</v>
      </c>
      <c r="U335" s="686"/>
      <c r="V335" s="686"/>
      <c r="W335" s="985" t="s">
        <v>2325</v>
      </c>
      <c r="X335" s="330"/>
      <c r="Y335" s="330"/>
      <c r="Z335" s="330"/>
      <c r="AA335" s="330"/>
      <c r="AB335" s="120"/>
      <c r="AC335" s="330"/>
      <c r="AD335" s="330"/>
      <c r="AE335" s="330"/>
      <c r="AF335" s="2799"/>
    </row>
    <row r="336" spans="1:32" s="295" customFormat="1" ht="136.5" customHeight="1">
      <c r="A336" s="1119"/>
      <c r="B336" s="271" t="s">
        <v>44</v>
      </c>
      <c r="C336" s="4"/>
      <c r="D336" s="118" t="s">
        <v>32</v>
      </c>
      <c r="E336" s="118"/>
      <c r="F336" s="118"/>
      <c r="G336" s="118"/>
      <c r="H336" s="5" t="s">
        <v>33</v>
      </c>
      <c r="I336" s="5" t="s">
        <v>47</v>
      </c>
      <c r="J336" s="16" t="s">
        <v>2326</v>
      </c>
      <c r="K336" s="16"/>
      <c r="L336" s="16"/>
      <c r="M336" s="199">
        <v>43009</v>
      </c>
      <c r="N336" s="199"/>
      <c r="O336" s="182">
        <v>43409</v>
      </c>
      <c r="P336" s="31">
        <v>48</v>
      </c>
      <c r="Q336" s="31" t="s">
        <v>82</v>
      </c>
      <c r="R336" s="209">
        <v>294800</v>
      </c>
      <c r="S336" s="31" t="s">
        <v>84</v>
      </c>
      <c r="T336" s="5" t="s">
        <v>38</v>
      </c>
      <c r="U336" s="4"/>
      <c r="V336" s="4"/>
      <c r="W336" s="26" t="s">
        <v>2185</v>
      </c>
      <c r="X336" s="283" t="s">
        <v>543</v>
      </c>
      <c r="Y336" s="31" t="s">
        <v>40</v>
      </c>
      <c r="Z336" s="5"/>
      <c r="AA336" s="26"/>
      <c r="AB336" s="199">
        <v>43536</v>
      </c>
      <c r="AC336" s="8" t="s">
        <v>2327</v>
      </c>
      <c r="AD336" s="147"/>
      <c r="AE336" s="41">
        <v>34000</v>
      </c>
      <c r="AF336" s="1"/>
    </row>
    <row r="337" spans="1:32" s="295" customFormat="1" ht="29">
      <c r="A337" s="1194"/>
      <c r="B337" s="271" t="s">
        <v>44</v>
      </c>
      <c r="C337" s="4"/>
      <c r="D337" s="118" t="s">
        <v>32</v>
      </c>
      <c r="E337" s="118"/>
      <c r="F337" s="118"/>
      <c r="G337" s="118"/>
      <c r="H337" s="5" t="s">
        <v>33</v>
      </c>
      <c r="I337" s="5" t="s">
        <v>47</v>
      </c>
      <c r="J337" s="16" t="s">
        <v>2328</v>
      </c>
      <c r="K337" s="16"/>
      <c r="L337" s="16"/>
      <c r="M337" s="2764">
        <v>43040</v>
      </c>
      <c r="N337" s="2764"/>
      <c r="O337" s="2764">
        <v>43410</v>
      </c>
      <c r="P337" s="2763">
        <v>12</v>
      </c>
      <c r="Q337" s="2753">
        <v>12</v>
      </c>
      <c r="R337" s="18">
        <v>70000</v>
      </c>
      <c r="S337" s="2763" t="s">
        <v>2110</v>
      </c>
      <c r="T337" s="2763" t="s">
        <v>38</v>
      </c>
      <c r="U337" s="4"/>
      <c r="V337" s="4"/>
      <c r="W337" s="2763" t="s">
        <v>239</v>
      </c>
      <c r="X337" s="2751" t="s">
        <v>86</v>
      </c>
      <c r="Y337" s="5" t="s">
        <v>40</v>
      </c>
      <c r="Z337" s="5"/>
      <c r="AA337" s="2798"/>
      <c r="AB337" s="2759">
        <v>43486</v>
      </c>
      <c r="AC337" s="2758" t="s">
        <v>2329</v>
      </c>
      <c r="AD337" s="147"/>
      <c r="AE337" s="2845"/>
      <c r="AF337" s="1"/>
    </row>
    <row r="338" spans="1:32" s="295" customFormat="1" ht="72.5">
      <c r="A338" s="1184"/>
      <c r="B338" s="271" t="s">
        <v>44</v>
      </c>
      <c r="C338" s="4"/>
      <c r="D338" s="118" t="s">
        <v>32</v>
      </c>
      <c r="E338" s="118"/>
      <c r="F338" s="118"/>
      <c r="G338" s="118"/>
      <c r="H338" s="5" t="s">
        <v>1770</v>
      </c>
      <c r="I338" s="5" t="s">
        <v>47</v>
      </c>
      <c r="J338" s="16" t="s">
        <v>2330</v>
      </c>
      <c r="K338" s="8"/>
      <c r="L338" s="8"/>
      <c r="M338" s="199">
        <v>43221</v>
      </c>
      <c r="N338" s="199"/>
      <c r="O338" s="199">
        <v>43411</v>
      </c>
      <c r="P338" s="5">
        <v>12</v>
      </c>
      <c r="Q338" s="7" t="s">
        <v>50</v>
      </c>
      <c r="R338" s="18">
        <v>23000</v>
      </c>
      <c r="S338" s="5" t="s">
        <v>37</v>
      </c>
      <c r="T338" s="11" t="s">
        <v>38</v>
      </c>
      <c r="U338" s="4"/>
      <c r="V338" s="4"/>
      <c r="W338" s="5" t="s">
        <v>1849</v>
      </c>
      <c r="X338" s="5" t="s">
        <v>1892</v>
      </c>
      <c r="Y338" s="5" t="s">
        <v>40</v>
      </c>
      <c r="Z338" s="5"/>
      <c r="AA338" s="5"/>
      <c r="AB338" s="199">
        <v>43476</v>
      </c>
      <c r="AC338" s="110" t="s">
        <v>2331</v>
      </c>
      <c r="AD338" s="1126"/>
      <c r="AE338" s="41"/>
      <c r="AF338" s="2773"/>
    </row>
    <row r="339" spans="1:32" s="295" customFormat="1" ht="72.5">
      <c r="A339" s="2756"/>
      <c r="B339" s="271" t="s">
        <v>44</v>
      </c>
      <c r="C339" s="4"/>
      <c r="D339" s="118" t="s">
        <v>32</v>
      </c>
      <c r="E339" s="118"/>
      <c r="F339" s="118"/>
      <c r="G339" s="118"/>
      <c r="H339" s="5" t="s">
        <v>1770</v>
      </c>
      <c r="I339" s="5" t="s">
        <v>47</v>
      </c>
      <c r="J339" s="16" t="s">
        <v>2330</v>
      </c>
      <c r="K339" s="8"/>
      <c r="L339" s="8"/>
      <c r="M339" s="199">
        <v>43221</v>
      </c>
      <c r="N339" s="199"/>
      <c r="O339" s="199">
        <v>43411</v>
      </c>
      <c r="P339" s="5">
        <v>12</v>
      </c>
      <c r="Q339" s="7" t="s">
        <v>50</v>
      </c>
      <c r="R339" s="18">
        <v>23000</v>
      </c>
      <c r="S339" s="31" t="s">
        <v>37</v>
      </c>
      <c r="T339" s="11" t="s">
        <v>38</v>
      </c>
      <c r="U339" s="4"/>
      <c r="V339" s="4"/>
      <c r="W339" s="5" t="s">
        <v>1849</v>
      </c>
      <c r="X339" s="5" t="s">
        <v>1892</v>
      </c>
      <c r="Y339" s="5" t="s">
        <v>40</v>
      </c>
      <c r="Z339" s="5"/>
      <c r="AA339" s="5"/>
      <c r="AB339" s="199">
        <v>43476</v>
      </c>
      <c r="AC339" s="36" t="s">
        <v>2331</v>
      </c>
      <c r="AD339" s="1126"/>
      <c r="AE339" s="41"/>
      <c r="AF339" s="2773"/>
    </row>
    <row r="340" spans="1:32" s="296" customFormat="1" ht="58">
      <c r="A340" s="1184"/>
      <c r="B340" s="271" t="s">
        <v>44</v>
      </c>
      <c r="C340" s="2755" t="s">
        <v>2332</v>
      </c>
      <c r="D340" s="118" t="s">
        <v>122</v>
      </c>
      <c r="E340" s="118"/>
      <c r="F340" s="118"/>
      <c r="G340" s="118"/>
      <c r="H340" s="5" t="s">
        <v>33</v>
      </c>
      <c r="I340" s="5" t="s">
        <v>34</v>
      </c>
      <c r="J340" s="16" t="s">
        <v>2333</v>
      </c>
      <c r="K340" s="16"/>
      <c r="L340" s="16"/>
      <c r="M340" s="182">
        <v>43101</v>
      </c>
      <c r="N340" s="182"/>
      <c r="O340" s="182">
        <v>43415</v>
      </c>
      <c r="P340" s="12">
        <v>16</v>
      </c>
      <c r="Q340" s="25" t="s">
        <v>2334</v>
      </c>
      <c r="R340" s="18">
        <v>104300</v>
      </c>
      <c r="S340" s="31" t="s">
        <v>529</v>
      </c>
      <c r="T340" s="12" t="s">
        <v>38</v>
      </c>
      <c r="U340" s="2757"/>
      <c r="V340" s="2757"/>
      <c r="W340" s="5" t="s">
        <v>142</v>
      </c>
      <c r="X340" s="5" t="s">
        <v>543</v>
      </c>
      <c r="Y340" s="5" t="s">
        <v>40</v>
      </c>
      <c r="Z340" s="5"/>
      <c r="AA340" s="5"/>
      <c r="AB340" s="199">
        <v>43486</v>
      </c>
      <c r="AC340" s="8" t="s">
        <v>2335</v>
      </c>
      <c r="AD340" s="147"/>
      <c r="AE340" s="211" t="s">
        <v>2336</v>
      </c>
      <c r="AF340" s="2799"/>
    </row>
    <row r="341" spans="1:32" s="1" customFormat="1" ht="29">
      <c r="A341" s="1184"/>
      <c r="B341" s="271" t="s">
        <v>44</v>
      </c>
      <c r="C341" s="4"/>
      <c r="D341" s="32" t="s">
        <v>32</v>
      </c>
      <c r="E341" s="32"/>
      <c r="F341" s="32"/>
      <c r="G341" s="32"/>
      <c r="H341" s="5" t="s">
        <v>33</v>
      </c>
      <c r="I341" s="5" t="s">
        <v>47</v>
      </c>
      <c r="J341" s="111" t="s">
        <v>2337</v>
      </c>
      <c r="K341" s="111"/>
      <c r="L341" s="16"/>
      <c r="M341" s="182">
        <v>43344</v>
      </c>
      <c r="N341" s="182"/>
      <c r="O341" s="182">
        <v>43418</v>
      </c>
      <c r="P341" s="12">
        <v>12</v>
      </c>
      <c r="Q341" s="333" t="s">
        <v>50</v>
      </c>
      <c r="R341" s="18">
        <v>1151.92</v>
      </c>
      <c r="S341" s="31" t="s">
        <v>130</v>
      </c>
      <c r="T341" s="5" t="s">
        <v>38</v>
      </c>
      <c r="U341" s="11" t="s">
        <v>67</v>
      </c>
      <c r="V341" s="11"/>
      <c r="W341" s="5" t="s">
        <v>383</v>
      </c>
      <c r="X341" s="5" t="s">
        <v>1892</v>
      </c>
      <c r="Y341" s="5" t="s">
        <v>115</v>
      </c>
      <c r="Z341" s="5"/>
      <c r="AA341" s="5"/>
      <c r="AB341" s="199">
        <v>43900</v>
      </c>
      <c r="AC341" s="8" t="s">
        <v>2338</v>
      </c>
      <c r="AD341" s="20" t="s">
        <v>2339</v>
      </c>
      <c r="AE341" s="40"/>
      <c r="AF341" s="2799"/>
    </row>
    <row r="342" spans="1:32" s="295" customFormat="1" ht="58.5" customHeight="1">
      <c r="A342" s="1119"/>
      <c r="B342" s="959" t="s">
        <v>56</v>
      </c>
      <c r="C342" s="510" t="s">
        <v>2340</v>
      </c>
      <c r="D342" s="611" t="s">
        <v>32</v>
      </c>
      <c r="E342" s="611"/>
      <c r="F342" s="611"/>
      <c r="G342" s="611"/>
      <c r="H342" s="511" t="s">
        <v>308</v>
      </c>
      <c r="I342" s="519" t="s">
        <v>47</v>
      </c>
      <c r="J342" s="1578" t="s">
        <v>2341</v>
      </c>
      <c r="K342" s="512"/>
      <c r="L342" s="597">
        <v>43252</v>
      </c>
      <c r="M342" s="597"/>
      <c r="N342" s="597"/>
      <c r="O342" s="597">
        <v>43433</v>
      </c>
      <c r="P342" s="1767">
        <v>48</v>
      </c>
      <c r="Q342" s="1767" t="s">
        <v>60</v>
      </c>
      <c r="R342" s="1027">
        <f>24000000/3*4</f>
        <v>32000000</v>
      </c>
      <c r="S342" s="1043" t="s">
        <v>60</v>
      </c>
      <c r="T342" s="515" t="s">
        <v>70</v>
      </c>
      <c r="U342" s="515"/>
      <c r="V342" s="515"/>
      <c r="W342" s="984" t="s">
        <v>714</v>
      </c>
      <c r="X342" s="1083"/>
      <c r="Y342" s="336"/>
      <c r="Z342" s="120"/>
      <c r="AA342" s="186"/>
      <c r="AB342" s="120"/>
      <c r="AC342" s="120"/>
      <c r="AD342" s="336"/>
      <c r="AE342" s="120"/>
      <c r="AF342" s="1"/>
    </row>
    <row r="343" spans="1:32" s="295" customFormat="1" ht="58">
      <c r="A343" s="1185"/>
      <c r="B343" s="271" t="s">
        <v>44</v>
      </c>
      <c r="C343" s="2757"/>
      <c r="D343" s="118" t="s">
        <v>32</v>
      </c>
      <c r="E343" s="118"/>
      <c r="F343" s="118"/>
      <c r="G343" s="118"/>
      <c r="H343" s="5" t="s">
        <v>444</v>
      </c>
      <c r="I343" s="5" t="s">
        <v>47</v>
      </c>
      <c r="J343" s="16" t="s">
        <v>2342</v>
      </c>
      <c r="K343" s="8"/>
      <c r="L343" s="8"/>
      <c r="M343" s="199">
        <v>43101</v>
      </c>
      <c r="N343" s="199"/>
      <c r="O343" s="199">
        <v>43434</v>
      </c>
      <c r="P343" s="5">
        <v>27</v>
      </c>
      <c r="Q343" s="7" t="s">
        <v>2343</v>
      </c>
      <c r="R343" s="18">
        <v>300000</v>
      </c>
      <c r="S343" s="5" t="s">
        <v>84</v>
      </c>
      <c r="T343" s="11" t="s">
        <v>38</v>
      </c>
      <c r="U343" s="2757"/>
      <c r="V343" s="2757"/>
      <c r="W343" s="5" t="s">
        <v>2344</v>
      </c>
      <c r="X343" s="5" t="s">
        <v>86</v>
      </c>
      <c r="Y343" s="5" t="s">
        <v>40</v>
      </c>
      <c r="Z343" s="5"/>
      <c r="AA343" s="26"/>
      <c r="AB343" s="199">
        <v>43487</v>
      </c>
      <c r="AC343" s="8" t="s">
        <v>2345</v>
      </c>
      <c r="AD343" s="147"/>
      <c r="AE343" s="41"/>
      <c r="AF343" s="1"/>
    </row>
    <row r="344" spans="1:32" s="295" customFormat="1" ht="58">
      <c r="A344" s="498"/>
      <c r="B344" s="398" t="s">
        <v>100</v>
      </c>
      <c r="C344" s="410" t="s">
        <v>2346</v>
      </c>
      <c r="D344" s="472" t="s">
        <v>110</v>
      </c>
      <c r="E344" s="472"/>
      <c r="F344" s="472"/>
      <c r="G344" s="472"/>
      <c r="H344" s="416" t="s">
        <v>103</v>
      </c>
      <c r="I344" s="416" t="s">
        <v>47</v>
      </c>
      <c r="J344" s="1581" t="s">
        <v>2347</v>
      </c>
      <c r="K344" s="416"/>
      <c r="L344" s="416">
        <v>12</v>
      </c>
      <c r="M344" s="421">
        <f>IFERROR(EDATE(N344,-3),"Invalid procurement method or date entered")</f>
        <v>42979</v>
      </c>
      <c r="N344" s="417">
        <f>IFERROR(EDATE(O344,-L344),"Invalid procurement method or date entered")</f>
        <v>43070</v>
      </c>
      <c r="O344" s="417">
        <v>43435</v>
      </c>
      <c r="P344" s="418"/>
      <c r="Q344" s="1794"/>
      <c r="R344" s="419">
        <v>12339600</v>
      </c>
      <c r="S344" s="508" t="s">
        <v>182</v>
      </c>
      <c r="T344" s="420" t="s">
        <v>38</v>
      </c>
      <c r="U344" s="420" t="s">
        <v>2348</v>
      </c>
      <c r="V344" s="420"/>
      <c r="W344" s="416" t="s">
        <v>183</v>
      </c>
      <c r="X344" s="416" t="s">
        <v>108</v>
      </c>
      <c r="Y344" s="416" t="s">
        <v>1161</v>
      </c>
      <c r="Z344" s="416"/>
      <c r="AA344" s="84" t="s">
        <v>69</v>
      </c>
      <c r="AB344" s="406" t="s">
        <v>70</v>
      </c>
      <c r="AC344" s="421">
        <v>43864</v>
      </c>
      <c r="AD344" s="1129"/>
      <c r="AE344" s="421"/>
      <c r="AF344" s="2799"/>
    </row>
    <row r="345" spans="1:32" s="295" customFormat="1" ht="58">
      <c r="A345" s="498"/>
      <c r="B345" s="398" t="s">
        <v>100</v>
      </c>
      <c r="C345" s="410" t="s">
        <v>2349</v>
      </c>
      <c r="D345" s="472" t="s">
        <v>110</v>
      </c>
      <c r="E345" s="472"/>
      <c r="F345" s="472"/>
      <c r="G345" s="472"/>
      <c r="H345" s="416" t="s">
        <v>103</v>
      </c>
      <c r="I345" s="416" t="s">
        <v>47</v>
      </c>
      <c r="J345" s="1581" t="s">
        <v>2350</v>
      </c>
      <c r="K345" s="416"/>
      <c r="L345" s="416">
        <v>12</v>
      </c>
      <c r="M345" s="421">
        <f>IFERROR(EDATE(N345,-3),"Invalid procurement method or date entered")</f>
        <v>42979</v>
      </c>
      <c r="N345" s="417">
        <f>IFERROR(EDATE(O345,-L345),"Invalid procurement method or date entered")</f>
        <v>43070</v>
      </c>
      <c r="O345" s="417">
        <v>43435</v>
      </c>
      <c r="P345" s="418"/>
      <c r="Q345" s="418"/>
      <c r="R345" s="419">
        <v>9319892</v>
      </c>
      <c r="S345" s="508" t="s">
        <v>182</v>
      </c>
      <c r="T345" s="420" t="s">
        <v>38</v>
      </c>
      <c r="U345" s="420" t="s">
        <v>2348</v>
      </c>
      <c r="V345" s="420"/>
      <c r="W345" s="416" t="s">
        <v>183</v>
      </c>
      <c r="X345" s="416" t="s">
        <v>108</v>
      </c>
      <c r="Y345" s="416" t="s">
        <v>1161</v>
      </c>
      <c r="Z345" s="416"/>
      <c r="AA345" s="84" t="s">
        <v>69</v>
      </c>
      <c r="AB345" s="406" t="s">
        <v>70</v>
      </c>
      <c r="AC345" s="421">
        <v>43864</v>
      </c>
      <c r="AD345" s="1129"/>
      <c r="AE345" s="421"/>
      <c r="AF345" s="2773"/>
    </row>
    <row r="346" spans="1:32" s="295" customFormat="1" ht="58">
      <c r="A346" s="1119"/>
      <c r="B346" s="398" t="s">
        <v>100</v>
      </c>
      <c r="C346" s="410" t="s">
        <v>2351</v>
      </c>
      <c r="D346" s="472" t="s">
        <v>110</v>
      </c>
      <c r="E346" s="472"/>
      <c r="F346" s="472"/>
      <c r="G346" s="472"/>
      <c r="H346" s="416" t="s">
        <v>103</v>
      </c>
      <c r="I346" s="416" t="s">
        <v>47</v>
      </c>
      <c r="J346" s="1581" t="s">
        <v>2352</v>
      </c>
      <c r="K346" s="416"/>
      <c r="L346" s="416">
        <v>12</v>
      </c>
      <c r="M346" s="421">
        <f>IFERROR(EDATE(N346,-3),"Invalid procurement method or date entered")</f>
        <v>42979</v>
      </c>
      <c r="N346" s="417">
        <f>IFERROR(EDATE(O346,-L346),"Invalid procurement method or date entered")</f>
        <v>43070</v>
      </c>
      <c r="O346" s="417">
        <v>43435</v>
      </c>
      <c r="P346" s="418"/>
      <c r="Q346" s="418"/>
      <c r="R346" s="419">
        <v>10549516</v>
      </c>
      <c r="S346" s="508" t="s">
        <v>182</v>
      </c>
      <c r="T346" s="420" t="s">
        <v>38</v>
      </c>
      <c r="U346" s="420" t="s">
        <v>2348</v>
      </c>
      <c r="V346" s="420"/>
      <c r="W346" s="416" t="s">
        <v>183</v>
      </c>
      <c r="X346" s="416" t="s">
        <v>108</v>
      </c>
      <c r="Y346" s="416" t="s">
        <v>727</v>
      </c>
      <c r="Z346" s="416"/>
      <c r="AA346" s="84" t="s">
        <v>69</v>
      </c>
      <c r="AB346" s="406" t="s">
        <v>70</v>
      </c>
      <c r="AC346" s="421">
        <v>43864</v>
      </c>
      <c r="AD346" s="1129"/>
      <c r="AE346" s="421"/>
      <c r="AF346" s="2799"/>
    </row>
    <row r="347" spans="1:32" s="295" customFormat="1" ht="58">
      <c r="A347" s="1184"/>
      <c r="B347" s="271" t="s">
        <v>44</v>
      </c>
      <c r="C347" s="4"/>
      <c r="D347" s="118" t="s">
        <v>32</v>
      </c>
      <c r="E347" s="118"/>
      <c r="F347" s="118"/>
      <c r="G347" s="118"/>
      <c r="H347" s="5" t="s">
        <v>2353</v>
      </c>
      <c r="I347" s="5" t="s">
        <v>47</v>
      </c>
      <c r="J347" s="16" t="s">
        <v>2354</v>
      </c>
      <c r="K347" s="8"/>
      <c r="L347" s="8"/>
      <c r="M347" s="14">
        <v>43101</v>
      </c>
      <c r="N347" s="14"/>
      <c r="O347" s="14">
        <v>43435</v>
      </c>
      <c r="P347" s="27">
        <v>12</v>
      </c>
      <c r="Q347" s="283">
        <v>12</v>
      </c>
      <c r="R347" s="209">
        <v>70000</v>
      </c>
      <c r="S347" s="5" t="s">
        <v>2110</v>
      </c>
      <c r="T347" s="14" t="s">
        <v>38</v>
      </c>
      <c r="U347" s="4"/>
      <c r="V347" s="4"/>
      <c r="W347" s="5" t="s">
        <v>2355</v>
      </c>
      <c r="X347" s="5" t="s">
        <v>1962</v>
      </c>
      <c r="Y347" s="5" t="s">
        <v>40</v>
      </c>
      <c r="Z347" s="5"/>
      <c r="AA347" s="26"/>
      <c r="AB347" s="199">
        <v>43487</v>
      </c>
      <c r="AC347" s="116" t="s">
        <v>2356</v>
      </c>
      <c r="AD347" s="147"/>
      <c r="AE347" s="41"/>
      <c r="AF347" s="2773"/>
    </row>
    <row r="348" spans="1:32" s="296" customFormat="1" ht="58">
      <c r="A348" s="2756"/>
      <c r="B348" s="271" t="s">
        <v>44</v>
      </c>
      <c r="C348" s="4"/>
      <c r="D348" s="118" t="s">
        <v>32</v>
      </c>
      <c r="E348" s="118"/>
      <c r="F348" s="118"/>
      <c r="G348" s="118"/>
      <c r="H348" s="5" t="s">
        <v>33</v>
      </c>
      <c r="I348" s="5" t="s">
        <v>47</v>
      </c>
      <c r="J348" s="268" t="s">
        <v>2357</v>
      </c>
      <c r="K348" s="179"/>
      <c r="L348" s="179"/>
      <c r="M348" s="199">
        <v>43221</v>
      </c>
      <c r="N348" s="199"/>
      <c r="O348" s="199">
        <v>43435</v>
      </c>
      <c r="P348" s="5">
        <v>36</v>
      </c>
      <c r="Q348" s="25" t="s">
        <v>98</v>
      </c>
      <c r="R348" s="18">
        <v>38713</v>
      </c>
      <c r="S348" s="31" t="s">
        <v>84</v>
      </c>
      <c r="T348" s="11" t="s">
        <v>38</v>
      </c>
      <c r="U348" s="4"/>
      <c r="V348" s="4"/>
      <c r="W348" s="5" t="s">
        <v>2358</v>
      </c>
      <c r="X348" s="5" t="s">
        <v>86</v>
      </c>
      <c r="Y348" s="5" t="s">
        <v>40</v>
      </c>
      <c r="Z348" s="5"/>
      <c r="AA348" s="5"/>
      <c r="AB348" s="199">
        <v>43558</v>
      </c>
      <c r="AC348" s="36" t="s">
        <v>89</v>
      </c>
      <c r="AD348" s="2792"/>
      <c r="AE348" s="41"/>
      <c r="AF348" s="2799"/>
    </row>
    <row r="349" spans="1:32" s="296" customFormat="1" ht="58">
      <c r="A349" s="2756"/>
      <c r="B349" s="271" t="s">
        <v>44</v>
      </c>
      <c r="C349" s="4"/>
      <c r="D349" s="118" t="s">
        <v>32</v>
      </c>
      <c r="E349" s="118"/>
      <c r="F349" s="118"/>
      <c r="G349" s="118"/>
      <c r="H349" s="5" t="s">
        <v>33</v>
      </c>
      <c r="I349" s="5" t="s">
        <v>47</v>
      </c>
      <c r="J349" s="268" t="s">
        <v>2357</v>
      </c>
      <c r="K349" s="179"/>
      <c r="L349" s="179"/>
      <c r="M349" s="199">
        <v>43221</v>
      </c>
      <c r="N349" s="199"/>
      <c r="O349" s="199">
        <v>43435</v>
      </c>
      <c r="P349" s="5">
        <v>36</v>
      </c>
      <c r="Q349" s="25" t="s">
        <v>98</v>
      </c>
      <c r="R349" s="18">
        <v>38713</v>
      </c>
      <c r="S349" s="31" t="s">
        <v>84</v>
      </c>
      <c r="T349" s="11" t="s">
        <v>38</v>
      </c>
      <c r="U349" s="4"/>
      <c r="V349" s="4"/>
      <c r="W349" s="5" t="s">
        <v>2358</v>
      </c>
      <c r="X349" s="5" t="s">
        <v>86</v>
      </c>
      <c r="Y349" s="5" t="s">
        <v>40</v>
      </c>
      <c r="Z349" s="5"/>
      <c r="AA349" s="5"/>
      <c r="AB349" s="199">
        <v>43558</v>
      </c>
      <c r="AC349" s="36" t="s">
        <v>89</v>
      </c>
      <c r="AD349" s="2792"/>
      <c r="AE349" s="41"/>
      <c r="AF349" s="2799"/>
    </row>
    <row r="350" spans="1:32" s="296" customFormat="1" ht="43.5">
      <c r="A350" s="1184"/>
      <c r="B350" s="271" t="s">
        <v>44</v>
      </c>
      <c r="C350" s="4"/>
      <c r="D350" s="118" t="s">
        <v>32</v>
      </c>
      <c r="E350" s="118"/>
      <c r="F350" s="118"/>
      <c r="G350" s="118"/>
      <c r="H350" s="5" t="s">
        <v>33</v>
      </c>
      <c r="I350" s="5" t="s">
        <v>47</v>
      </c>
      <c r="J350" s="16" t="s">
        <v>2359</v>
      </c>
      <c r="K350" s="16"/>
      <c r="L350" s="16"/>
      <c r="M350" s="182">
        <v>43073</v>
      </c>
      <c r="N350" s="182"/>
      <c r="O350" s="182">
        <v>43438</v>
      </c>
      <c r="P350" s="12">
        <v>60</v>
      </c>
      <c r="Q350" s="25" t="s">
        <v>171</v>
      </c>
      <c r="R350" s="19">
        <v>87414.38</v>
      </c>
      <c r="S350" s="31" t="s">
        <v>176</v>
      </c>
      <c r="T350" s="12" t="s">
        <v>38</v>
      </c>
      <c r="U350" s="4"/>
      <c r="V350" s="4"/>
      <c r="W350" s="5" t="s">
        <v>383</v>
      </c>
      <c r="X350" s="5" t="s">
        <v>1764</v>
      </c>
      <c r="Y350" s="5" t="s">
        <v>40</v>
      </c>
      <c r="Z350" s="5"/>
      <c r="AA350" s="5"/>
      <c r="AB350" s="199">
        <v>43514</v>
      </c>
      <c r="AC350" s="8" t="s">
        <v>2360</v>
      </c>
      <c r="AD350" s="147"/>
      <c r="AE350" s="40" t="s">
        <v>2361</v>
      </c>
      <c r="AF350" s="2799"/>
    </row>
    <row r="351" spans="1:32" s="296" customFormat="1" ht="14.5">
      <c r="A351" s="1184"/>
      <c r="B351" s="271" t="s">
        <v>44</v>
      </c>
      <c r="C351" s="4"/>
      <c r="D351" s="118" t="s">
        <v>32</v>
      </c>
      <c r="E351" s="118"/>
      <c r="F351" s="118"/>
      <c r="G351" s="118"/>
      <c r="H351" s="5" t="s">
        <v>33</v>
      </c>
      <c r="I351" s="12" t="s">
        <v>47</v>
      </c>
      <c r="J351" s="16" t="s">
        <v>2362</v>
      </c>
      <c r="K351" s="16"/>
      <c r="L351" s="16"/>
      <c r="M351" s="182">
        <v>43374</v>
      </c>
      <c r="N351" s="182"/>
      <c r="O351" s="182">
        <v>43463</v>
      </c>
      <c r="P351" s="12">
        <v>24</v>
      </c>
      <c r="Q351" s="7" t="s">
        <v>391</v>
      </c>
      <c r="R351" s="18">
        <v>6024</v>
      </c>
      <c r="S351" s="31" t="s">
        <v>176</v>
      </c>
      <c r="T351" s="12" t="s">
        <v>38</v>
      </c>
      <c r="U351" s="4"/>
      <c r="V351" s="4"/>
      <c r="W351" s="12" t="s">
        <v>1640</v>
      </c>
      <c r="X351" s="5" t="s">
        <v>1613</v>
      </c>
      <c r="Y351" s="5" t="s">
        <v>40</v>
      </c>
      <c r="Z351" s="5"/>
      <c r="AA351" s="5"/>
      <c r="AB351" s="199"/>
      <c r="AC351" s="87" t="s">
        <v>2363</v>
      </c>
      <c r="AD351" s="123"/>
      <c r="AE351" s="17">
        <v>6325</v>
      </c>
      <c r="AF351" s="2799"/>
    </row>
    <row r="352" spans="1:32" s="295" customFormat="1" ht="72.5">
      <c r="A352" s="1184"/>
      <c r="B352" s="331"/>
      <c r="C352" s="2846" t="s">
        <v>45</v>
      </c>
      <c r="D352" s="2807" t="s">
        <v>32</v>
      </c>
      <c r="E352" s="2807"/>
      <c r="F352" s="2807"/>
      <c r="G352" s="2807"/>
      <c r="H352" s="2808" t="s">
        <v>33</v>
      </c>
      <c r="I352" s="2808" t="s">
        <v>47</v>
      </c>
      <c r="J352" s="2847" t="s">
        <v>2364</v>
      </c>
      <c r="K352" s="2847"/>
      <c r="L352" s="2847"/>
      <c r="M352" s="283" t="e">
        <f>IF(OR(#REF!=#REF!,#REF!=#REF!,#REF!=#REF!,#REF!=#REF!,#REF!=#REF!,#REF!=#REF!,#REF!=#REF!,#REF!=#REF!),12,IF(OR(#REF!=#REF!,#REF!=#REF!,#REF!=#REF!,#REF!=#REF!,#REF!=#REF!,#REF!=#REF!,#REF!=#REF!),3,IF(#REF!=#REF!,1,IF(#REF!=#REF!,18,IF(OR(#REF!=#REF!,#REF!=#REF!,#REF!=#REF!,#REF!=#REF!,#REF!=#REF!),14,"Invalid proposed procurement method")))))</f>
        <v>#REF!</v>
      </c>
      <c r="N352" s="283"/>
      <c r="O352" s="284" t="str">
        <f>IFERROR(EDATE($P352,-3),"Invalid procurement method or date entered")</f>
        <v>Invalid procurement method or date entered</v>
      </c>
      <c r="P352" s="284" t="str">
        <f>IFERROR(EDATE(R352,-M352),"Invalid procurement method or date entered")</f>
        <v>Invalid procurement method or date entered</v>
      </c>
      <c r="Q352" s="2848" t="s">
        <v>67</v>
      </c>
      <c r="R352" s="2848">
        <v>43922</v>
      </c>
      <c r="S352" s="2809" t="s">
        <v>45</v>
      </c>
      <c r="T352" s="2849"/>
      <c r="U352" s="286">
        <v>60000</v>
      </c>
      <c r="V352" s="286"/>
      <c r="W352" s="2808" t="s">
        <v>38</v>
      </c>
      <c r="X352" s="2850"/>
      <c r="Y352" s="2851"/>
      <c r="Z352" s="2851"/>
      <c r="AA352" s="2846"/>
      <c r="AB352" s="199" t="s">
        <v>41</v>
      </c>
      <c r="AC352" s="2846"/>
      <c r="AD352" s="2807" t="s">
        <v>38</v>
      </c>
      <c r="AE352" s="283"/>
      <c r="AF352" s="1"/>
    </row>
    <row r="353" spans="1:32" s="295" customFormat="1" ht="58">
      <c r="A353" s="1184"/>
      <c r="B353" s="271" t="s">
        <v>44</v>
      </c>
      <c r="C353" s="174"/>
      <c r="D353" s="118" t="s">
        <v>32</v>
      </c>
      <c r="E353" s="118"/>
      <c r="F353" s="118"/>
      <c r="G353" s="118"/>
      <c r="H353" s="5" t="s">
        <v>33</v>
      </c>
      <c r="I353" s="5" t="s">
        <v>47</v>
      </c>
      <c r="J353" s="16" t="s">
        <v>2365</v>
      </c>
      <c r="K353" s="16"/>
      <c r="L353" s="16"/>
      <c r="M353" s="2852">
        <v>43101</v>
      </c>
      <c r="N353" s="2852"/>
      <c r="O353" s="2852">
        <v>43466</v>
      </c>
      <c r="P353" s="12">
        <v>12</v>
      </c>
      <c r="Q353" s="25" t="s">
        <v>50</v>
      </c>
      <c r="R353" s="18">
        <v>24995</v>
      </c>
      <c r="S353" s="31" t="s">
        <v>37</v>
      </c>
      <c r="T353" s="12" t="s">
        <v>38</v>
      </c>
      <c r="U353" s="174"/>
      <c r="V353" s="174"/>
      <c r="W353" s="5" t="s">
        <v>2366</v>
      </c>
      <c r="X353" s="73" t="s">
        <v>2286</v>
      </c>
      <c r="Y353" s="5" t="s">
        <v>40</v>
      </c>
      <c r="Z353" s="5"/>
      <c r="AA353" s="5"/>
      <c r="AB353" s="199">
        <v>43437</v>
      </c>
      <c r="AC353" s="8" t="s">
        <v>2367</v>
      </c>
      <c r="AD353" s="2792"/>
      <c r="AE353" s="40">
        <v>24995</v>
      </c>
      <c r="AF353" s="2773"/>
    </row>
    <row r="354" spans="1:32" s="295" customFormat="1" ht="58">
      <c r="A354" s="1184"/>
      <c r="B354" s="271" t="s">
        <v>44</v>
      </c>
      <c r="C354" s="4"/>
      <c r="D354" s="118" t="s">
        <v>32</v>
      </c>
      <c r="E354" s="118"/>
      <c r="F354" s="118"/>
      <c r="G354" s="118"/>
      <c r="H354" s="5" t="s">
        <v>33</v>
      </c>
      <c r="I354" s="5" t="s">
        <v>47</v>
      </c>
      <c r="J354" s="16" t="s">
        <v>2368</v>
      </c>
      <c r="K354" s="16"/>
      <c r="L354" s="16"/>
      <c r="M354" s="2852">
        <v>43101</v>
      </c>
      <c r="N354" s="2852"/>
      <c r="O354" s="2852">
        <v>43466</v>
      </c>
      <c r="P354" s="27">
        <v>12</v>
      </c>
      <c r="Q354" s="293" t="s">
        <v>50</v>
      </c>
      <c r="R354" s="209">
        <v>20763.63</v>
      </c>
      <c r="S354" s="5" t="s">
        <v>84</v>
      </c>
      <c r="T354" s="12" t="s">
        <v>38</v>
      </c>
      <c r="U354" s="4"/>
      <c r="V354" s="4"/>
      <c r="W354" s="5" t="s">
        <v>2366</v>
      </c>
      <c r="X354" s="5" t="s">
        <v>2286</v>
      </c>
      <c r="Y354" s="5" t="s">
        <v>40</v>
      </c>
      <c r="Z354" s="5"/>
      <c r="AA354" s="26"/>
      <c r="AB354" s="199">
        <v>43437</v>
      </c>
      <c r="AC354" s="108" t="s">
        <v>2369</v>
      </c>
      <c r="AD354" s="2792"/>
      <c r="AE354" s="40">
        <v>20763.63</v>
      </c>
      <c r="AF354" s="2773"/>
    </row>
    <row r="355" spans="1:32" s="295" customFormat="1" ht="43.5">
      <c r="A355" s="1184"/>
      <c r="B355" s="271" t="s">
        <v>44</v>
      </c>
      <c r="C355" s="4"/>
      <c r="D355" s="118" t="s">
        <v>32</v>
      </c>
      <c r="E355" s="118"/>
      <c r="F355" s="118"/>
      <c r="G355" s="118"/>
      <c r="H355" s="5" t="s">
        <v>1770</v>
      </c>
      <c r="I355" s="5" t="s">
        <v>47</v>
      </c>
      <c r="J355" s="16" t="s">
        <v>2370</v>
      </c>
      <c r="K355" s="16"/>
      <c r="L355" s="16"/>
      <c r="M355" s="182">
        <v>43132</v>
      </c>
      <c r="N355" s="182"/>
      <c r="O355" s="182">
        <v>43466</v>
      </c>
      <c r="P355" s="12">
        <v>36</v>
      </c>
      <c r="Q355" s="25" t="s">
        <v>98</v>
      </c>
      <c r="R355" s="18">
        <v>37500</v>
      </c>
      <c r="S355" s="5" t="s">
        <v>1189</v>
      </c>
      <c r="T355" s="12" t="s">
        <v>612</v>
      </c>
      <c r="U355" s="4"/>
      <c r="V355" s="4"/>
      <c r="W355" s="5" t="s">
        <v>383</v>
      </c>
      <c r="X355" s="5" t="s">
        <v>2179</v>
      </c>
      <c r="Y355" s="5" t="s">
        <v>40</v>
      </c>
      <c r="Z355" s="5"/>
      <c r="AA355" s="26"/>
      <c r="AB355" s="2801">
        <v>43523</v>
      </c>
      <c r="AC355" s="36" t="s">
        <v>2371</v>
      </c>
      <c r="AD355" s="147"/>
      <c r="AE355" s="40"/>
      <c r="AF355" s="2773"/>
    </row>
    <row r="356" spans="1:32" s="295" customFormat="1" ht="43.5">
      <c r="A356" s="1184"/>
      <c r="B356" s="271" t="s">
        <v>44</v>
      </c>
      <c r="C356" s="174"/>
      <c r="D356" s="118" t="s">
        <v>32</v>
      </c>
      <c r="E356" s="118"/>
      <c r="F356" s="118"/>
      <c r="G356" s="118"/>
      <c r="H356" s="5" t="s">
        <v>1770</v>
      </c>
      <c r="I356" s="5" t="s">
        <v>47</v>
      </c>
      <c r="J356" s="16" t="s">
        <v>1854</v>
      </c>
      <c r="K356" s="16"/>
      <c r="L356" s="16"/>
      <c r="M356" s="182">
        <v>43191</v>
      </c>
      <c r="N356" s="182"/>
      <c r="O356" s="182">
        <v>43466</v>
      </c>
      <c r="P356" s="12">
        <v>12</v>
      </c>
      <c r="Q356" s="27">
        <v>12</v>
      </c>
      <c r="R356" s="18">
        <v>84000</v>
      </c>
      <c r="S356" s="5" t="s">
        <v>176</v>
      </c>
      <c r="T356" s="12" t="s">
        <v>38</v>
      </c>
      <c r="U356" s="174"/>
      <c r="V356" s="174"/>
      <c r="W356" s="5" t="s">
        <v>2372</v>
      </c>
      <c r="X356" s="5" t="s">
        <v>413</v>
      </c>
      <c r="Y356" s="5" t="s">
        <v>40</v>
      </c>
      <c r="Z356" s="5"/>
      <c r="AA356" s="26"/>
      <c r="AB356" s="199">
        <v>43272</v>
      </c>
      <c r="AC356" s="36" t="s">
        <v>2373</v>
      </c>
      <c r="AD356" s="147"/>
      <c r="AE356" s="17"/>
      <c r="AF356" s="2773"/>
    </row>
    <row r="357" spans="1:32" s="295" customFormat="1" ht="29">
      <c r="A357" s="1184"/>
      <c r="B357" s="271" t="s">
        <v>44</v>
      </c>
      <c r="C357" s="4"/>
      <c r="D357" s="118" t="s">
        <v>122</v>
      </c>
      <c r="E357" s="118"/>
      <c r="F357" s="118"/>
      <c r="G357" s="118"/>
      <c r="H357" s="5" t="s">
        <v>127</v>
      </c>
      <c r="I357" s="5" t="s">
        <v>34</v>
      </c>
      <c r="J357" s="16" t="s">
        <v>2374</v>
      </c>
      <c r="K357" s="8"/>
      <c r="L357" s="8"/>
      <c r="M357" s="182">
        <v>43282</v>
      </c>
      <c r="N357" s="182"/>
      <c r="O357" s="182">
        <v>43466</v>
      </c>
      <c r="P357" s="76">
        <v>60</v>
      </c>
      <c r="Q357" s="25" t="s">
        <v>2375</v>
      </c>
      <c r="R357" s="18">
        <v>60000</v>
      </c>
      <c r="S357" s="5" t="s">
        <v>130</v>
      </c>
      <c r="T357" s="12" t="s">
        <v>38</v>
      </c>
      <c r="U357" s="4"/>
      <c r="V357" s="4"/>
      <c r="W357" s="5" t="s">
        <v>2376</v>
      </c>
      <c r="X357" s="5" t="s">
        <v>1962</v>
      </c>
      <c r="Y357" s="5" t="s">
        <v>40</v>
      </c>
      <c r="Z357" s="5"/>
      <c r="AA357" s="26"/>
      <c r="AB357" s="199">
        <v>43427</v>
      </c>
      <c r="AC357" s="8" t="s">
        <v>2377</v>
      </c>
      <c r="AD357" s="147"/>
      <c r="AE357" s="40"/>
      <c r="AF357" s="2773"/>
    </row>
    <row r="358" spans="1:32" s="296" customFormat="1" ht="29">
      <c r="A358" s="1184"/>
      <c r="B358" s="271" t="s">
        <v>44</v>
      </c>
      <c r="C358" s="4"/>
      <c r="D358" s="118" t="s">
        <v>122</v>
      </c>
      <c r="E358" s="118"/>
      <c r="F358" s="118"/>
      <c r="G358" s="118"/>
      <c r="H358" s="5" t="s">
        <v>127</v>
      </c>
      <c r="I358" s="5" t="s">
        <v>34</v>
      </c>
      <c r="J358" s="16" t="s">
        <v>2374</v>
      </c>
      <c r="K358" s="8"/>
      <c r="L358" s="8"/>
      <c r="M358" s="182">
        <v>43282</v>
      </c>
      <c r="N358" s="182"/>
      <c r="O358" s="182">
        <v>43466</v>
      </c>
      <c r="P358" s="12">
        <v>60</v>
      </c>
      <c r="Q358" s="7" t="s">
        <v>2375</v>
      </c>
      <c r="R358" s="18">
        <v>60000</v>
      </c>
      <c r="S358" s="31" t="s">
        <v>130</v>
      </c>
      <c r="T358" s="12" t="s">
        <v>38</v>
      </c>
      <c r="U358" s="4"/>
      <c r="V358" s="4"/>
      <c r="W358" s="5" t="s">
        <v>2376</v>
      </c>
      <c r="X358" s="5" t="s">
        <v>1962</v>
      </c>
      <c r="Y358" s="5" t="s">
        <v>40</v>
      </c>
      <c r="Z358" s="5"/>
      <c r="AA358" s="5"/>
      <c r="AB358" s="199">
        <v>43427</v>
      </c>
      <c r="AC358" s="8" t="s">
        <v>2377</v>
      </c>
      <c r="AD358" s="147"/>
      <c r="AE358" s="40"/>
      <c r="AF358" s="2773"/>
    </row>
    <row r="359" spans="1:32" s="295" customFormat="1" ht="79.5" customHeight="1">
      <c r="A359" s="1184"/>
      <c r="B359" s="271" t="s">
        <v>44</v>
      </c>
      <c r="C359" s="4"/>
      <c r="D359" s="118" t="s">
        <v>32</v>
      </c>
      <c r="E359" s="118"/>
      <c r="F359" s="118"/>
      <c r="G359" s="118"/>
      <c r="H359" s="5" t="s">
        <v>1770</v>
      </c>
      <c r="I359" s="5" t="s">
        <v>47</v>
      </c>
      <c r="J359" s="16" t="s">
        <v>1842</v>
      </c>
      <c r="K359" s="16"/>
      <c r="L359" s="16"/>
      <c r="M359" s="182">
        <v>43313</v>
      </c>
      <c r="N359" s="182"/>
      <c r="O359" s="182">
        <v>43466</v>
      </c>
      <c r="P359" s="12">
        <v>12</v>
      </c>
      <c r="Q359" s="25" t="s">
        <v>50</v>
      </c>
      <c r="R359" s="18">
        <v>3530.4</v>
      </c>
      <c r="S359" s="31" t="s">
        <v>37</v>
      </c>
      <c r="T359" s="12" t="s">
        <v>38</v>
      </c>
      <c r="U359" s="4"/>
      <c r="V359" s="4"/>
      <c r="W359" s="5" t="s">
        <v>1843</v>
      </c>
      <c r="X359" s="5" t="s">
        <v>86</v>
      </c>
      <c r="Y359" s="5" t="s">
        <v>40</v>
      </c>
      <c r="Z359" s="5"/>
      <c r="AA359" s="12"/>
      <c r="AB359" s="199">
        <v>43507</v>
      </c>
      <c r="AC359" s="8" t="s">
        <v>2378</v>
      </c>
      <c r="AD359" s="147"/>
      <c r="AE359" s="18">
        <v>3530</v>
      </c>
      <c r="AF359" s="2773"/>
    </row>
    <row r="360" spans="1:32" s="295" customFormat="1" ht="79.5" customHeight="1">
      <c r="A360" s="1184"/>
      <c r="B360" s="271" t="s">
        <v>44</v>
      </c>
      <c r="C360" s="4"/>
      <c r="D360" s="118" t="s">
        <v>57</v>
      </c>
      <c r="E360" s="118"/>
      <c r="F360" s="118"/>
      <c r="G360" s="118"/>
      <c r="H360" s="5" t="s">
        <v>46</v>
      </c>
      <c r="I360" s="12" t="s">
        <v>47</v>
      </c>
      <c r="J360" s="16" t="s">
        <v>2379</v>
      </c>
      <c r="K360" s="16"/>
      <c r="L360" s="16"/>
      <c r="M360" s="182">
        <v>43334</v>
      </c>
      <c r="N360" s="182"/>
      <c r="O360" s="182">
        <v>43466</v>
      </c>
      <c r="P360" s="12" t="s">
        <v>60</v>
      </c>
      <c r="Q360" s="28" t="s">
        <v>60</v>
      </c>
      <c r="R360" s="18">
        <v>25000</v>
      </c>
      <c r="S360" s="31" t="s">
        <v>37</v>
      </c>
      <c r="T360" s="12" t="s">
        <v>38</v>
      </c>
      <c r="U360" s="4"/>
      <c r="V360" s="4"/>
      <c r="W360" s="12" t="s">
        <v>2380</v>
      </c>
      <c r="X360" s="5" t="s">
        <v>1892</v>
      </c>
      <c r="Y360" s="5" t="s">
        <v>115</v>
      </c>
      <c r="Z360" s="5"/>
      <c r="AA360" s="5"/>
      <c r="AB360" s="199">
        <v>43500</v>
      </c>
      <c r="AC360" s="8" t="s">
        <v>2381</v>
      </c>
      <c r="AD360" s="147"/>
      <c r="AE360" s="40"/>
      <c r="AF360" s="2799"/>
    </row>
    <row r="361" spans="1:32" s="1" customFormat="1" ht="43.5">
      <c r="A361" s="1184"/>
      <c r="B361" s="271" t="s">
        <v>44</v>
      </c>
      <c r="C361" s="4"/>
      <c r="D361" s="118" t="s">
        <v>32</v>
      </c>
      <c r="E361" s="118"/>
      <c r="F361" s="118"/>
      <c r="G361" s="118"/>
      <c r="H361" s="5" t="s">
        <v>1770</v>
      </c>
      <c r="I361" s="12" t="s">
        <v>47</v>
      </c>
      <c r="J361" s="16" t="s">
        <v>1845</v>
      </c>
      <c r="K361" s="16"/>
      <c r="L361" s="16"/>
      <c r="M361" s="182">
        <v>43344</v>
      </c>
      <c r="N361" s="182"/>
      <c r="O361" s="182">
        <v>43466</v>
      </c>
      <c r="P361" s="12">
        <v>12</v>
      </c>
      <c r="Q361" s="25" t="s">
        <v>50</v>
      </c>
      <c r="R361" s="18">
        <v>8000</v>
      </c>
      <c r="S361" s="31" t="s">
        <v>1639</v>
      </c>
      <c r="T361" s="12" t="s">
        <v>38</v>
      </c>
      <c r="U361" s="4"/>
      <c r="V361" s="4"/>
      <c r="W361" s="12" t="s">
        <v>383</v>
      </c>
      <c r="X361" s="5" t="s">
        <v>413</v>
      </c>
      <c r="Y361" s="5" t="s">
        <v>40</v>
      </c>
      <c r="Z361" s="5"/>
      <c r="AA361" s="5"/>
      <c r="AB361" s="199">
        <v>43361</v>
      </c>
      <c r="AC361" s="8" t="s">
        <v>2382</v>
      </c>
      <c r="AD361" s="147"/>
      <c r="AE361" s="17"/>
    </row>
    <row r="362" spans="1:32" s="295" customFormat="1" ht="60" customHeight="1">
      <c r="A362" s="2756"/>
      <c r="B362" s="271" t="s">
        <v>44</v>
      </c>
      <c r="C362" s="4"/>
      <c r="D362" s="287" t="s">
        <v>32</v>
      </c>
      <c r="E362" s="287"/>
      <c r="F362" s="287"/>
      <c r="G362" s="287"/>
      <c r="H362" s="283" t="s">
        <v>480</v>
      </c>
      <c r="I362" s="283" t="s">
        <v>34</v>
      </c>
      <c r="J362" s="273" t="s">
        <v>481</v>
      </c>
      <c r="K362" s="287"/>
      <c r="L362" s="287"/>
      <c r="M362" s="1749">
        <v>43435</v>
      </c>
      <c r="N362" s="1743"/>
      <c r="O362" s="1743">
        <v>43466</v>
      </c>
      <c r="P362" s="283">
        <v>58</v>
      </c>
      <c r="Q362" s="346" t="s">
        <v>2383</v>
      </c>
      <c r="R362" s="286">
        <v>140000</v>
      </c>
      <c r="S362" s="342" t="s">
        <v>130</v>
      </c>
      <c r="T362" s="341" t="s">
        <v>38</v>
      </c>
      <c r="U362" s="271"/>
      <c r="V362" s="1"/>
      <c r="W362" s="283" t="s">
        <v>2384</v>
      </c>
      <c r="X362" s="283" t="s">
        <v>283</v>
      </c>
      <c r="Y362" s="283" t="s">
        <v>40</v>
      </c>
      <c r="Z362" s="283"/>
      <c r="AA362" s="283"/>
      <c r="AB362" s="2801">
        <v>43503</v>
      </c>
      <c r="AC362" s="287" t="s">
        <v>2385</v>
      </c>
      <c r="AD362" s="271"/>
      <c r="AE362" s="309"/>
      <c r="AF362" s="2773"/>
    </row>
    <row r="363" spans="1:32" s="1" customFormat="1" ht="58">
      <c r="A363" s="1184"/>
      <c r="B363" s="271" t="s">
        <v>44</v>
      </c>
      <c r="C363" s="4"/>
      <c r="D363" s="121" t="s">
        <v>32</v>
      </c>
      <c r="E363" s="121"/>
      <c r="F363" s="121"/>
      <c r="G363" s="121"/>
      <c r="H363" s="9" t="s">
        <v>33</v>
      </c>
      <c r="I363" s="9" t="s">
        <v>47</v>
      </c>
      <c r="J363" s="16" t="s">
        <v>2386</v>
      </c>
      <c r="K363" s="16"/>
      <c r="L363" s="16"/>
      <c r="M363" s="49">
        <v>43617</v>
      </c>
      <c r="N363" s="49"/>
      <c r="O363" s="49">
        <v>43466</v>
      </c>
      <c r="P363" s="15">
        <v>12</v>
      </c>
      <c r="Q363" s="1791" t="s">
        <v>50</v>
      </c>
      <c r="R363" s="18">
        <v>1920</v>
      </c>
      <c r="S363" s="31" t="s">
        <v>130</v>
      </c>
      <c r="T363" s="15" t="s">
        <v>38</v>
      </c>
      <c r="U363" s="4"/>
      <c r="V363" s="4"/>
      <c r="W363" s="5" t="s">
        <v>2246</v>
      </c>
      <c r="X363" s="9" t="s">
        <v>413</v>
      </c>
      <c r="Y363" s="5" t="s">
        <v>40</v>
      </c>
      <c r="Z363" s="5"/>
      <c r="AA363" s="9"/>
      <c r="AB363" s="183">
        <v>43361</v>
      </c>
      <c r="AC363" s="6" t="s">
        <v>2387</v>
      </c>
      <c r="AD363" s="147"/>
      <c r="AE363" s="43"/>
      <c r="AF363" s="2773"/>
    </row>
    <row r="364" spans="1:32" s="295" customFormat="1" ht="230.25" customHeight="1">
      <c r="A364" s="1184"/>
      <c r="B364" s="271" t="s">
        <v>44</v>
      </c>
      <c r="C364" s="4"/>
      <c r="D364" s="2853" t="s">
        <v>32</v>
      </c>
      <c r="E364" s="2853"/>
      <c r="F364" s="2853"/>
      <c r="G364" s="2853"/>
      <c r="H364" s="2789" t="s">
        <v>1670</v>
      </c>
      <c r="I364" s="2818" t="s">
        <v>47</v>
      </c>
      <c r="J364" s="2816" t="s">
        <v>2388</v>
      </c>
      <c r="K364" s="2839"/>
      <c r="L364" s="2839"/>
      <c r="M364" s="2815"/>
      <c r="N364" s="2815"/>
      <c r="O364" s="2817">
        <v>43466</v>
      </c>
      <c r="P364" s="2818">
        <v>24</v>
      </c>
      <c r="Q364" s="2819">
        <v>24</v>
      </c>
      <c r="R364" s="18">
        <v>30000</v>
      </c>
      <c r="S364" s="2820" t="s">
        <v>2389</v>
      </c>
      <c r="T364" s="2818" t="s">
        <v>38</v>
      </c>
      <c r="U364" s="4"/>
      <c r="V364" s="4"/>
      <c r="W364" s="2837" t="s">
        <v>2220</v>
      </c>
      <c r="X364" s="2808" t="s">
        <v>86</v>
      </c>
      <c r="Y364" s="31" t="s">
        <v>40</v>
      </c>
      <c r="Z364" s="5"/>
      <c r="AA364" s="2821"/>
      <c r="AB364" s="2801">
        <v>43453</v>
      </c>
      <c r="AC364" s="2822" t="s">
        <v>2390</v>
      </c>
      <c r="AD364" s="147"/>
      <c r="AE364" s="2840"/>
      <c r="AF364" s="2773"/>
    </row>
    <row r="365" spans="1:32" ht="29">
      <c r="A365" s="1184"/>
      <c r="B365" s="271" t="s">
        <v>44</v>
      </c>
      <c r="C365" s="271"/>
      <c r="D365" s="2802" t="s">
        <v>32</v>
      </c>
      <c r="E365" s="2802"/>
      <c r="F365" s="2802"/>
      <c r="G365" s="2802"/>
      <c r="H365" s="2803" t="s">
        <v>1670</v>
      </c>
      <c r="I365" s="2804" t="s">
        <v>47</v>
      </c>
      <c r="J365" s="2854" t="s">
        <v>2391</v>
      </c>
      <c r="K365" s="2854"/>
      <c r="L365" s="2805"/>
      <c r="M365" s="2804"/>
      <c r="N365" s="2804"/>
      <c r="O365" s="2806">
        <v>43466</v>
      </c>
      <c r="P365" s="2855">
        <v>36</v>
      </c>
      <c r="Q365" s="2805"/>
      <c r="R365" s="1824">
        <v>26000</v>
      </c>
      <c r="S365" s="2856" t="s">
        <v>45</v>
      </c>
      <c r="T365" s="2804" t="s">
        <v>38</v>
      </c>
      <c r="U365" s="271"/>
      <c r="V365" s="1"/>
      <c r="W365" s="2804" t="s">
        <v>2220</v>
      </c>
      <c r="X365" s="2857" t="s">
        <v>86</v>
      </c>
      <c r="Y365" s="283" t="s">
        <v>40</v>
      </c>
      <c r="Z365" s="283"/>
      <c r="AA365" s="2802"/>
      <c r="AB365" s="2801">
        <v>43455</v>
      </c>
      <c r="AC365" s="2811" t="s">
        <v>2390</v>
      </c>
      <c r="AD365" s="271"/>
      <c r="AE365" s="2858"/>
      <c r="AF365" s="2773"/>
    </row>
    <row r="366" spans="1:32" ht="29">
      <c r="A366" s="1184"/>
      <c r="B366" s="271" t="s">
        <v>44</v>
      </c>
      <c r="C366" s="4"/>
      <c r="D366" s="2813" t="s">
        <v>32</v>
      </c>
      <c r="E366" s="2813"/>
      <c r="F366" s="2813"/>
      <c r="G366" s="2813"/>
      <c r="H366" s="2814" t="s">
        <v>1670</v>
      </c>
      <c r="I366" s="2859" t="s">
        <v>47</v>
      </c>
      <c r="J366" s="2805" t="s">
        <v>2392</v>
      </c>
      <c r="K366" s="2860"/>
      <c r="L366" s="2861"/>
      <c r="M366" s="2815"/>
      <c r="N366" s="2815"/>
      <c r="O366" s="2817">
        <v>43466</v>
      </c>
      <c r="P366" s="2862">
        <v>36</v>
      </c>
      <c r="Q366" s="2808" t="s">
        <v>160</v>
      </c>
      <c r="R366" s="209">
        <v>28000</v>
      </c>
      <c r="S366" s="2818" t="s">
        <v>2389</v>
      </c>
      <c r="T366" s="2818" t="s">
        <v>38</v>
      </c>
      <c r="U366" s="4"/>
      <c r="V366" s="4"/>
      <c r="W366" s="2818" t="s">
        <v>2220</v>
      </c>
      <c r="X366" s="2789" t="s">
        <v>86</v>
      </c>
      <c r="Y366" s="5" t="s">
        <v>40</v>
      </c>
      <c r="Z366" s="5"/>
      <c r="AA366" s="2863"/>
      <c r="AB366" s="2801">
        <v>43437</v>
      </c>
      <c r="AC366" s="2822" t="s">
        <v>2390</v>
      </c>
      <c r="AD366" s="178"/>
      <c r="AE366" s="2840"/>
      <c r="AF366" s="2773"/>
    </row>
    <row r="367" spans="1:32" ht="37.5">
      <c r="A367" s="1119"/>
      <c r="B367" s="959" t="s">
        <v>56</v>
      </c>
      <c r="C367" s="679" t="s">
        <v>2393</v>
      </c>
      <c r="D367" s="680" t="s">
        <v>32</v>
      </c>
      <c r="E367" s="680"/>
      <c r="F367" s="680"/>
      <c r="G367" s="680"/>
      <c r="H367" s="680" t="s">
        <v>308</v>
      </c>
      <c r="I367" s="988" t="s">
        <v>47</v>
      </c>
      <c r="J367" s="1582" t="s">
        <v>2394</v>
      </c>
      <c r="K367" s="996"/>
      <c r="L367" s="1740">
        <v>43361</v>
      </c>
      <c r="M367" s="686"/>
      <c r="N367" s="686"/>
      <c r="O367" s="686">
        <v>43466</v>
      </c>
      <c r="P367" s="1010">
        <v>3</v>
      </c>
      <c r="Q367" s="1012">
        <v>3</v>
      </c>
      <c r="R367" s="1028">
        <v>320000</v>
      </c>
      <c r="S367" s="1054" t="s">
        <v>1937</v>
      </c>
      <c r="T367" s="686" t="s">
        <v>38</v>
      </c>
      <c r="U367" s="686"/>
      <c r="V367" s="661"/>
      <c r="W367" s="985" t="s">
        <v>2395</v>
      </c>
      <c r="X367" s="1081"/>
      <c r="Y367" s="330"/>
      <c r="Z367" s="330"/>
      <c r="AA367" s="330"/>
      <c r="AB367" s="120"/>
      <c r="AC367" s="330"/>
      <c r="AD367" s="330"/>
      <c r="AE367" s="330"/>
      <c r="AF367" s="2773"/>
    </row>
    <row r="368" spans="1:32" ht="37.5">
      <c r="A368" s="1119"/>
      <c r="B368" s="959" t="s">
        <v>56</v>
      </c>
      <c r="C368" s="510" t="s">
        <v>2396</v>
      </c>
      <c r="D368" s="611" t="s">
        <v>57</v>
      </c>
      <c r="E368" s="611"/>
      <c r="F368" s="611"/>
      <c r="G368" s="611"/>
      <c r="H368" s="511" t="s">
        <v>58</v>
      </c>
      <c r="I368" s="984" t="s">
        <v>47</v>
      </c>
      <c r="J368" s="1582" t="s">
        <v>2397</v>
      </c>
      <c r="K368" s="636"/>
      <c r="L368" s="1044">
        <v>43467</v>
      </c>
      <c r="M368" s="515"/>
      <c r="N368" s="515"/>
      <c r="O368" s="597">
        <v>43467</v>
      </c>
      <c r="P368" s="1009">
        <v>2.5</v>
      </c>
      <c r="Q368" s="1012">
        <v>2.5</v>
      </c>
      <c r="R368" s="1033">
        <v>153806</v>
      </c>
      <c r="S368" s="1050" t="s">
        <v>1937</v>
      </c>
      <c r="T368" s="686" t="s">
        <v>38</v>
      </c>
      <c r="U368" s="1044"/>
      <c r="V368" s="1044"/>
      <c r="W368" s="519" t="s">
        <v>2398</v>
      </c>
      <c r="X368" s="120"/>
      <c r="Y368" s="120"/>
      <c r="Z368" s="120"/>
      <c r="AA368" s="120"/>
      <c r="AB368" s="120"/>
      <c r="AC368" s="120"/>
      <c r="AD368" s="336"/>
      <c r="AE368" s="120"/>
      <c r="AF368" s="2799"/>
    </row>
    <row r="369" spans="1:32" ht="70.400000000000006" customHeight="1">
      <c r="A369" s="1119"/>
      <c r="B369" s="959" t="s">
        <v>56</v>
      </c>
      <c r="C369" s="510" t="s">
        <v>2399</v>
      </c>
      <c r="D369" s="611" t="s">
        <v>57</v>
      </c>
      <c r="E369" s="611"/>
      <c r="F369" s="611"/>
      <c r="G369" s="611"/>
      <c r="H369" s="511" t="s">
        <v>58</v>
      </c>
      <c r="I369" s="984" t="s">
        <v>47</v>
      </c>
      <c r="J369" s="1582" t="s">
        <v>2400</v>
      </c>
      <c r="K369" s="636"/>
      <c r="L369" s="997">
        <v>43282</v>
      </c>
      <c r="M369" s="597"/>
      <c r="N369" s="597"/>
      <c r="O369" s="597">
        <v>43468</v>
      </c>
      <c r="P369" s="1009">
        <v>63</v>
      </c>
      <c r="Q369" s="1012" t="s">
        <v>2401</v>
      </c>
      <c r="R369" s="1027">
        <v>4500000</v>
      </c>
      <c r="S369" s="1043" t="s">
        <v>176</v>
      </c>
      <c r="T369" s="515" t="s">
        <v>70</v>
      </c>
      <c r="U369" s="515"/>
      <c r="V369" s="515"/>
      <c r="W369" s="519" t="s">
        <v>2036</v>
      </c>
      <c r="X369" s="120"/>
      <c r="Y369" s="120"/>
      <c r="Z369" s="120"/>
      <c r="AA369" s="120"/>
      <c r="AB369" s="120"/>
      <c r="AC369" s="120"/>
      <c r="AD369" s="336"/>
      <c r="AE369" s="120"/>
      <c r="AF369" s="2799"/>
    </row>
    <row r="370" spans="1:32" ht="43.5">
      <c r="A370" s="1183"/>
      <c r="B370" s="271" t="s">
        <v>44</v>
      </c>
      <c r="C370" s="4"/>
      <c r="D370" s="118" t="s">
        <v>32</v>
      </c>
      <c r="E370" s="118"/>
      <c r="F370" s="118"/>
      <c r="G370" s="118"/>
      <c r="H370" s="5" t="s">
        <v>1987</v>
      </c>
      <c r="I370" s="10" t="s">
        <v>47</v>
      </c>
      <c r="J370" s="16" t="s">
        <v>2402</v>
      </c>
      <c r="K370" s="16"/>
      <c r="L370" s="16"/>
      <c r="M370" s="182">
        <v>43270</v>
      </c>
      <c r="N370" s="182"/>
      <c r="O370" s="182">
        <v>43472</v>
      </c>
      <c r="P370" s="27">
        <v>48</v>
      </c>
      <c r="Q370" s="349" t="s">
        <v>215</v>
      </c>
      <c r="R370" s="1822">
        <v>63340</v>
      </c>
      <c r="S370" s="31" t="s">
        <v>2110</v>
      </c>
      <c r="T370" s="12" t="s">
        <v>38</v>
      </c>
      <c r="U370" s="4"/>
      <c r="V370" s="4"/>
      <c r="W370" s="12" t="s">
        <v>2403</v>
      </c>
      <c r="X370" s="12" t="s">
        <v>715</v>
      </c>
      <c r="Y370" s="5" t="s">
        <v>40</v>
      </c>
      <c r="Z370" s="5"/>
      <c r="AA370" s="12"/>
      <c r="AB370" s="199">
        <v>43468</v>
      </c>
      <c r="AC370" s="117" t="s">
        <v>2404</v>
      </c>
      <c r="AD370" s="147"/>
      <c r="AE370" s="41">
        <v>11235</v>
      </c>
      <c r="AF370" s="2799"/>
    </row>
    <row r="371" spans="1:32" ht="63.75" customHeight="1">
      <c r="A371" s="1184"/>
      <c r="B371" s="271" t="s">
        <v>44</v>
      </c>
      <c r="C371" s="4"/>
      <c r="D371" s="118" t="s">
        <v>32</v>
      </c>
      <c r="E371" s="118"/>
      <c r="F371" s="118"/>
      <c r="G371" s="118"/>
      <c r="H371" s="5" t="s">
        <v>1987</v>
      </c>
      <c r="I371" s="10" t="s">
        <v>47</v>
      </c>
      <c r="J371" s="16" t="s">
        <v>2402</v>
      </c>
      <c r="K371" s="16"/>
      <c r="L371" s="16"/>
      <c r="M371" s="182">
        <v>43270</v>
      </c>
      <c r="N371" s="182"/>
      <c r="O371" s="182">
        <v>43472</v>
      </c>
      <c r="P371" s="1787">
        <v>48</v>
      </c>
      <c r="Q371" s="1802" t="s">
        <v>215</v>
      </c>
      <c r="R371" s="1826">
        <v>63340</v>
      </c>
      <c r="S371" s="31" t="s">
        <v>2110</v>
      </c>
      <c r="T371" s="12" t="s">
        <v>38</v>
      </c>
      <c r="U371" s="4"/>
      <c r="V371" s="4"/>
      <c r="W371" s="27" t="s">
        <v>2403</v>
      </c>
      <c r="X371" s="1779" t="s">
        <v>715</v>
      </c>
      <c r="Y371" s="31" t="s">
        <v>40</v>
      </c>
      <c r="Z371" s="5"/>
      <c r="AA371" s="27"/>
      <c r="AB371" s="199">
        <v>43468</v>
      </c>
      <c r="AC371" s="117" t="s">
        <v>2404</v>
      </c>
      <c r="AD371" s="147"/>
      <c r="AE371" s="41">
        <v>11235</v>
      </c>
      <c r="AF371" s="2799"/>
    </row>
    <row r="372" spans="1:32" ht="43.4" customHeight="1">
      <c r="A372" s="1184"/>
      <c r="B372" s="271" t="s">
        <v>44</v>
      </c>
      <c r="C372" s="4"/>
      <c r="D372" s="118" t="s">
        <v>32</v>
      </c>
      <c r="E372" s="118"/>
      <c r="F372" s="118"/>
      <c r="G372" s="118"/>
      <c r="H372" s="5" t="s">
        <v>33</v>
      </c>
      <c r="I372" s="12" t="s">
        <v>47</v>
      </c>
      <c r="J372" s="16" t="s">
        <v>1870</v>
      </c>
      <c r="K372" s="16"/>
      <c r="L372" s="16"/>
      <c r="M372" s="182">
        <v>43313</v>
      </c>
      <c r="N372" s="182"/>
      <c r="O372" s="182">
        <v>43484</v>
      </c>
      <c r="P372" s="27">
        <v>12</v>
      </c>
      <c r="Q372" s="293" t="s">
        <v>50</v>
      </c>
      <c r="R372" s="209">
        <v>6340</v>
      </c>
      <c r="S372" s="5" t="s">
        <v>37</v>
      </c>
      <c r="T372" s="12" t="s">
        <v>38</v>
      </c>
      <c r="U372" s="4"/>
      <c r="V372" s="4"/>
      <c r="W372" s="12" t="s">
        <v>1640</v>
      </c>
      <c r="X372" s="5" t="s">
        <v>86</v>
      </c>
      <c r="Y372" s="5" t="s">
        <v>40</v>
      </c>
      <c r="Z372" s="5"/>
      <c r="AA372" s="26"/>
      <c r="AB372" s="199">
        <v>43489</v>
      </c>
      <c r="AC372" s="108" t="s">
        <v>2405</v>
      </c>
      <c r="AD372" s="147"/>
      <c r="AE372" s="40"/>
      <c r="AF372" s="2773"/>
    </row>
    <row r="373" spans="1:32" ht="29.15" customHeight="1">
      <c r="A373" s="1119"/>
      <c r="B373" s="959" t="s">
        <v>56</v>
      </c>
      <c r="C373" s="510" t="s">
        <v>2406</v>
      </c>
      <c r="D373" s="611" t="s">
        <v>122</v>
      </c>
      <c r="E373" s="611"/>
      <c r="F373" s="611"/>
      <c r="G373" s="611"/>
      <c r="H373" s="511" t="s">
        <v>308</v>
      </c>
      <c r="I373" s="519" t="s">
        <v>47</v>
      </c>
      <c r="J373" s="1578" t="s">
        <v>2407</v>
      </c>
      <c r="K373" s="512"/>
      <c r="L373" s="530">
        <v>43395</v>
      </c>
      <c r="M373" s="530"/>
      <c r="N373" s="530"/>
      <c r="O373" s="530">
        <v>43487</v>
      </c>
      <c r="P373" s="1009">
        <v>18</v>
      </c>
      <c r="Q373" s="1012">
        <v>18</v>
      </c>
      <c r="R373" s="1027">
        <v>5900000</v>
      </c>
      <c r="S373" s="1043" t="s">
        <v>91</v>
      </c>
      <c r="T373" s="515" t="s">
        <v>310</v>
      </c>
      <c r="U373" s="515"/>
      <c r="V373" s="515"/>
      <c r="W373" s="533" t="s">
        <v>2408</v>
      </c>
      <c r="X373" s="120"/>
      <c r="Y373" s="120"/>
      <c r="Z373" s="120"/>
      <c r="AA373" s="120"/>
      <c r="AB373" s="120"/>
      <c r="AC373" s="120"/>
      <c r="AD373" s="336"/>
      <c r="AE373" s="120"/>
      <c r="AF373" s="2773"/>
    </row>
    <row r="374" spans="1:32" ht="29.15" customHeight="1">
      <c r="A374" s="1119"/>
      <c r="B374" s="271" t="s">
        <v>44</v>
      </c>
      <c r="C374" s="507" t="s">
        <v>2409</v>
      </c>
      <c r="D374" s="121" t="s">
        <v>32</v>
      </c>
      <c r="E374" s="121"/>
      <c r="F374" s="121"/>
      <c r="G374" s="121"/>
      <c r="H374" s="9" t="s">
        <v>33</v>
      </c>
      <c r="I374" s="5" t="s">
        <v>47</v>
      </c>
      <c r="J374" s="16" t="s">
        <v>2410</v>
      </c>
      <c r="K374" s="16"/>
      <c r="L374" s="16"/>
      <c r="M374" s="49">
        <v>43040</v>
      </c>
      <c r="N374" s="49"/>
      <c r="O374" s="49">
        <v>43497</v>
      </c>
      <c r="P374" s="2837">
        <v>60</v>
      </c>
      <c r="Q374" s="347" t="s">
        <v>171</v>
      </c>
      <c r="R374" s="209">
        <v>222250</v>
      </c>
      <c r="S374" s="79" t="s">
        <v>91</v>
      </c>
      <c r="T374" s="49" t="s">
        <v>38</v>
      </c>
      <c r="U374" s="4"/>
      <c r="V374" s="4"/>
      <c r="W374" s="9" t="s">
        <v>2411</v>
      </c>
      <c r="X374" s="1076" t="s">
        <v>1764</v>
      </c>
      <c r="Y374" s="5" t="s">
        <v>40</v>
      </c>
      <c r="Z374" s="5"/>
      <c r="AA374" s="9"/>
      <c r="AB374" s="183">
        <v>43606</v>
      </c>
      <c r="AC374" s="6" t="s">
        <v>2412</v>
      </c>
      <c r="AD374" s="147"/>
      <c r="AE374" s="43"/>
      <c r="AF374" s="2773"/>
    </row>
    <row r="375" spans="1:32" ht="59.25" customHeight="1">
      <c r="A375" s="1184"/>
      <c r="B375" s="271" t="s">
        <v>44</v>
      </c>
      <c r="C375" s="10"/>
      <c r="D375" s="118" t="s">
        <v>32</v>
      </c>
      <c r="E375" s="118"/>
      <c r="F375" s="118"/>
      <c r="G375" s="118"/>
      <c r="H375" s="5" t="s">
        <v>496</v>
      </c>
      <c r="I375" s="5" t="s">
        <v>34</v>
      </c>
      <c r="J375" s="16" t="s">
        <v>1878</v>
      </c>
      <c r="K375" s="16"/>
      <c r="L375" s="16"/>
      <c r="M375" s="14">
        <v>43282</v>
      </c>
      <c r="N375" s="14"/>
      <c r="O375" s="14">
        <v>43497</v>
      </c>
      <c r="P375" s="276">
        <v>26</v>
      </c>
      <c r="Q375" s="300" t="s">
        <v>2413</v>
      </c>
      <c r="R375" s="327">
        <v>872237</v>
      </c>
      <c r="S375" s="31" t="s">
        <v>130</v>
      </c>
      <c r="T375" s="12" t="s">
        <v>38</v>
      </c>
      <c r="U375" s="10"/>
      <c r="V375" s="10"/>
      <c r="W375" s="5" t="s">
        <v>798</v>
      </c>
      <c r="X375" s="5" t="s">
        <v>86</v>
      </c>
      <c r="Y375" s="5" t="s">
        <v>40</v>
      </c>
      <c r="Z375" s="5"/>
      <c r="AA375" s="5"/>
      <c r="AB375" s="199">
        <v>43501</v>
      </c>
      <c r="AC375" s="8" t="s">
        <v>2414</v>
      </c>
      <c r="AD375" s="147"/>
      <c r="AE375" s="18">
        <v>387661</v>
      </c>
      <c r="AF375" s="2773"/>
    </row>
    <row r="376" spans="1:32" s="360" customFormat="1" ht="43.4" customHeight="1">
      <c r="A376" s="1184"/>
      <c r="B376" s="1" t="s">
        <v>44</v>
      </c>
      <c r="C376" s="10"/>
      <c r="D376" s="8" t="s">
        <v>32</v>
      </c>
      <c r="E376" s="8"/>
      <c r="F376" s="8"/>
      <c r="G376" s="8"/>
      <c r="H376" s="5" t="s">
        <v>496</v>
      </c>
      <c r="I376" s="5" t="s">
        <v>34</v>
      </c>
      <c r="J376" s="16" t="s">
        <v>1878</v>
      </c>
      <c r="K376" s="16"/>
      <c r="L376" s="16"/>
      <c r="M376" s="14">
        <v>43282</v>
      </c>
      <c r="N376" s="14"/>
      <c r="O376" s="14">
        <v>43497</v>
      </c>
      <c r="P376" s="12">
        <v>26</v>
      </c>
      <c r="Q376" s="5" t="s">
        <v>2413</v>
      </c>
      <c r="R376" s="18">
        <v>872237</v>
      </c>
      <c r="S376" s="5" t="s">
        <v>130</v>
      </c>
      <c r="T376" s="12" t="s">
        <v>38</v>
      </c>
      <c r="U376" s="10"/>
      <c r="V376" s="10"/>
      <c r="W376" s="5" t="s">
        <v>798</v>
      </c>
      <c r="X376" s="5" t="s">
        <v>86</v>
      </c>
      <c r="Y376" s="5" t="s">
        <v>40</v>
      </c>
      <c r="Z376" s="5"/>
      <c r="AA376" s="5"/>
      <c r="AB376" s="199">
        <v>43501</v>
      </c>
      <c r="AC376" s="8" t="s">
        <v>2414</v>
      </c>
      <c r="AD376" s="1"/>
      <c r="AE376" s="197">
        <v>387661</v>
      </c>
      <c r="AF376" s="2773"/>
    </row>
    <row r="377" spans="1:32" s="360" customFormat="1" ht="38.5">
      <c r="A377" s="1119"/>
      <c r="B377" s="957" t="s">
        <v>56</v>
      </c>
      <c r="C377" s="510" t="s">
        <v>2415</v>
      </c>
      <c r="D377" s="511" t="s">
        <v>57</v>
      </c>
      <c r="E377" s="511"/>
      <c r="F377" s="511"/>
      <c r="G377" s="511"/>
      <c r="H377" s="511" t="s">
        <v>58</v>
      </c>
      <c r="I377" s="519" t="s">
        <v>47</v>
      </c>
      <c r="J377" s="1578" t="s">
        <v>2416</v>
      </c>
      <c r="K377" s="512"/>
      <c r="L377" s="530">
        <v>43745</v>
      </c>
      <c r="M377" s="530"/>
      <c r="N377" s="530"/>
      <c r="O377" s="530">
        <v>43499</v>
      </c>
      <c r="P377" s="516">
        <v>1</v>
      </c>
      <c r="Q377" s="516">
        <v>1</v>
      </c>
      <c r="R377" s="599">
        <v>436653</v>
      </c>
      <c r="S377" s="523" t="s">
        <v>1937</v>
      </c>
      <c r="T377" s="515" t="s">
        <v>62</v>
      </c>
      <c r="U377" s="515"/>
      <c r="V377" s="515"/>
      <c r="W377" s="533" t="s">
        <v>2417</v>
      </c>
      <c r="X377" s="120"/>
      <c r="Y377" s="120"/>
      <c r="Z377" s="120"/>
      <c r="AA377" s="120"/>
      <c r="AB377" s="120"/>
      <c r="AC377" s="120"/>
      <c r="AD377"/>
      <c r="AE377"/>
      <c r="AF377" s="2773"/>
    </row>
    <row r="378" spans="1:32" s="360" customFormat="1" ht="48.75" customHeight="1">
      <c r="A378" s="1648">
        <v>44974</v>
      </c>
      <c r="B378" s="1657" t="s">
        <v>1168</v>
      </c>
      <c r="C378" s="1664" t="s">
        <v>2418</v>
      </c>
      <c r="D378" s="1664" t="s">
        <v>1178</v>
      </c>
      <c r="E378" s="1655" t="s">
        <v>1168</v>
      </c>
      <c r="F378" s="1655" t="s">
        <v>1170</v>
      </c>
      <c r="G378" s="1655" t="s">
        <v>1170</v>
      </c>
      <c r="H378" s="1655" t="s">
        <v>1170</v>
      </c>
      <c r="I378" s="1655" t="s">
        <v>1170</v>
      </c>
      <c r="J378" s="1698" t="s">
        <v>2419</v>
      </c>
      <c r="K378" s="1664" t="s">
        <v>2420</v>
      </c>
      <c r="L378" s="1655" t="s">
        <v>1170</v>
      </c>
      <c r="M378" s="1655" t="s">
        <v>1170</v>
      </c>
      <c r="N378" s="1655" t="s">
        <v>1170</v>
      </c>
      <c r="O378" s="1755">
        <v>43502</v>
      </c>
      <c r="P378" s="1755">
        <v>44597</v>
      </c>
      <c r="Q378" s="1664" t="s">
        <v>2421</v>
      </c>
      <c r="R378" s="1805">
        <v>18000</v>
      </c>
      <c r="S378" s="1664" t="s">
        <v>1240</v>
      </c>
      <c r="T378" s="1655" t="s">
        <v>1170</v>
      </c>
      <c r="U378" s="1655" t="s">
        <v>1170</v>
      </c>
      <c r="V378" s="1655"/>
      <c r="W378" s="1664" t="s">
        <v>1190</v>
      </c>
      <c r="X378" s="1664" t="s">
        <v>1175</v>
      </c>
      <c r="Y378" s="1664" t="s">
        <v>251</v>
      </c>
      <c r="Z378" s="1655" t="s">
        <v>1170</v>
      </c>
      <c r="AA378" s="1655" t="s">
        <v>1170</v>
      </c>
      <c r="AB378" s="1655" t="s">
        <v>1170</v>
      </c>
      <c r="AC378" s="1698" t="s">
        <v>2422</v>
      </c>
      <c r="AD378" s="1657" t="s">
        <v>1170</v>
      </c>
      <c r="AE378" s="1828">
        <v>18000</v>
      </c>
      <c r="AF378"/>
    </row>
    <row r="379" spans="1:32" s="360" customFormat="1" ht="37.5">
      <c r="A379" s="1119"/>
      <c r="B379" s="957" t="s">
        <v>56</v>
      </c>
      <c r="C379" s="510" t="s">
        <v>2423</v>
      </c>
      <c r="D379" s="511" t="s">
        <v>57</v>
      </c>
      <c r="E379" s="511"/>
      <c r="F379" s="511"/>
      <c r="G379" s="511"/>
      <c r="H379" s="511" t="s">
        <v>58</v>
      </c>
      <c r="I379" s="510" t="s">
        <v>47</v>
      </c>
      <c r="J379" s="1580" t="s">
        <v>2424</v>
      </c>
      <c r="K379" s="533"/>
      <c r="L379" s="534">
        <v>43486</v>
      </c>
      <c r="M379" s="534"/>
      <c r="N379" s="534"/>
      <c r="O379" s="615">
        <v>43514</v>
      </c>
      <c r="P379" s="535">
        <v>0.5</v>
      </c>
      <c r="Q379" s="535">
        <v>0.5</v>
      </c>
      <c r="R379" s="599">
        <v>8000</v>
      </c>
      <c r="S379" s="533" t="s">
        <v>176</v>
      </c>
      <c r="T379" s="615" t="s">
        <v>38</v>
      </c>
      <c r="U379" s="615"/>
      <c r="V379" s="615"/>
      <c r="W379" s="510" t="s">
        <v>2425</v>
      </c>
      <c r="X379" s="120"/>
      <c r="Y379" s="120"/>
      <c r="Z379" s="120"/>
      <c r="AA379" s="120"/>
      <c r="AB379" s="120"/>
      <c r="AC379" s="120"/>
      <c r="AD379"/>
      <c r="AE379"/>
      <c r="AF379" s="2799"/>
    </row>
    <row r="380" spans="1:32" s="400" customFormat="1" ht="37.5">
      <c r="A380" s="1119"/>
      <c r="B380" s="957" t="s">
        <v>56</v>
      </c>
      <c r="C380" s="510" t="s">
        <v>2426</v>
      </c>
      <c r="D380" s="511" t="s">
        <v>57</v>
      </c>
      <c r="E380" s="511"/>
      <c r="F380" s="511"/>
      <c r="G380" s="511"/>
      <c r="H380" s="511" t="s">
        <v>58</v>
      </c>
      <c r="I380" s="510" t="s">
        <v>47</v>
      </c>
      <c r="J380" s="1580" t="s">
        <v>2427</v>
      </c>
      <c r="K380" s="533"/>
      <c r="L380" s="534">
        <v>43490</v>
      </c>
      <c r="M380" s="534"/>
      <c r="N380" s="534"/>
      <c r="O380" s="615">
        <v>43521</v>
      </c>
      <c r="P380" s="535">
        <v>1</v>
      </c>
      <c r="Q380" s="535">
        <v>1</v>
      </c>
      <c r="R380" s="599">
        <v>20000</v>
      </c>
      <c r="S380" s="533" t="s">
        <v>1937</v>
      </c>
      <c r="T380" s="615" t="s">
        <v>38</v>
      </c>
      <c r="U380" s="615"/>
      <c r="V380" s="615"/>
      <c r="W380" s="510" t="s">
        <v>1047</v>
      </c>
      <c r="X380" s="120"/>
      <c r="Y380" s="120"/>
      <c r="Z380" s="120"/>
      <c r="AA380" s="120"/>
      <c r="AB380" s="120"/>
      <c r="AC380" s="120"/>
      <c r="AD380"/>
      <c r="AE380"/>
      <c r="AF380" s="2773"/>
    </row>
    <row r="381" spans="1:32" s="400" customFormat="1" ht="37.5">
      <c r="A381" s="1119"/>
      <c r="B381" s="957" t="s">
        <v>56</v>
      </c>
      <c r="C381" s="510" t="s">
        <v>2428</v>
      </c>
      <c r="D381" s="511" t="s">
        <v>32</v>
      </c>
      <c r="E381" s="511"/>
      <c r="F381" s="511"/>
      <c r="G381" s="511"/>
      <c r="H381" s="511" t="s">
        <v>308</v>
      </c>
      <c r="I381" s="510" t="s">
        <v>47</v>
      </c>
      <c r="J381" s="1580" t="s">
        <v>2429</v>
      </c>
      <c r="K381" s="533"/>
      <c r="L381" s="618">
        <v>43430</v>
      </c>
      <c r="M381" s="618"/>
      <c r="N381" s="618"/>
      <c r="O381" s="618">
        <v>43521</v>
      </c>
      <c r="P381" s="535">
        <v>1</v>
      </c>
      <c r="Q381" s="535">
        <v>1</v>
      </c>
      <c r="R381" s="599">
        <v>84000</v>
      </c>
      <c r="S381" s="533" t="s">
        <v>84</v>
      </c>
      <c r="T381" s="615" t="s">
        <v>38</v>
      </c>
      <c r="U381" s="615"/>
      <c r="V381" s="615"/>
      <c r="W381" s="510" t="s">
        <v>2430</v>
      </c>
      <c r="X381" s="120"/>
      <c r="Y381" s="120"/>
      <c r="Z381" s="120"/>
      <c r="AA381" s="120"/>
      <c r="AB381" s="120"/>
      <c r="AC381" s="120"/>
      <c r="AD381"/>
      <c r="AE381"/>
      <c r="AF381" s="2773"/>
    </row>
    <row r="382" spans="1:32" s="400" customFormat="1" ht="37.5">
      <c r="A382" s="1119"/>
      <c r="B382" s="957" t="s">
        <v>56</v>
      </c>
      <c r="C382" s="510" t="s">
        <v>2431</v>
      </c>
      <c r="D382" s="511" t="s">
        <v>32</v>
      </c>
      <c r="E382" s="511"/>
      <c r="F382" s="511"/>
      <c r="G382" s="511"/>
      <c r="H382" s="511" t="s">
        <v>308</v>
      </c>
      <c r="I382" s="519" t="s">
        <v>47</v>
      </c>
      <c r="J382" s="1578" t="s">
        <v>2432</v>
      </c>
      <c r="K382" s="512"/>
      <c r="L382" s="530">
        <v>43353</v>
      </c>
      <c r="M382" s="530"/>
      <c r="N382" s="530"/>
      <c r="O382" s="530">
        <v>43521</v>
      </c>
      <c r="P382" s="516">
        <v>2</v>
      </c>
      <c r="Q382" s="516">
        <v>2</v>
      </c>
      <c r="R382" s="599">
        <v>500000</v>
      </c>
      <c r="S382" s="523" t="s">
        <v>1937</v>
      </c>
      <c r="T382" s="515" t="s">
        <v>38</v>
      </c>
      <c r="U382" s="515"/>
      <c r="V382" s="515"/>
      <c r="W382" s="519" t="s">
        <v>2433</v>
      </c>
      <c r="X382" s="120"/>
      <c r="Y382" s="120"/>
      <c r="Z382" s="120"/>
      <c r="AA382" s="120"/>
      <c r="AB382" s="120"/>
      <c r="AC382" s="120"/>
      <c r="AD382"/>
      <c r="AE382"/>
      <c r="AF382" s="1"/>
    </row>
    <row r="383" spans="1:32" s="360" customFormat="1" ht="174">
      <c r="A383" s="1184"/>
      <c r="B383" s="1" t="s">
        <v>44</v>
      </c>
      <c r="C383" s="4"/>
      <c r="D383" s="8" t="s">
        <v>32</v>
      </c>
      <c r="E383" s="8"/>
      <c r="F383" s="8"/>
      <c r="G383" s="8"/>
      <c r="H383" s="5" t="s">
        <v>33</v>
      </c>
      <c r="I383" s="12" t="s">
        <v>47</v>
      </c>
      <c r="J383" s="16" t="s">
        <v>1915</v>
      </c>
      <c r="K383" s="16"/>
      <c r="L383" s="16"/>
      <c r="M383" s="182">
        <v>43405</v>
      </c>
      <c r="N383" s="182"/>
      <c r="O383" s="182">
        <v>43522</v>
      </c>
      <c r="P383" s="12">
        <v>60</v>
      </c>
      <c r="Q383" s="7" t="s">
        <v>2434</v>
      </c>
      <c r="R383" s="18">
        <v>23200</v>
      </c>
      <c r="S383" s="5" t="s">
        <v>130</v>
      </c>
      <c r="T383" s="12" t="s">
        <v>38</v>
      </c>
      <c r="U383" s="4"/>
      <c r="V383" s="4"/>
      <c r="W383" s="12" t="s">
        <v>1640</v>
      </c>
      <c r="X383" s="2751" t="s">
        <v>94</v>
      </c>
      <c r="Y383" s="5" t="s">
        <v>40</v>
      </c>
      <c r="Z383" s="5"/>
      <c r="AA383" s="5"/>
      <c r="AB383" s="199">
        <v>43482</v>
      </c>
      <c r="AC383" s="84" t="s">
        <v>2435</v>
      </c>
      <c r="AD383" s="1"/>
      <c r="AE383" s="339">
        <v>4640</v>
      </c>
      <c r="AF383" s="2773"/>
    </row>
    <row r="384" spans="1:32" s="360" customFormat="1" ht="43.5">
      <c r="A384" s="1184"/>
      <c r="B384" s="1" t="s">
        <v>44</v>
      </c>
      <c r="C384" s="4"/>
      <c r="D384" s="8" t="s">
        <v>32</v>
      </c>
      <c r="E384" s="8"/>
      <c r="F384" s="8"/>
      <c r="G384" s="8"/>
      <c r="H384" s="5" t="s">
        <v>33</v>
      </c>
      <c r="I384" s="5" t="s">
        <v>34</v>
      </c>
      <c r="J384" s="16" t="s">
        <v>2436</v>
      </c>
      <c r="K384" s="16"/>
      <c r="L384" s="16"/>
      <c r="M384" s="182">
        <v>43101</v>
      </c>
      <c r="N384" s="182"/>
      <c r="O384" s="182">
        <v>43523</v>
      </c>
      <c r="P384" s="12">
        <v>84</v>
      </c>
      <c r="Q384" s="7" t="s">
        <v>1971</v>
      </c>
      <c r="R384" s="18">
        <v>424000</v>
      </c>
      <c r="S384" s="5" t="s">
        <v>91</v>
      </c>
      <c r="T384" s="12" t="s">
        <v>38</v>
      </c>
      <c r="U384" s="4"/>
      <c r="V384" s="4"/>
      <c r="W384" s="5" t="s">
        <v>142</v>
      </c>
      <c r="X384" s="5" t="s">
        <v>2437</v>
      </c>
      <c r="Y384" s="5" t="s">
        <v>40</v>
      </c>
      <c r="Z384" s="5"/>
      <c r="AA384" s="5"/>
      <c r="AB384" s="199"/>
      <c r="AC384" s="8" t="s">
        <v>2438</v>
      </c>
      <c r="AD384" s="1"/>
      <c r="AE384" s="486"/>
      <c r="AF384" s="1"/>
    </row>
    <row r="385" spans="1:32" s="360" customFormat="1">
      <c r="A385" s="1648">
        <v>44974</v>
      </c>
      <c r="B385" s="1657" t="s">
        <v>1168</v>
      </c>
      <c r="C385" s="1664">
        <v>28262</v>
      </c>
      <c r="D385" s="1664" t="s">
        <v>1506</v>
      </c>
      <c r="E385" s="1655" t="s">
        <v>1168</v>
      </c>
      <c r="F385" s="1655" t="s">
        <v>1170</v>
      </c>
      <c r="G385" s="1655" t="s">
        <v>1170</v>
      </c>
      <c r="H385" s="1655" t="s">
        <v>1170</v>
      </c>
      <c r="I385" s="1655" t="s">
        <v>1170</v>
      </c>
      <c r="J385" s="1698" t="s">
        <v>2439</v>
      </c>
      <c r="K385" s="1664" t="s">
        <v>1508</v>
      </c>
      <c r="L385" s="1655" t="s">
        <v>1170</v>
      </c>
      <c r="M385" s="1655" t="s">
        <v>1170</v>
      </c>
      <c r="N385" s="1655" t="s">
        <v>1170</v>
      </c>
      <c r="O385" s="1755">
        <v>43524</v>
      </c>
      <c r="P385" s="1755">
        <v>44984</v>
      </c>
      <c r="Q385" s="1664" t="s">
        <v>1509</v>
      </c>
      <c r="R385" s="1805">
        <v>85000</v>
      </c>
      <c r="S385" s="1664" t="s">
        <v>1182</v>
      </c>
      <c r="T385" s="1655" t="s">
        <v>1170</v>
      </c>
      <c r="U385" s="1655" t="s">
        <v>1170</v>
      </c>
      <c r="V385" s="1655"/>
      <c r="W385" s="1664" t="s">
        <v>1510</v>
      </c>
      <c r="X385" s="1664" t="s">
        <v>1175</v>
      </c>
      <c r="Y385" s="1664" t="s">
        <v>251</v>
      </c>
      <c r="Z385" s="1655" t="s">
        <v>1170</v>
      </c>
      <c r="AA385" s="1655" t="s">
        <v>1170</v>
      </c>
      <c r="AB385" s="1655" t="s">
        <v>1170</v>
      </c>
      <c r="AC385" s="1698" t="s">
        <v>2440</v>
      </c>
      <c r="AD385" s="1657" t="s">
        <v>1170</v>
      </c>
      <c r="AE385" s="1828">
        <v>85000</v>
      </c>
      <c r="AF385"/>
    </row>
    <row r="386" spans="1:32" s="360" customFormat="1" ht="25">
      <c r="A386" s="1119"/>
      <c r="B386" s="957" t="s">
        <v>56</v>
      </c>
      <c r="C386" s="529"/>
      <c r="D386" s="511" t="s">
        <v>57</v>
      </c>
      <c r="E386" s="511"/>
      <c r="F386" s="511"/>
      <c r="G386" s="511"/>
      <c r="H386" s="511" t="s">
        <v>308</v>
      </c>
      <c r="I386" s="519" t="s">
        <v>47</v>
      </c>
      <c r="J386" s="606" t="s">
        <v>2441</v>
      </c>
      <c r="K386" s="529"/>
      <c r="L386" s="602">
        <v>43467</v>
      </c>
      <c r="M386" s="602"/>
      <c r="N386" s="602"/>
      <c r="O386" s="597">
        <v>43525</v>
      </c>
      <c r="P386" s="516">
        <v>1</v>
      </c>
      <c r="Q386" s="516">
        <v>1</v>
      </c>
      <c r="R386" s="605">
        <f>8*1400</f>
        <v>11200</v>
      </c>
      <c r="S386" s="523" t="s">
        <v>176</v>
      </c>
      <c r="T386" s="515" t="s">
        <v>38</v>
      </c>
      <c r="U386" s="515"/>
      <c r="V386" s="515"/>
      <c r="W386" s="519" t="s">
        <v>205</v>
      </c>
      <c r="X386" s="120"/>
      <c r="Y386" s="120"/>
      <c r="Z386" s="120"/>
      <c r="AA386" s="120"/>
      <c r="AB386" s="120"/>
      <c r="AC386" s="120"/>
      <c r="AD386"/>
      <c r="AE386"/>
      <c r="AF386" s="2773"/>
    </row>
    <row r="387" spans="1:32" s="360" customFormat="1" ht="29.15" customHeight="1">
      <c r="A387" s="1119"/>
      <c r="B387" s="957" t="s">
        <v>56</v>
      </c>
      <c r="C387" s="601"/>
      <c r="D387" s="511" t="s">
        <v>57</v>
      </c>
      <c r="E387" s="511"/>
      <c r="F387" s="511"/>
      <c r="G387" s="511"/>
      <c r="H387" s="511" t="s">
        <v>308</v>
      </c>
      <c r="I387" s="519" t="s">
        <v>47</v>
      </c>
      <c r="J387" s="606" t="s">
        <v>2442</v>
      </c>
      <c r="K387" s="529"/>
      <c r="L387" s="602">
        <v>43435</v>
      </c>
      <c r="M387" s="602"/>
      <c r="N387" s="602"/>
      <c r="O387" s="602">
        <v>43525</v>
      </c>
      <c r="P387" s="516" t="s">
        <v>60</v>
      </c>
      <c r="Q387" s="516" t="s">
        <v>60</v>
      </c>
      <c r="R387" s="599">
        <v>250000</v>
      </c>
      <c r="S387" s="523" t="s">
        <v>1937</v>
      </c>
      <c r="T387" s="515" t="s">
        <v>38</v>
      </c>
      <c r="U387" s="515"/>
      <c r="V387" s="515"/>
      <c r="W387" s="511" t="s">
        <v>60</v>
      </c>
      <c r="X387" s="120"/>
      <c r="Y387" s="120"/>
      <c r="Z387" s="120"/>
      <c r="AA387" s="120"/>
      <c r="AB387" s="120"/>
      <c r="AC387" s="120"/>
      <c r="AD387"/>
      <c r="AE387"/>
      <c r="AF387"/>
    </row>
    <row r="388" spans="1:32" s="423" customFormat="1" ht="43.4" customHeight="1">
      <c r="A388" s="1119"/>
      <c r="B388" s="957" t="s">
        <v>56</v>
      </c>
      <c r="C388" s="510" t="s">
        <v>2443</v>
      </c>
      <c r="D388" s="511" t="s">
        <v>57</v>
      </c>
      <c r="E388" s="511"/>
      <c r="F388" s="511"/>
      <c r="G388" s="511"/>
      <c r="H388" s="511" t="s">
        <v>308</v>
      </c>
      <c r="I388" s="519" t="s">
        <v>47</v>
      </c>
      <c r="J388" s="1578" t="s">
        <v>2444</v>
      </c>
      <c r="K388" s="512"/>
      <c r="L388" s="597">
        <v>43476</v>
      </c>
      <c r="M388" s="597"/>
      <c r="N388" s="597"/>
      <c r="O388" s="597">
        <v>43525</v>
      </c>
      <c r="P388" s="516">
        <v>6</v>
      </c>
      <c r="Q388" s="516">
        <v>6</v>
      </c>
      <c r="R388" s="599">
        <v>600000</v>
      </c>
      <c r="S388" s="523" t="s">
        <v>1937</v>
      </c>
      <c r="T388" s="515" t="s">
        <v>38</v>
      </c>
      <c r="U388" s="515"/>
      <c r="V388" s="515"/>
      <c r="W388" s="519" t="s">
        <v>2445</v>
      </c>
      <c r="X388" s="120"/>
      <c r="Y388" s="120"/>
      <c r="Z388" s="120"/>
      <c r="AA388" s="120"/>
      <c r="AB388" s="120"/>
      <c r="AC388" s="120"/>
      <c r="AD388"/>
      <c r="AE388"/>
      <c r="AF388"/>
    </row>
    <row r="389" spans="1:32" s="423" customFormat="1" ht="43.4" customHeight="1">
      <c r="A389" s="1119"/>
      <c r="B389" s="957" t="s">
        <v>56</v>
      </c>
      <c r="C389" s="510" t="s">
        <v>2446</v>
      </c>
      <c r="D389" s="511" t="s">
        <v>32</v>
      </c>
      <c r="E389" s="511"/>
      <c r="F389" s="511"/>
      <c r="G389" s="511"/>
      <c r="H389" s="511" t="s">
        <v>308</v>
      </c>
      <c r="I389" s="519" t="s">
        <v>47</v>
      </c>
      <c r="J389" s="1578" t="s">
        <v>2447</v>
      </c>
      <c r="K389" s="512"/>
      <c r="L389" s="530">
        <v>43467</v>
      </c>
      <c r="M389" s="530"/>
      <c r="N389" s="530"/>
      <c r="O389" s="530">
        <v>43525</v>
      </c>
      <c r="P389" s="516">
        <v>6</v>
      </c>
      <c r="Q389" s="516">
        <v>6</v>
      </c>
      <c r="R389" s="599">
        <v>600000</v>
      </c>
      <c r="S389" s="523" t="s">
        <v>1937</v>
      </c>
      <c r="T389" s="515" t="s">
        <v>38</v>
      </c>
      <c r="U389" s="515"/>
      <c r="V389" s="515"/>
      <c r="W389" s="519" t="s">
        <v>2448</v>
      </c>
      <c r="X389" s="120"/>
      <c r="Y389" s="120"/>
      <c r="Z389" s="120"/>
      <c r="AA389" s="120"/>
      <c r="AB389" s="120"/>
      <c r="AC389" s="120"/>
      <c r="AD389"/>
      <c r="AE389"/>
      <c r="AF389"/>
    </row>
    <row r="390" spans="1:32" s="427" customFormat="1" ht="29.15" customHeight="1">
      <c r="A390" s="1119"/>
      <c r="B390" s="957" t="s">
        <v>56</v>
      </c>
      <c r="C390" s="510" t="s">
        <v>71</v>
      </c>
      <c r="D390" s="511" t="s">
        <v>32</v>
      </c>
      <c r="E390" s="511"/>
      <c r="F390" s="511"/>
      <c r="G390" s="511"/>
      <c r="H390" s="511" t="s">
        <v>308</v>
      </c>
      <c r="I390" s="519" t="s">
        <v>47</v>
      </c>
      <c r="J390" s="1578" t="s">
        <v>2449</v>
      </c>
      <c r="K390" s="512"/>
      <c r="L390" s="530">
        <v>43252</v>
      </c>
      <c r="M390" s="530"/>
      <c r="N390" s="530"/>
      <c r="O390" s="530">
        <v>43525</v>
      </c>
      <c r="P390" s="516">
        <v>24</v>
      </c>
      <c r="Q390" s="516" t="s">
        <v>1345</v>
      </c>
      <c r="R390" s="599">
        <v>42000000</v>
      </c>
      <c r="S390" s="523" t="s">
        <v>60</v>
      </c>
      <c r="T390" s="515" t="s">
        <v>70</v>
      </c>
      <c r="U390" s="515"/>
      <c r="V390" s="515"/>
      <c r="W390" s="519" t="s">
        <v>714</v>
      </c>
      <c r="X390" s="120"/>
      <c r="Y390" s="120"/>
      <c r="Z390" s="120"/>
      <c r="AA390" s="120"/>
      <c r="AB390" s="120"/>
      <c r="AC390" s="120"/>
      <c r="AD390"/>
      <c r="AE390"/>
      <c r="AF390"/>
    </row>
    <row r="391" spans="1:32" s="423" customFormat="1" ht="111" customHeight="1">
      <c r="A391" s="1119"/>
      <c r="B391" s="957" t="s">
        <v>56</v>
      </c>
      <c r="C391" s="510" t="s">
        <v>2450</v>
      </c>
      <c r="D391" s="511" t="s">
        <v>57</v>
      </c>
      <c r="E391" s="511"/>
      <c r="F391" s="511"/>
      <c r="G391" s="511"/>
      <c r="H391" s="511" t="s">
        <v>58</v>
      </c>
      <c r="I391" s="519" t="s">
        <v>47</v>
      </c>
      <c r="J391" s="1578" t="s">
        <v>2451</v>
      </c>
      <c r="K391" s="512"/>
      <c r="L391" s="530">
        <v>43435</v>
      </c>
      <c r="M391" s="530"/>
      <c r="N391" s="530"/>
      <c r="O391" s="530">
        <v>43525</v>
      </c>
      <c r="P391" s="516">
        <v>1</v>
      </c>
      <c r="Q391" s="516">
        <v>1</v>
      </c>
      <c r="R391" s="599">
        <v>970000</v>
      </c>
      <c r="S391" s="523" t="s">
        <v>1937</v>
      </c>
      <c r="T391" s="515" t="s">
        <v>310</v>
      </c>
      <c r="U391" s="515"/>
      <c r="V391" s="515"/>
      <c r="W391" s="533" t="s">
        <v>2417</v>
      </c>
      <c r="X391" s="120"/>
      <c r="Y391" s="120"/>
      <c r="Z391" s="120"/>
      <c r="AA391" s="120"/>
      <c r="AB391" s="120"/>
      <c r="AC391" s="120"/>
      <c r="AD391"/>
      <c r="AE391"/>
      <c r="AF391"/>
    </row>
    <row r="392" spans="1:32" s="360" customFormat="1" ht="25">
      <c r="A392" s="1119"/>
      <c r="B392" s="957" t="s">
        <v>56</v>
      </c>
      <c r="C392" s="510" t="s">
        <v>2452</v>
      </c>
      <c r="D392" s="511" t="s">
        <v>122</v>
      </c>
      <c r="E392" s="511"/>
      <c r="F392" s="511"/>
      <c r="G392" s="511"/>
      <c r="H392" s="511" t="s">
        <v>308</v>
      </c>
      <c r="I392" s="510" t="s">
        <v>47</v>
      </c>
      <c r="J392" s="1580" t="s">
        <v>2453</v>
      </c>
      <c r="K392" s="533"/>
      <c r="L392" s="618">
        <v>43440</v>
      </c>
      <c r="M392" s="618"/>
      <c r="N392" s="618"/>
      <c r="O392" s="618">
        <v>43525</v>
      </c>
      <c r="P392" s="535">
        <v>2</v>
      </c>
      <c r="Q392" s="535">
        <v>2</v>
      </c>
      <c r="R392" s="599">
        <v>178000</v>
      </c>
      <c r="S392" s="533" t="s">
        <v>84</v>
      </c>
      <c r="T392" s="515" t="s">
        <v>62</v>
      </c>
      <c r="U392" s="515"/>
      <c r="V392" s="515"/>
      <c r="W392" s="533" t="s">
        <v>2408</v>
      </c>
      <c r="X392" s="120"/>
      <c r="Y392" s="120"/>
      <c r="Z392" s="120"/>
      <c r="AA392" s="120"/>
      <c r="AB392" s="120"/>
      <c r="AC392" s="120"/>
      <c r="AD392"/>
      <c r="AE392"/>
      <c r="AF392"/>
    </row>
    <row r="393" spans="1:32" s="360" customFormat="1" ht="29.15" customHeight="1">
      <c r="A393" s="1119"/>
      <c r="B393" s="957" t="s">
        <v>56</v>
      </c>
      <c r="C393" s="510" t="s">
        <v>60</v>
      </c>
      <c r="D393" s="511" t="s">
        <v>57</v>
      </c>
      <c r="E393" s="511"/>
      <c r="F393" s="511"/>
      <c r="G393" s="511"/>
      <c r="H393" s="511" t="s">
        <v>58</v>
      </c>
      <c r="I393" s="519" t="s">
        <v>47</v>
      </c>
      <c r="J393" s="1578" t="s">
        <v>2454</v>
      </c>
      <c r="K393" s="529"/>
      <c r="L393" s="511">
        <v>14</v>
      </c>
      <c r="M393" s="514">
        <f>IF(O393="tbc","",(IFERROR(EDATE($N393,-3),"Invalid procurement method or date entered")))</f>
        <v>43009</v>
      </c>
      <c r="N393" s="514">
        <f>IF(O393="tbc","",(IFERROR(EDATE(O393,-L393),"Invalid procurement method or date entered")))</f>
        <v>43101</v>
      </c>
      <c r="O393" s="515">
        <v>43525</v>
      </c>
      <c r="P393" s="516">
        <v>60</v>
      </c>
      <c r="Q393" s="516">
        <v>60</v>
      </c>
      <c r="R393" s="528">
        <v>25000</v>
      </c>
      <c r="S393" s="515" t="s">
        <v>37</v>
      </c>
      <c r="T393" s="515" t="s">
        <v>2455</v>
      </c>
      <c r="U393" s="515" t="s">
        <v>60</v>
      </c>
      <c r="V393" s="515"/>
      <c r="W393" s="394" t="s">
        <v>70</v>
      </c>
      <c r="X393" s="120"/>
      <c r="Y393" s="120"/>
      <c r="Z393" s="120"/>
      <c r="AA393" s="120"/>
      <c r="AB393" s="120"/>
      <c r="AC393" s="120"/>
      <c r="AD393"/>
      <c r="AE393"/>
      <c r="AF393"/>
    </row>
    <row r="394" spans="1:32" s="360" customFormat="1" ht="86.9" customHeight="1">
      <c r="A394" s="1648">
        <v>44974</v>
      </c>
      <c r="B394" s="1657" t="s">
        <v>1168</v>
      </c>
      <c r="C394" s="1664" t="s">
        <v>1170</v>
      </c>
      <c r="D394" s="1664" t="s">
        <v>1178</v>
      </c>
      <c r="E394" s="1655" t="s">
        <v>1168</v>
      </c>
      <c r="F394" s="1655" t="s">
        <v>1170</v>
      </c>
      <c r="G394" s="1655" t="s">
        <v>1170</v>
      </c>
      <c r="H394" s="1655" t="s">
        <v>1170</v>
      </c>
      <c r="I394" s="1655" t="s">
        <v>1170</v>
      </c>
      <c r="J394" s="1698" t="s">
        <v>2456</v>
      </c>
      <c r="K394" s="1664" t="s">
        <v>2457</v>
      </c>
      <c r="L394" s="1655" t="s">
        <v>1170</v>
      </c>
      <c r="M394" s="1655" t="s">
        <v>1170</v>
      </c>
      <c r="N394" s="1655" t="s">
        <v>1170</v>
      </c>
      <c r="O394" s="1755">
        <v>43525</v>
      </c>
      <c r="P394" s="1755">
        <v>45016</v>
      </c>
      <c r="Q394" s="1664" t="s">
        <v>1181</v>
      </c>
      <c r="R394" s="1805">
        <v>41942</v>
      </c>
      <c r="S394" s="1664" t="s">
        <v>2458</v>
      </c>
      <c r="T394" s="1655" t="s">
        <v>1170</v>
      </c>
      <c r="U394" s="1655" t="s">
        <v>1170</v>
      </c>
      <c r="V394" s="1655"/>
      <c r="W394" s="1664" t="s">
        <v>1190</v>
      </c>
      <c r="X394" s="1664" t="s">
        <v>1175</v>
      </c>
      <c r="Y394" s="1664" t="s">
        <v>251</v>
      </c>
      <c r="Z394" s="1655" t="s">
        <v>1170</v>
      </c>
      <c r="AA394" s="1655" t="s">
        <v>1170</v>
      </c>
      <c r="AB394" s="1655" t="s">
        <v>1170</v>
      </c>
      <c r="AC394" s="1698" t="s">
        <v>2459</v>
      </c>
      <c r="AD394" s="1657" t="s">
        <v>1170</v>
      </c>
      <c r="AE394" s="1828">
        <v>41942</v>
      </c>
      <c r="AF394"/>
    </row>
    <row r="395" spans="1:32" s="360" customFormat="1" ht="43.4" customHeight="1">
      <c r="A395" s="2756"/>
      <c r="B395" s="1" t="s">
        <v>44</v>
      </c>
      <c r="C395" s="4"/>
      <c r="D395" s="8" t="s">
        <v>32</v>
      </c>
      <c r="E395" s="8"/>
      <c r="F395" s="8"/>
      <c r="G395" s="8"/>
      <c r="H395" s="5" t="s">
        <v>33</v>
      </c>
      <c r="I395" s="5" t="s">
        <v>47</v>
      </c>
      <c r="J395" s="16" t="s">
        <v>2313</v>
      </c>
      <c r="K395" s="16"/>
      <c r="L395" s="16"/>
      <c r="M395" s="182">
        <v>43411</v>
      </c>
      <c r="N395" s="182"/>
      <c r="O395" s="182">
        <v>43528</v>
      </c>
      <c r="P395" s="12">
        <v>36</v>
      </c>
      <c r="Q395" s="13" t="s">
        <v>1538</v>
      </c>
      <c r="R395" s="18">
        <v>42750</v>
      </c>
      <c r="S395" s="5" t="s">
        <v>84</v>
      </c>
      <c r="T395" s="12" t="s">
        <v>38</v>
      </c>
      <c r="U395" s="4"/>
      <c r="V395" s="4"/>
      <c r="W395" s="5" t="s">
        <v>142</v>
      </c>
      <c r="X395" s="5" t="s">
        <v>2179</v>
      </c>
      <c r="Y395" s="5" t="s">
        <v>40</v>
      </c>
      <c r="Z395" s="5"/>
      <c r="AA395" s="5"/>
      <c r="AB395" s="2801">
        <v>43522</v>
      </c>
      <c r="AC395" s="8" t="s">
        <v>2460</v>
      </c>
      <c r="AD395" s="1"/>
      <c r="AE395" s="486">
        <v>14250</v>
      </c>
      <c r="AF395"/>
    </row>
    <row r="396" spans="1:32" ht="29.15" customHeight="1">
      <c r="A396" s="1119"/>
      <c r="B396" s="957" t="s">
        <v>56</v>
      </c>
      <c r="C396" s="555" t="s">
        <v>2461</v>
      </c>
      <c r="D396" s="511" t="s">
        <v>57</v>
      </c>
      <c r="E396" s="511"/>
      <c r="F396" s="511"/>
      <c r="G396" s="511"/>
      <c r="H396" s="511" t="s">
        <v>58</v>
      </c>
      <c r="I396" s="519" t="s">
        <v>47</v>
      </c>
      <c r="J396" s="1578" t="s">
        <v>2462</v>
      </c>
      <c r="K396" s="512"/>
      <c r="L396" s="597">
        <v>43455</v>
      </c>
      <c r="M396" s="597"/>
      <c r="N396" s="597"/>
      <c r="O396" s="597">
        <v>43528</v>
      </c>
      <c r="P396" s="516" t="s">
        <v>45</v>
      </c>
      <c r="Q396" s="516" t="s">
        <v>60</v>
      </c>
      <c r="R396" s="599">
        <v>238000</v>
      </c>
      <c r="S396" s="523" t="s">
        <v>1189</v>
      </c>
      <c r="T396" s="519" t="s">
        <v>60</v>
      </c>
      <c r="U396" s="519"/>
      <c r="V396" s="519"/>
      <c r="W396" s="120"/>
      <c r="X396" s="120"/>
      <c r="Y396" s="120"/>
      <c r="Z396" s="120"/>
      <c r="AA396" s="120"/>
      <c r="AB396" s="120"/>
      <c r="AC396" s="120"/>
    </row>
    <row r="397" spans="1:32" s="360" customFormat="1" ht="57.65" customHeight="1">
      <c r="A397" s="1119"/>
      <c r="B397" s="957" t="s">
        <v>56</v>
      </c>
      <c r="C397" s="555" t="s">
        <v>2461</v>
      </c>
      <c r="D397" s="511" t="s">
        <v>57</v>
      </c>
      <c r="E397" s="511"/>
      <c r="F397" s="511"/>
      <c r="G397" s="511"/>
      <c r="H397" s="511" t="s">
        <v>58</v>
      </c>
      <c r="I397" s="519" t="s">
        <v>47</v>
      </c>
      <c r="J397" s="1578" t="s">
        <v>2463</v>
      </c>
      <c r="K397" s="512"/>
      <c r="L397" s="597">
        <v>43455</v>
      </c>
      <c r="M397" s="597"/>
      <c r="N397" s="597"/>
      <c r="O397" s="597">
        <v>43528</v>
      </c>
      <c r="P397" s="516" t="s">
        <v>45</v>
      </c>
      <c r="Q397" s="516" t="s">
        <v>45</v>
      </c>
      <c r="R397" s="599">
        <v>408000</v>
      </c>
      <c r="S397" s="523" t="s">
        <v>1189</v>
      </c>
      <c r="T397" s="519" t="s">
        <v>60</v>
      </c>
      <c r="U397" s="519"/>
      <c r="V397" s="519"/>
      <c r="W397" s="120"/>
      <c r="X397" s="120"/>
      <c r="Y397" s="120"/>
      <c r="Z397" s="120"/>
      <c r="AA397" s="120"/>
      <c r="AB397" s="120"/>
      <c r="AC397" s="120"/>
      <c r="AD397"/>
      <c r="AE397"/>
      <c r="AF397"/>
    </row>
    <row r="398" spans="1:32" ht="57.65" customHeight="1">
      <c r="A398" s="1119"/>
      <c r="B398" s="957" t="s">
        <v>56</v>
      </c>
      <c r="C398" s="555" t="s">
        <v>2461</v>
      </c>
      <c r="D398" s="511" t="s">
        <v>57</v>
      </c>
      <c r="E398" s="511"/>
      <c r="F398" s="511"/>
      <c r="G398" s="511"/>
      <c r="H398" s="511" t="s">
        <v>58</v>
      </c>
      <c r="I398" s="519" t="s">
        <v>47</v>
      </c>
      <c r="J398" s="1578" t="s">
        <v>2464</v>
      </c>
      <c r="K398" s="512"/>
      <c r="L398" s="597">
        <v>43455</v>
      </c>
      <c r="M398" s="597"/>
      <c r="N398" s="597"/>
      <c r="O398" s="597">
        <v>43528</v>
      </c>
      <c r="P398" s="516" t="s">
        <v>45</v>
      </c>
      <c r="Q398" s="516" t="s">
        <v>45</v>
      </c>
      <c r="R398" s="599">
        <v>310000</v>
      </c>
      <c r="S398" s="523" t="s">
        <v>1189</v>
      </c>
      <c r="T398" s="519" t="s">
        <v>60</v>
      </c>
      <c r="U398" s="519"/>
      <c r="V398" s="519"/>
      <c r="W398" s="120"/>
      <c r="X398" s="120"/>
      <c r="Y398" s="120"/>
      <c r="Z398" s="120"/>
      <c r="AA398" s="120"/>
      <c r="AB398" s="120"/>
      <c r="AC398" s="120"/>
    </row>
    <row r="399" spans="1:32" s="360" customFormat="1" ht="57.65" customHeight="1">
      <c r="A399" s="1119"/>
      <c r="B399" s="957" t="s">
        <v>56</v>
      </c>
      <c r="C399" s="510" t="s">
        <v>2465</v>
      </c>
      <c r="D399" s="511" t="s">
        <v>57</v>
      </c>
      <c r="E399" s="511"/>
      <c r="F399" s="511"/>
      <c r="G399" s="511"/>
      <c r="H399" s="511" t="s">
        <v>58</v>
      </c>
      <c r="I399" s="510" t="s">
        <v>47</v>
      </c>
      <c r="J399" s="1580" t="s">
        <v>2466</v>
      </c>
      <c r="K399" s="533"/>
      <c r="L399" s="534">
        <v>43490</v>
      </c>
      <c r="M399" s="534"/>
      <c r="N399" s="534"/>
      <c r="O399" s="615">
        <v>43528</v>
      </c>
      <c r="P399" s="535">
        <v>0.5</v>
      </c>
      <c r="Q399" s="535">
        <v>0.5</v>
      </c>
      <c r="R399" s="599">
        <v>15000</v>
      </c>
      <c r="S399" s="533" t="s">
        <v>1937</v>
      </c>
      <c r="T399" s="615" t="s">
        <v>38</v>
      </c>
      <c r="U399" s="615"/>
      <c r="V399" s="615"/>
      <c r="W399" s="510" t="s">
        <v>2252</v>
      </c>
      <c r="X399" s="120"/>
      <c r="Y399" s="120"/>
      <c r="Z399" s="120"/>
      <c r="AA399" s="120"/>
      <c r="AB399" s="120"/>
      <c r="AC399" s="120"/>
      <c r="AD399"/>
      <c r="AE399"/>
    </row>
    <row r="400" spans="1:32" s="360" customFormat="1" ht="72" customHeight="1">
      <c r="A400" s="1119"/>
      <c r="B400" s="957" t="s">
        <v>56</v>
      </c>
      <c r="C400" s="510" t="s">
        <v>2467</v>
      </c>
      <c r="D400" s="511" t="s">
        <v>57</v>
      </c>
      <c r="E400" s="511"/>
      <c r="F400" s="511"/>
      <c r="G400" s="511"/>
      <c r="H400" s="511" t="s">
        <v>308</v>
      </c>
      <c r="I400" s="510" t="s">
        <v>47</v>
      </c>
      <c r="J400" s="1580" t="s">
        <v>2468</v>
      </c>
      <c r="K400" s="533"/>
      <c r="L400" s="534">
        <v>43500</v>
      </c>
      <c r="M400" s="534"/>
      <c r="N400" s="534"/>
      <c r="O400" s="615">
        <v>43528</v>
      </c>
      <c r="P400" s="535">
        <v>1</v>
      </c>
      <c r="Q400" s="535">
        <v>1</v>
      </c>
      <c r="R400" s="599">
        <v>700000</v>
      </c>
      <c r="S400" s="533" t="s">
        <v>1937</v>
      </c>
      <c r="T400" s="615" t="s">
        <v>1568</v>
      </c>
      <c r="U400" s="615"/>
      <c r="V400" s="615"/>
      <c r="W400" s="510" t="s">
        <v>2469</v>
      </c>
      <c r="X400" s="120"/>
      <c r="Y400" s="120"/>
      <c r="Z400" s="186"/>
      <c r="AA400" s="186"/>
      <c r="AB400" s="120"/>
      <c r="AC400" s="120"/>
      <c r="AD400"/>
      <c r="AE400"/>
    </row>
    <row r="401" spans="1:32" ht="29.15" customHeight="1">
      <c r="A401" s="1184"/>
      <c r="B401" s="1" t="s">
        <v>44</v>
      </c>
      <c r="C401" s="4" t="s">
        <v>2470</v>
      </c>
      <c r="D401" s="5" t="s">
        <v>32</v>
      </c>
      <c r="E401" s="5"/>
      <c r="F401" s="5"/>
      <c r="G401" s="5"/>
      <c r="H401" s="5" t="s">
        <v>2471</v>
      </c>
      <c r="I401" s="12" t="s">
        <v>34</v>
      </c>
      <c r="J401" s="16" t="s">
        <v>2472</v>
      </c>
      <c r="K401" s="16"/>
      <c r="L401" s="16"/>
      <c r="M401" s="199">
        <v>43468</v>
      </c>
      <c r="N401" s="199"/>
      <c r="O401" s="199">
        <v>43532</v>
      </c>
      <c r="P401" s="12">
        <v>120</v>
      </c>
      <c r="Q401" s="7" t="s">
        <v>2473</v>
      </c>
      <c r="R401" s="18">
        <v>177098</v>
      </c>
      <c r="S401" s="5" t="s">
        <v>130</v>
      </c>
      <c r="T401" s="11" t="s">
        <v>38</v>
      </c>
      <c r="U401" s="4"/>
      <c r="V401" s="4"/>
      <c r="W401" s="5" t="s">
        <v>2474</v>
      </c>
      <c r="X401" s="5" t="s">
        <v>2179</v>
      </c>
      <c r="Y401" s="5" t="s">
        <v>40</v>
      </c>
      <c r="Z401" s="26"/>
      <c r="AA401" s="26"/>
      <c r="AB401" s="2801">
        <v>43704</v>
      </c>
      <c r="AC401" s="36" t="s">
        <v>2475</v>
      </c>
      <c r="AD401" s="1"/>
      <c r="AE401" s="211">
        <v>22137</v>
      </c>
      <c r="AF401" s="360"/>
    </row>
    <row r="402" spans="1:32" s="360" customFormat="1" ht="57.65" customHeight="1">
      <c r="A402" s="1119"/>
      <c r="B402" s="957" t="s">
        <v>56</v>
      </c>
      <c r="C402" s="510" t="s">
        <v>2476</v>
      </c>
      <c r="D402" s="511" t="s">
        <v>57</v>
      </c>
      <c r="E402" s="511"/>
      <c r="F402" s="511"/>
      <c r="G402" s="511"/>
      <c r="H402" s="511" t="s">
        <v>58</v>
      </c>
      <c r="I402" s="519" t="s">
        <v>47</v>
      </c>
      <c r="J402" s="1578" t="s">
        <v>2477</v>
      </c>
      <c r="K402" s="512"/>
      <c r="L402" s="597">
        <v>43405</v>
      </c>
      <c r="M402" s="597"/>
      <c r="N402" s="597"/>
      <c r="O402" s="597">
        <v>43533</v>
      </c>
      <c r="P402" s="516">
        <v>48</v>
      </c>
      <c r="Q402" s="516">
        <v>48</v>
      </c>
      <c r="R402" s="599">
        <v>150000</v>
      </c>
      <c r="S402" s="523" t="s">
        <v>176</v>
      </c>
      <c r="T402" s="515" t="s">
        <v>38</v>
      </c>
      <c r="U402" s="515"/>
      <c r="V402" s="515"/>
      <c r="W402" s="519" t="s">
        <v>2325</v>
      </c>
      <c r="X402" s="120"/>
      <c r="Y402" s="120"/>
      <c r="Z402" s="186"/>
      <c r="AA402" s="186"/>
      <c r="AB402" s="120"/>
      <c r="AC402" s="120"/>
      <c r="AD402"/>
      <c r="AE402"/>
    </row>
    <row r="403" spans="1:32" s="442" customFormat="1" ht="37.5">
      <c r="A403" s="1119"/>
      <c r="B403" s="957" t="s">
        <v>56</v>
      </c>
      <c r="C403" s="510" t="s">
        <v>2478</v>
      </c>
      <c r="D403" s="511" t="s">
        <v>57</v>
      </c>
      <c r="E403" s="511"/>
      <c r="F403" s="511"/>
      <c r="G403" s="511"/>
      <c r="H403" s="511" t="s">
        <v>58</v>
      </c>
      <c r="I403" s="510" t="s">
        <v>47</v>
      </c>
      <c r="J403" s="1580" t="s">
        <v>2479</v>
      </c>
      <c r="K403" s="533"/>
      <c r="L403" s="534">
        <v>43500</v>
      </c>
      <c r="M403" s="534"/>
      <c r="N403" s="534"/>
      <c r="O403" s="615">
        <v>43535</v>
      </c>
      <c r="P403" s="535">
        <v>1</v>
      </c>
      <c r="Q403" s="535">
        <v>1</v>
      </c>
      <c r="R403" s="599">
        <v>20000</v>
      </c>
      <c r="S403" s="533" t="s">
        <v>176</v>
      </c>
      <c r="T403" s="615" t="s">
        <v>38</v>
      </c>
      <c r="U403" s="615"/>
      <c r="V403" s="615"/>
      <c r="W403" s="510" t="s">
        <v>2252</v>
      </c>
      <c r="X403" s="120"/>
      <c r="Y403" s="120"/>
      <c r="Z403" s="120"/>
      <c r="AA403" s="120"/>
      <c r="AB403" s="120"/>
      <c r="AC403" s="120"/>
      <c r="AD403"/>
      <c r="AE403"/>
      <c r="AF403" s="400"/>
    </row>
    <row r="404" spans="1:32" s="448" customFormat="1" ht="37.5">
      <c r="A404" s="1119"/>
      <c r="B404" s="957" t="s">
        <v>56</v>
      </c>
      <c r="C404" s="510" t="s">
        <v>2480</v>
      </c>
      <c r="D404" s="511" t="s">
        <v>57</v>
      </c>
      <c r="E404" s="511"/>
      <c r="F404" s="511"/>
      <c r="G404" s="511"/>
      <c r="H404" s="511" t="s">
        <v>58</v>
      </c>
      <c r="I404" s="510" t="s">
        <v>47</v>
      </c>
      <c r="J404" s="1580" t="s">
        <v>2481</v>
      </c>
      <c r="K404" s="533"/>
      <c r="L404" s="618">
        <v>43504</v>
      </c>
      <c r="M404" s="618"/>
      <c r="N404" s="618"/>
      <c r="O404" s="618">
        <v>43535</v>
      </c>
      <c r="P404" s="535">
        <v>1</v>
      </c>
      <c r="Q404" s="535">
        <v>1</v>
      </c>
      <c r="R404" s="599">
        <v>50000</v>
      </c>
      <c r="S404" s="533" t="s">
        <v>1937</v>
      </c>
      <c r="T404" s="615" t="s">
        <v>38</v>
      </c>
      <c r="U404" s="615"/>
      <c r="V404" s="615"/>
      <c r="W404" s="510" t="s">
        <v>2252</v>
      </c>
      <c r="X404" s="120"/>
      <c r="Y404" s="120"/>
      <c r="Z404" s="120"/>
      <c r="AA404" s="120"/>
      <c r="AB404" s="120"/>
      <c r="AC404" s="120"/>
      <c r="AD404"/>
      <c r="AE404"/>
      <c r="AF404" s="400"/>
    </row>
    <row r="405" spans="1:32" s="360" customFormat="1" ht="37.5">
      <c r="A405" s="1119"/>
      <c r="B405" s="957" t="s">
        <v>56</v>
      </c>
      <c r="C405" s="510" t="s">
        <v>2482</v>
      </c>
      <c r="D405" s="511" t="s">
        <v>122</v>
      </c>
      <c r="E405" s="511"/>
      <c r="F405" s="511"/>
      <c r="G405" s="511"/>
      <c r="H405" s="511" t="s">
        <v>308</v>
      </c>
      <c r="I405" s="519" t="s">
        <v>47</v>
      </c>
      <c r="J405" s="1578" t="s">
        <v>2483</v>
      </c>
      <c r="K405" s="512"/>
      <c r="L405" s="530">
        <v>43448</v>
      </c>
      <c r="M405" s="530"/>
      <c r="N405" s="530"/>
      <c r="O405" s="530">
        <v>43542</v>
      </c>
      <c r="P405" s="516">
        <v>1</v>
      </c>
      <c r="Q405" s="516">
        <v>1</v>
      </c>
      <c r="R405" s="599">
        <v>87000</v>
      </c>
      <c r="S405" s="523" t="s">
        <v>1937</v>
      </c>
      <c r="T405" s="515" t="s">
        <v>62</v>
      </c>
      <c r="U405" s="515"/>
      <c r="V405" s="515"/>
      <c r="W405" s="533" t="s">
        <v>2408</v>
      </c>
      <c r="X405" s="120"/>
      <c r="Y405" s="120"/>
      <c r="Z405" s="186"/>
      <c r="AA405" s="186"/>
      <c r="AB405" s="120"/>
      <c r="AC405" s="120"/>
      <c r="AD405"/>
      <c r="AE405"/>
      <c r="AF405" s="400"/>
    </row>
    <row r="406" spans="1:32" s="360" customFormat="1" ht="87">
      <c r="A406" s="1119"/>
      <c r="B406" s="1" t="s">
        <v>44</v>
      </c>
      <c r="C406" s="4"/>
      <c r="D406" s="8" t="s">
        <v>32</v>
      </c>
      <c r="E406" s="8"/>
      <c r="F406" s="8"/>
      <c r="G406" s="8"/>
      <c r="H406" s="5" t="s">
        <v>33</v>
      </c>
      <c r="I406" s="12" t="s">
        <v>47</v>
      </c>
      <c r="J406" s="16" t="s">
        <v>2484</v>
      </c>
      <c r="K406" s="16"/>
      <c r="L406" s="16"/>
      <c r="M406" s="182">
        <v>43009</v>
      </c>
      <c r="N406" s="182"/>
      <c r="O406" s="182">
        <v>43555</v>
      </c>
      <c r="P406" s="12">
        <v>60</v>
      </c>
      <c r="Q406" s="13" t="s">
        <v>1871</v>
      </c>
      <c r="R406" s="18">
        <v>4000000</v>
      </c>
      <c r="S406" s="5" t="s">
        <v>91</v>
      </c>
      <c r="T406" s="12" t="s">
        <v>70</v>
      </c>
      <c r="U406" s="4"/>
      <c r="V406" s="4"/>
      <c r="W406" s="12" t="s">
        <v>1652</v>
      </c>
      <c r="X406" s="5" t="s">
        <v>543</v>
      </c>
      <c r="Y406" s="5" t="s">
        <v>40</v>
      </c>
      <c r="Z406" s="5"/>
      <c r="AA406" s="5"/>
      <c r="AB406" s="199">
        <v>43416</v>
      </c>
      <c r="AC406" s="8" t="s">
        <v>2485</v>
      </c>
      <c r="AD406" s="4"/>
      <c r="AE406" s="40"/>
    </row>
    <row r="407" spans="1:32" s="360" customFormat="1" ht="86.9" customHeight="1">
      <c r="A407" s="1185"/>
      <c r="B407" s="56"/>
      <c r="C407" s="4" t="s">
        <v>2486</v>
      </c>
      <c r="D407" s="9" t="s">
        <v>32</v>
      </c>
      <c r="E407" s="9"/>
      <c r="F407" s="9"/>
      <c r="G407" s="9"/>
      <c r="H407" s="5" t="s">
        <v>33</v>
      </c>
      <c r="I407" s="5" t="s">
        <v>47</v>
      </c>
      <c r="J407" s="16" t="s">
        <v>2487</v>
      </c>
      <c r="K407" s="8"/>
      <c r="L407" s="5" t="e">
        <f>IF(OR(S407=#REF!,S407=#REF!,S407=#REF!,S407=#REF!,S407=#REF!,S407=#REF!,S407=#REF!,S407=#REF!),12,IF(OR(S407=#REF!,S407=#REF!,S407=#REF!,S407=#REF!,S407=#REF!,S407=#REF!,S407=#REF!),3,IF(S407=#REF!,1,IF(S407=#REF!,18,IF(OR(S407=#REF!,S407=#REF!,S407=#REF!,S407=#REF!,S407=#REF!),14,"Invalid proposed procurement method")))))</f>
        <v>#REF!</v>
      </c>
      <c r="M407" s="199" t="str">
        <f>IFERROR(EDATE($N407,-3),"Invalid procurement method or date entered")</f>
        <v>Invalid procurement method or date entered</v>
      </c>
      <c r="N407" s="199" t="str">
        <f>IFERROR(EDATE(O407,-L407),"Invalid procurement method or date entered")</f>
        <v>Invalid procurement method or date entered</v>
      </c>
      <c r="O407" s="199">
        <v>43556</v>
      </c>
      <c r="P407" s="5">
        <v>36</v>
      </c>
      <c r="Q407" s="7" t="s">
        <v>98</v>
      </c>
      <c r="R407" s="18">
        <v>102296.26</v>
      </c>
      <c r="S407" s="5" t="s">
        <v>84</v>
      </c>
      <c r="T407" s="11" t="s">
        <v>38</v>
      </c>
      <c r="U407" s="14" t="s">
        <v>2488</v>
      </c>
      <c r="V407" s="14"/>
      <c r="W407" s="5" t="s">
        <v>1667</v>
      </c>
      <c r="X407" s="5" t="s">
        <v>543</v>
      </c>
      <c r="Y407" s="5" t="s">
        <v>40</v>
      </c>
      <c r="Z407" s="5" t="s">
        <v>69</v>
      </c>
      <c r="AA407" s="5" t="s">
        <v>38</v>
      </c>
      <c r="AB407" s="199" t="s">
        <v>271</v>
      </c>
      <c r="AC407" s="8" t="s">
        <v>2489</v>
      </c>
      <c r="AD407" s="5" t="s">
        <v>156</v>
      </c>
      <c r="AE407" s="41">
        <f>19807.36+2737.45+5212.5+6307.5</f>
        <v>34064.81</v>
      </c>
    </row>
    <row r="408" spans="1:32" s="360" customFormat="1" ht="43.4" customHeight="1">
      <c r="A408" s="2754"/>
      <c r="B408" s="1" t="s">
        <v>44</v>
      </c>
      <c r="C408" s="4"/>
      <c r="D408" s="8" t="s">
        <v>122</v>
      </c>
      <c r="E408" s="8"/>
      <c r="F408" s="8"/>
      <c r="G408" s="8"/>
      <c r="H408" s="5" t="s">
        <v>33</v>
      </c>
      <c r="I408" s="5" t="s">
        <v>34</v>
      </c>
      <c r="J408" s="16" t="s">
        <v>1956</v>
      </c>
      <c r="K408" s="8"/>
      <c r="L408" s="8"/>
      <c r="M408" s="14">
        <v>42767</v>
      </c>
      <c r="N408" s="14"/>
      <c r="O408" s="14">
        <v>43556</v>
      </c>
      <c r="P408" s="12">
        <v>12</v>
      </c>
      <c r="Q408" s="5" t="s">
        <v>36</v>
      </c>
      <c r="R408" s="18">
        <v>60000</v>
      </c>
      <c r="S408" s="5" t="s">
        <v>1629</v>
      </c>
      <c r="T408" s="14" t="s">
        <v>38</v>
      </c>
      <c r="U408" s="4"/>
      <c r="V408" s="4"/>
      <c r="W408" s="5" t="s">
        <v>2490</v>
      </c>
      <c r="X408" s="5" t="s">
        <v>1598</v>
      </c>
      <c r="Y408" s="5" t="s">
        <v>40</v>
      </c>
      <c r="Z408" s="5"/>
      <c r="AA408" s="5"/>
      <c r="AB408" s="199"/>
      <c r="AC408" s="8" t="s">
        <v>2491</v>
      </c>
      <c r="AD408" s="4"/>
      <c r="AE408" s="5"/>
    </row>
    <row r="409" spans="1:32" s="360" customFormat="1" ht="57.65" customHeight="1">
      <c r="A409" s="498"/>
      <c r="B409" s="1" t="s">
        <v>44</v>
      </c>
      <c r="C409" s="4" t="s">
        <v>2492</v>
      </c>
      <c r="D409" s="8" t="s">
        <v>32</v>
      </c>
      <c r="E409" s="8"/>
      <c r="F409" s="8"/>
      <c r="G409" s="8"/>
      <c r="H409" s="5" t="s">
        <v>33</v>
      </c>
      <c r="I409" s="5" t="s">
        <v>47</v>
      </c>
      <c r="J409" s="16" t="s">
        <v>2493</v>
      </c>
      <c r="K409" s="16"/>
      <c r="L409" s="16"/>
      <c r="M409" s="182">
        <v>42979</v>
      </c>
      <c r="N409" s="182"/>
      <c r="O409" s="199">
        <v>43556</v>
      </c>
      <c r="P409" s="5">
        <v>60</v>
      </c>
      <c r="Q409" s="5">
        <v>60</v>
      </c>
      <c r="R409" s="18">
        <v>9000000</v>
      </c>
      <c r="S409" s="5" t="s">
        <v>91</v>
      </c>
      <c r="T409" s="12" t="s">
        <v>70</v>
      </c>
      <c r="U409" s="4"/>
      <c r="V409" s="4"/>
      <c r="W409" s="5" t="s">
        <v>239</v>
      </c>
      <c r="X409" s="5" t="s">
        <v>543</v>
      </c>
      <c r="Y409" s="5" t="s">
        <v>40</v>
      </c>
      <c r="Z409" s="5"/>
      <c r="AA409" s="5"/>
      <c r="AB409" s="199">
        <v>43423</v>
      </c>
      <c r="AC409" s="8" t="s">
        <v>2494</v>
      </c>
      <c r="AD409" s="4"/>
      <c r="AE409" s="41"/>
    </row>
    <row r="410" spans="1:32" s="360" customFormat="1" ht="115.4" customHeight="1">
      <c r="A410" s="1119"/>
      <c r="B410" s="1" t="s">
        <v>44</v>
      </c>
      <c r="C410" s="4"/>
      <c r="D410" s="8" t="s">
        <v>32</v>
      </c>
      <c r="E410" s="8"/>
      <c r="F410" s="8"/>
      <c r="G410" s="8"/>
      <c r="H410" s="5" t="s">
        <v>862</v>
      </c>
      <c r="I410" s="5" t="s">
        <v>47</v>
      </c>
      <c r="J410" s="16" t="s">
        <v>2495</v>
      </c>
      <c r="K410" s="8"/>
      <c r="L410" s="8"/>
      <c r="M410" s="199">
        <v>43009</v>
      </c>
      <c r="N410" s="199"/>
      <c r="O410" s="199">
        <v>43556</v>
      </c>
      <c r="P410" s="5">
        <v>24</v>
      </c>
      <c r="Q410" s="7" t="s">
        <v>391</v>
      </c>
      <c r="R410" s="18">
        <v>120000</v>
      </c>
      <c r="S410" s="5" t="s">
        <v>176</v>
      </c>
      <c r="T410" s="11" t="s">
        <v>38</v>
      </c>
      <c r="U410" s="4"/>
      <c r="V410" s="4"/>
      <c r="W410" s="5" t="s">
        <v>2496</v>
      </c>
      <c r="X410" s="5" t="s">
        <v>125</v>
      </c>
      <c r="Y410" s="5" t="s">
        <v>40</v>
      </c>
      <c r="Z410" s="5"/>
      <c r="AA410" s="5"/>
      <c r="AB410" s="183">
        <v>43551</v>
      </c>
      <c r="AC410" s="8" t="s">
        <v>2497</v>
      </c>
      <c r="AD410" s="4"/>
      <c r="AE410" s="41"/>
    </row>
    <row r="411" spans="1:32" s="360" customFormat="1" ht="216" customHeight="1">
      <c r="A411" s="1119"/>
      <c r="B411" s="1" t="s">
        <v>44</v>
      </c>
      <c r="C411" s="4" t="s">
        <v>2498</v>
      </c>
      <c r="D411" s="5" t="s">
        <v>32</v>
      </c>
      <c r="E411" s="5"/>
      <c r="F411" s="5"/>
      <c r="G411" s="5"/>
      <c r="H411" s="5" t="s">
        <v>65</v>
      </c>
      <c r="I411" s="5" t="s">
        <v>47</v>
      </c>
      <c r="J411" s="16" t="s">
        <v>66</v>
      </c>
      <c r="K411" s="16"/>
      <c r="L411" s="16"/>
      <c r="M411" s="182">
        <v>43040</v>
      </c>
      <c r="N411" s="182"/>
      <c r="O411" s="182">
        <v>43556</v>
      </c>
      <c r="P411" s="12">
        <v>36</v>
      </c>
      <c r="Q411" s="7" t="s">
        <v>98</v>
      </c>
      <c r="R411" s="18" t="s">
        <v>45</v>
      </c>
      <c r="S411" s="5" t="s">
        <v>37</v>
      </c>
      <c r="T411" s="12" t="s">
        <v>612</v>
      </c>
      <c r="U411" s="4"/>
      <c r="V411" s="4"/>
      <c r="W411" s="5" t="s">
        <v>68</v>
      </c>
      <c r="X411" s="5" t="s">
        <v>1892</v>
      </c>
      <c r="Y411" s="5" t="s">
        <v>1161</v>
      </c>
      <c r="Z411" s="5"/>
      <c r="AA411" s="5"/>
      <c r="AB411" s="199">
        <v>43696</v>
      </c>
      <c r="AC411" s="8" t="s">
        <v>2499</v>
      </c>
      <c r="AD411" s="4"/>
      <c r="AE411" s="40"/>
      <c r="AF411" s="423"/>
    </row>
    <row r="412" spans="1:32" s="360" customFormat="1" ht="101.15" customHeight="1">
      <c r="A412" s="1184"/>
      <c r="B412" s="1" t="s">
        <v>44</v>
      </c>
      <c r="C412" s="4"/>
      <c r="D412" s="8" t="s">
        <v>32</v>
      </c>
      <c r="E412" s="8"/>
      <c r="F412" s="8"/>
      <c r="G412" s="8"/>
      <c r="H412" s="5" t="s">
        <v>33</v>
      </c>
      <c r="I412" s="5" t="s">
        <v>47</v>
      </c>
      <c r="J412" s="16" t="s">
        <v>2500</v>
      </c>
      <c r="K412" s="16"/>
      <c r="L412" s="16"/>
      <c r="M412" s="182">
        <v>43132</v>
      </c>
      <c r="N412" s="182"/>
      <c r="O412" s="182">
        <v>43556</v>
      </c>
      <c r="P412" s="12">
        <v>48</v>
      </c>
      <c r="Q412" s="13" t="s">
        <v>215</v>
      </c>
      <c r="R412" s="18">
        <v>170000</v>
      </c>
      <c r="S412" s="5" t="s">
        <v>176</v>
      </c>
      <c r="T412" s="12" t="s">
        <v>38</v>
      </c>
      <c r="U412" s="4"/>
      <c r="V412" s="4"/>
      <c r="W412" s="5" t="s">
        <v>142</v>
      </c>
      <c r="X412" s="5" t="s">
        <v>2286</v>
      </c>
      <c r="Y412" s="5" t="s">
        <v>40</v>
      </c>
      <c r="Z412" s="5"/>
      <c r="AA412" s="17"/>
      <c r="AB412" s="199">
        <v>43388</v>
      </c>
      <c r="AC412" s="36" t="s">
        <v>2501</v>
      </c>
      <c r="AD412" s="4"/>
      <c r="AE412" s="12"/>
      <c r="AF412" s="423"/>
    </row>
    <row r="413" spans="1:32" s="360" customFormat="1" ht="57.65" customHeight="1">
      <c r="A413" s="1184"/>
      <c r="B413" s="1" t="s">
        <v>44</v>
      </c>
      <c r="C413" s="4" t="s">
        <v>2502</v>
      </c>
      <c r="D413" s="8" t="s">
        <v>32</v>
      </c>
      <c r="E413" s="8"/>
      <c r="F413" s="8"/>
      <c r="G413" s="8"/>
      <c r="H413" s="5" t="s">
        <v>33</v>
      </c>
      <c r="I413" s="12" t="s">
        <v>47</v>
      </c>
      <c r="J413" s="16" t="s">
        <v>2503</v>
      </c>
      <c r="K413" s="8"/>
      <c r="L413" s="8"/>
      <c r="M413" s="199">
        <v>43132</v>
      </c>
      <c r="N413" s="199"/>
      <c r="O413" s="199">
        <v>43556</v>
      </c>
      <c r="P413" s="5">
        <v>36</v>
      </c>
      <c r="Q413" s="7" t="s">
        <v>98</v>
      </c>
      <c r="R413" s="18">
        <v>471716.1</v>
      </c>
      <c r="S413" s="5" t="s">
        <v>84</v>
      </c>
      <c r="T413" s="11" t="s">
        <v>38</v>
      </c>
      <c r="U413" s="4"/>
      <c r="V413" s="4"/>
      <c r="W413" s="5" t="s">
        <v>239</v>
      </c>
      <c r="X413" s="5" t="s">
        <v>543</v>
      </c>
      <c r="Y413" s="5" t="s">
        <v>40</v>
      </c>
      <c r="Z413" s="5"/>
      <c r="AA413" s="5"/>
      <c r="AB413" s="199">
        <v>43672</v>
      </c>
      <c r="AC413" s="36" t="s">
        <v>2504</v>
      </c>
      <c r="AD413" s="4"/>
      <c r="AE413" s="41" t="s">
        <v>71</v>
      </c>
      <c r="AF413" s="427"/>
    </row>
    <row r="414" spans="1:32" s="355" customFormat="1" ht="50.25" customHeight="1">
      <c r="A414" s="1184"/>
      <c r="B414" s="1" t="s">
        <v>44</v>
      </c>
      <c r="C414" s="4" t="s">
        <v>2505</v>
      </c>
      <c r="D414" s="8" t="s">
        <v>57</v>
      </c>
      <c r="E414" s="8"/>
      <c r="F414" s="8"/>
      <c r="G414" s="8"/>
      <c r="H414" s="5" t="s">
        <v>2506</v>
      </c>
      <c r="I414" s="5" t="s">
        <v>246</v>
      </c>
      <c r="J414" s="16" t="s">
        <v>2507</v>
      </c>
      <c r="K414" s="16"/>
      <c r="L414" s="16"/>
      <c r="M414" s="14">
        <v>43160</v>
      </c>
      <c r="N414" s="14"/>
      <c r="O414" s="14">
        <v>43556</v>
      </c>
      <c r="P414" s="12">
        <v>25</v>
      </c>
      <c r="Q414" s="5">
        <v>25</v>
      </c>
      <c r="R414" s="18">
        <v>19850</v>
      </c>
      <c r="S414" s="5" t="s">
        <v>270</v>
      </c>
      <c r="T414" s="14" t="s">
        <v>38</v>
      </c>
      <c r="U414" s="4"/>
      <c r="V414" s="4"/>
      <c r="W414" s="5" t="s">
        <v>2508</v>
      </c>
      <c r="X414" s="5" t="s">
        <v>543</v>
      </c>
      <c r="Y414" s="5" t="s">
        <v>40</v>
      </c>
      <c r="Z414" s="5"/>
      <c r="AA414" s="5"/>
      <c r="AB414" s="199">
        <v>43549</v>
      </c>
      <c r="AC414" s="36" t="s">
        <v>2509</v>
      </c>
      <c r="AD414" s="4"/>
      <c r="AE414" s="41">
        <v>9528</v>
      </c>
      <c r="AF414" s="423"/>
    </row>
    <row r="415" spans="1:32" s="361" customFormat="1" ht="73.5" customHeight="1">
      <c r="A415" s="1184"/>
      <c r="B415" s="1" t="s">
        <v>44</v>
      </c>
      <c r="C415" s="4"/>
      <c r="D415" s="9" t="s">
        <v>32</v>
      </c>
      <c r="E415" s="9"/>
      <c r="F415" s="9"/>
      <c r="G415" s="9"/>
      <c r="H415" s="5" t="s">
        <v>363</v>
      </c>
      <c r="I415" s="5" t="s">
        <v>34</v>
      </c>
      <c r="J415" s="16" t="s">
        <v>2510</v>
      </c>
      <c r="K415" s="16"/>
      <c r="L415" s="16"/>
      <c r="M415" s="182">
        <v>43166</v>
      </c>
      <c r="N415" s="182"/>
      <c r="O415" s="182">
        <v>43556</v>
      </c>
      <c r="P415" s="12">
        <v>48</v>
      </c>
      <c r="Q415" s="7" t="s">
        <v>2511</v>
      </c>
      <c r="R415" s="18">
        <v>280000</v>
      </c>
      <c r="S415" s="5" t="s">
        <v>130</v>
      </c>
      <c r="T415" s="5" t="s">
        <v>62</v>
      </c>
      <c r="U415" s="4"/>
      <c r="V415" s="4"/>
      <c r="W415" s="5" t="s">
        <v>2512</v>
      </c>
      <c r="X415" s="5" t="s">
        <v>39</v>
      </c>
      <c r="Y415" s="5" t="s">
        <v>40</v>
      </c>
      <c r="Z415" s="5"/>
      <c r="AA415" s="5"/>
      <c r="AB415" s="199">
        <v>43686</v>
      </c>
      <c r="AC415" s="33" t="s">
        <v>2513</v>
      </c>
      <c r="AD415" s="2757"/>
      <c r="AE415" s="40"/>
      <c r="AF415" s="360"/>
    </row>
    <row r="416" spans="1:32" s="360" customFormat="1" ht="86.9" customHeight="1">
      <c r="A416" s="1184"/>
      <c r="B416" s="1" t="s">
        <v>44</v>
      </c>
      <c r="C416" s="4"/>
      <c r="D416" s="9" t="s">
        <v>32</v>
      </c>
      <c r="E416" s="9"/>
      <c r="F416" s="9"/>
      <c r="G416" s="9"/>
      <c r="H416" s="5" t="s">
        <v>444</v>
      </c>
      <c r="I416" s="5" t="s">
        <v>47</v>
      </c>
      <c r="J416" s="16" t="s">
        <v>2514</v>
      </c>
      <c r="K416" s="16"/>
      <c r="L416" s="16"/>
      <c r="M416" s="182">
        <v>43191</v>
      </c>
      <c r="N416" s="182"/>
      <c r="O416" s="182">
        <v>43556</v>
      </c>
      <c r="P416" s="15">
        <v>36</v>
      </c>
      <c r="Q416" s="7">
        <v>36</v>
      </c>
      <c r="R416" s="18">
        <v>150000</v>
      </c>
      <c r="S416" s="182" t="s">
        <v>84</v>
      </c>
      <c r="T416" s="47" t="s">
        <v>62</v>
      </c>
      <c r="U416" s="47" t="s">
        <v>67</v>
      </c>
      <c r="V416" s="47"/>
      <c r="W416" s="5" t="s">
        <v>68</v>
      </c>
      <c r="X416" s="5" t="s">
        <v>1892</v>
      </c>
      <c r="Y416" s="5" t="s">
        <v>1161</v>
      </c>
      <c r="Z416" s="5"/>
      <c r="AA416" s="5"/>
      <c r="AB416" s="199">
        <v>43900</v>
      </c>
      <c r="AC416" s="33" t="s">
        <v>2515</v>
      </c>
      <c r="AD416" s="12" t="s">
        <v>285</v>
      </c>
      <c r="AE416" s="40">
        <v>50000</v>
      </c>
    </row>
    <row r="417" spans="1:32" s="360" customFormat="1" ht="57.65" customHeight="1">
      <c r="A417" s="1184"/>
      <c r="B417" s="1" t="s">
        <v>44</v>
      </c>
      <c r="C417" s="4"/>
      <c r="D417" s="8" t="s">
        <v>32</v>
      </c>
      <c r="E417" s="8"/>
      <c r="F417" s="8"/>
      <c r="G417" s="8"/>
      <c r="H417" s="5" t="s">
        <v>127</v>
      </c>
      <c r="I417" s="5" t="s">
        <v>34</v>
      </c>
      <c r="J417" s="16" t="s">
        <v>128</v>
      </c>
      <c r="K417" s="16"/>
      <c r="L417" s="16"/>
      <c r="M417" s="182">
        <v>43191</v>
      </c>
      <c r="N417" s="182"/>
      <c r="O417" s="182">
        <v>43556</v>
      </c>
      <c r="P417" s="12">
        <v>180</v>
      </c>
      <c r="Q417" s="12" t="s">
        <v>2516</v>
      </c>
      <c r="R417" s="41">
        <v>9000000</v>
      </c>
      <c r="S417" s="5" t="s">
        <v>45</v>
      </c>
      <c r="T417" s="12" t="s">
        <v>70</v>
      </c>
      <c r="U417" s="4"/>
      <c r="V417" s="4"/>
      <c r="W417" s="5" t="s">
        <v>131</v>
      </c>
      <c r="X417" s="5" t="s">
        <v>2286</v>
      </c>
      <c r="Y417" s="5" t="s">
        <v>40</v>
      </c>
      <c r="Z417" s="5"/>
      <c r="AA417" s="5"/>
      <c r="AB417" s="199">
        <v>43276</v>
      </c>
      <c r="AC417" s="36" t="s">
        <v>2517</v>
      </c>
      <c r="AD417" s="4"/>
      <c r="AE417" s="17">
        <v>600000</v>
      </c>
    </row>
    <row r="418" spans="1:32" s="360" customFormat="1" ht="58">
      <c r="A418" s="2756"/>
      <c r="B418" s="1" t="s">
        <v>44</v>
      </c>
      <c r="C418" s="4" t="s">
        <v>2518</v>
      </c>
      <c r="D418" s="2758" t="s">
        <v>57</v>
      </c>
      <c r="E418" s="2758"/>
      <c r="F418" s="2758"/>
      <c r="G418" s="2758"/>
      <c r="H418" s="2751" t="s">
        <v>165</v>
      </c>
      <c r="I418" s="2751" t="s">
        <v>47</v>
      </c>
      <c r="J418" s="2752" t="s">
        <v>2519</v>
      </c>
      <c r="K418" s="2752"/>
      <c r="L418" s="2752"/>
      <c r="M418" s="2864">
        <v>43191</v>
      </c>
      <c r="N418" s="2864"/>
      <c r="O418" s="2864">
        <v>43556</v>
      </c>
      <c r="P418" s="2763">
        <v>72</v>
      </c>
      <c r="Q418" s="2751" t="s">
        <v>552</v>
      </c>
      <c r="R418" s="2865">
        <v>42000000</v>
      </c>
      <c r="S418" s="2751" t="s">
        <v>91</v>
      </c>
      <c r="T418" s="12" t="s">
        <v>70</v>
      </c>
      <c r="U418" s="4"/>
      <c r="V418" s="4"/>
      <c r="W418" s="2751" t="s">
        <v>167</v>
      </c>
      <c r="X418" s="2751" t="s">
        <v>543</v>
      </c>
      <c r="Y418" s="5" t="s">
        <v>40</v>
      </c>
      <c r="Z418" s="5"/>
      <c r="AA418" s="2751"/>
      <c r="AB418" s="199">
        <v>43641</v>
      </c>
      <c r="AC418" s="119" t="s">
        <v>2520</v>
      </c>
      <c r="AD418" s="4"/>
      <c r="AE418" s="2866">
        <v>7000000</v>
      </c>
    </row>
    <row r="419" spans="1:32" s="360" customFormat="1" ht="201.65" customHeight="1">
      <c r="A419" s="1184"/>
      <c r="B419" s="1" t="s">
        <v>44</v>
      </c>
      <c r="C419" s="4" t="s">
        <v>71</v>
      </c>
      <c r="D419" s="2757" t="s">
        <v>32</v>
      </c>
      <c r="E419" s="2757"/>
      <c r="F419" s="2757"/>
      <c r="G419" s="2757"/>
      <c r="H419" s="2825" t="s">
        <v>1965</v>
      </c>
      <c r="I419" s="2793" t="s">
        <v>47</v>
      </c>
      <c r="J419" s="2795" t="s">
        <v>147</v>
      </c>
      <c r="K419" s="2795"/>
      <c r="L419" s="2795"/>
      <c r="M419" s="2764">
        <v>43191</v>
      </c>
      <c r="N419" s="2764"/>
      <c r="O419" s="2764">
        <v>43556</v>
      </c>
      <c r="P419" s="2763">
        <v>48</v>
      </c>
      <c r="Q419" s="2751" t="s">
        <v>1578</v>
      </c>
      <c r="R419" s="18">
        <v>200000</v>
      </c>
      <c r="S419" s="182" t="s">
        <v>2110</v>
      </c>
      <c r="T419" s="2763" t="s">
        <v>38</v>
      </c>
      <c r="U419" s="4"/>
      <c r="V419" s="4"/>
      <c r="W419" s="2763" t="s">
        <v>2521</v>
      </c>
      <c r="X419" s="2751" t="s">
        <v>413</v>
      </c>
      <c r="Y419" s="5" t="s">
        <v>40</v>
      </c>
      <c r="Z419" s="5"/>
      <c r="AA419" s="2757"/>
      <c r="AB419" s="2759">
        <v>43622</v>
      </c>
      <c r="AC419" s="1534" t="s">
        <v>2522</v>
      </c>
      <c r="AD419" s="16"/>
      <c r="AE419" s="2845">
        <v>50000</v>
      </c>
      <c r="AF419"/>
    </row>
    <row r="420" spans="1:32" s="195" customFormat="1" ht="43.5">
      <c r="A420" s="1184"/>
      <c r="B420" s="1" t="s">
        <v>44</v>
      </c>
      <c r="C420" s="4"/>
      <c r="D420" s="8" t="s">
        <v>32</v>
      </c>
      <c r="E420" s="8"/>
      <c r="F420" s="8"/>
      <c r="G420" s="8"/>
      <c r="H420" s="5" t="s">
        <v>2148</v>
      </c>
      <c r="I420" s="5" t="s">
        <v>47</v>
      </c>
      <c r="J420" s="16" t="s">
        <v>2523</v>
      </c>
      <c r="K420" s="8"/>
      <c r="L420" s="8"/>
      <c r="M420" s="199">
        <v>43272</v>
      </c>
      <c r="N420" s="199"/>
      <c r="O420" s="199">
        <v>43556</v>
      </c>
      <c r="P420" s="5">
        <v>24</v>
      </c>
      <c r="Q420" s="7" t="s">
        <v>391</v>
      </c>
      <c r="R420" s="18">
        <v>19017</v>
      </c>
      <c r="S420" s="5" t="s">
        <v>51</v>
      </c>
      <c r="T420" s="11" t="s">
        <v>38</v>
      </c>
      <c r="U420" s="4"/>
      <c r="V420" s="4"/>
      <c r="W420" s="5" t="s">
        <v>2524</v>
      </c>
      <c r="X420" s="5" t="s">
        <v>86</v>
      </c>
      <c r="Y420" s="5" t="s">
        <v>40</v>
      </c>
      <c r="Z420" s="5"/>
      <c r="AA420" s="5"/>
      <c r="AB420" s="199">
        <v>43538</v>
      </c>
      <c r="AC420" s="8" t="s">
        <v>2525</v>
      </c>
      <c r="AD420" s="4"/>
      <c r="AE420" s="41"/>
      <c r="AF420" s="360"/>
    </row>
    <row r="421" spans="1:32" ht="43.5">
      <c r="A421" s="1184"/>
      <c r="B421" s="1" t="s">
        <v>44</v>
      </c>
      <c r="C421" s="4"/>
      <c r="D421" s="8" t="s">
        <v>32</v>
      </c>
      <c r="E421" s="8"/>
      <c r="F421" s="8"/>
      <c r="G421" s="8"/>
      <c r="H421" s="5" t="s">
        <v>2148</v>
      </c>
      <c r="I421" s="5" t="s">
        <v>47</v>
      </c>
      <c r="J421" s="16" t="s">
        <v>2523</v>
      </c>
      <c r="K421" s="8"/>
      <c r="L421" s="8"/>
      <c r="M421" s="199">
        <v>43272</v>
      </c>
      <c r="N421" s="199"/>
      <c r="O421" s="199">
        <v>43556</v>
      </c>
      <c r="P421" s="5">
        <v>24</v>
      </c>
      <c r="Q421" s="7" t="s">
        <v>391</v>
      </c>
      <c r="R421" s="18">
        <v>19017</v>
      </c>
      <c r="S421" s="5" t="s">
        <v>51</v>
      </c>
      <c r="T421" s="11" t="s">
        <v>38</v>
      </c>
      <c r="U421" s="4"/>
      <c r="V421" s="4"/>
      <c r="W421" s="5" t="s">
        <v>2524</v>
      </c>
      <c r="X421" s="5" t="s">
        <v>86</v>
      </c>
      <c r="Y421" s="5" t="s">
        <v>40</v>
      </c>
      <c r="Z421" s="5"/>
      <c r="AA421" s="5"/>
      <c r="AB421" s="199">
        <v>43538</v>
      </c>
      <c r="AC421" s="8" t="s">
        <v>2525</v>
      </c>
      <c r="AD421" s="4"/>
      <c r="AE421" s="41"/>
    </row>
    <row r="422" spans="1:32" ht="173.15" customHeight="1">
      <c r="A422" s="1184"/>
      <c r="B422" s="1" t="s">
        <v>44</v>
      </c>
      <c r="C422" s="4"/>
      <c r="D422" s="8" t="s">
        <v>32</v>
      </c>
      <c r="E422" s="8"/>
      <c r="F422" s="8"/>
      <c r="G422" s="8"/>
      <c r="H422" s="5" t="s">
        <v>2148</v>
      </c>
      <c r="I422" s="5" t="s">
        <v>47</v>
      </c>
      <c r="J422" s="16" t="s">
        <v>2526</v>
      </c>
      <c r="K422" s="16"/>
      <c r="L422" s="16"/>
      <c r="M422" s="199">
        <v>43282</v>
      </c>
      <c r="N422" s="199"/>
      <c r="O422" s="182">
        <v>43556</v>
      </c>
      <c r="P422" s="12">
        <v>120</v>
      </c>
      <c r="Q422" s="12" t="s">
        <v>2527</v>
      </c>
      <c r="R422" s="18">
        <v>915000</v>
      </c>
      <c r="S422" s="12" t="s">
        <v>91</v>
      </c>
      <c r="T422" s="11" t="s">
        <v>38</v>
      </c>
      <c r="U422" s="4"/>
      <c r="V422" s="4"/>
      <c r="W422" s="5" t="s">
        <v>2528</v>
      </c>
      <c r="X422" s="5" t="s">
        <v>2179</v>
      </c>
      <c r="Y422" s="5" t="s">
        <v>40</v>
      </c>
      <c r="Z422" s="5"/>
      <c r="AA422" s="12"/>
      <c r="AB422" s="2801">
        <v>43578</v>
      </c>
      <c r="AC422" s="8" t="s">
        <v>2529</v>
      </c>
      <c r="AD422" s="10"/>
      <c r="AE422" s="41"/>
      <c r="AF422" s="360"/>
    </row>
    <row r="423" spans="1:32" ht="58">
      <c r="A423" s="1184"/>
      <c r="B423" s="1" t="s">
        <v>44</v>
      </c>
      <c r="C423" s="4"/>
      <c r="D423" s="8" t="s">
        <v>32</v>
      </c>
      <c r="E423" s="8"/>
      <c r="F423" s="8"/>
      <c r="G423" s="8"/>
      <c r="H423" s="5" t="s">
        <v>46</v>
      </c>
      <c r="I423" s="12" t="s">
        <v>47</v>
      </c>
      <c r="J423" s="16" t="s">
        <v>2530</v>
      </c>
      <c r="K423" s="16"/>
      <c r="L423" s="16"/>
      <c r="M423" s="182">
        <v>43282</v>
      </c>
      <c r="N423" s="182"/>
      <c r="O423" s="182">
        <v>43556</v>
      </c>
      <c r="P423" s="12">
        <v>9</v>
      </c>
      <c r="Q423" s="12">
        <v>9</v>
      </c>
      <c r="R423" s="18">
        <v>90000</v>
      </c>
      <c r="S423" s="5" t="s">
        <v>84</v>
      </c>
      <c r="T423" s="12" t="s">
        <v>38</v>
      </c>
      <c r="U423" s="4"/>
      <c r="V423" s="4"/>
      <c r="W423" s="5" t="s">
        <v>2531</v>
      </c>
      <c r="X423" s="5" t="s">
        <v>1892</v>
      </c>
      <c r="Y423" s="5" t="s">
        <v>40</v>
      </c>
      <c r="Z423" s="5"/>
      <c r="AA423" s="5"/>
      <c r="AB423" s="199">
        <v>43662</v>
      </c>
      <c r="AC423" s="8" t="s">
        <v>2532</v>
      </c>
      <c r="AD423" s="4"/>
      <c r="AE423" s="40">
        <v>90000</v>
      </c>
      <c r="AF423" s="360"/>
    </row>
    <row r="424" spans="1:32" s="360" customFormat="1" ht="57.65" customHeight="1">
      <c r="A424" s="1184"/>
      <c r="B424" s="1" t="s">
        <v>44</v>
      </c>
      <c r="C424" s="4" t="s">
        <v>2533</v>
      </c>
      <c r="D424" s="5" t="s">
        <v>32</v>
      </c>
      <c r="E424" s="5"/>
      <c r="F424" s="5"/>
      <c r="G424" s="5"/>
      <c r="H424" s="5" t="s">
        <v>2148</v>
      </c>
      <c r="I424" s="5" t="s">
        <v>47</v>
      </c>
      <c r="J424" s="16" t="s">
        <v>2534</v>
      </c>
      <c r="K424" s="16"/>
      <c r="L424" s="16"/>
      <c r="M424" s="199">
        <v>43282</v>
      </c>
      <c r="N424" s="199"/>
      <c r="O424" s="182">
        <v>43556</v>
      </c>
      <c r="P424" s="12">
        <v>60</v>
      </c>
      <c r="Q424" s="12">
        <v>60</v>
      </c>
      <c r="R424" s="18">
        <v>181215</v>
      </c>
      <c r="S424" s="5" t="s">
        <v>84</v>
      </c>
      <c r="T424" s="11" t="s">
        <v>38</v>
      </c>
      <c r="U424" s="4"/>
      <c r="V424" s="4"/>
      <c r="W424" s="5" t="s">
        <v>2528</v>
      </c>
      <c r="X424" s="5" t="s">
        <v>2179</v>
      </c>
      <c r="Y424" s="5" t="s">
        <v>40</v>
      </c>
      <c r="Z424" s="5"/>
      <c r="AA424" s="12"/>
      <c r="AB424" s="2801">
        <v>43685</v>
      </c>
      <c r="AC424" s="8" t="s">
        <v>2535</v>
      </c>
      <c r="AD424" s="4"/>
      <c r="AE424" s="41"/>
      <c r="AF424"/>
    </row>
    <row r="425" spans="1:32" s="360" customFormat="1" ht="57.65" customHeight="1">
      <c r="A425" s="1184"/>
      <c r="B425" s="1" t="s">
        <v>44</v>
      </c>
      <c r="C425" s="4"/>
      <c r="D425" s="8" t="s">
        <v>32</v>
      </c>
      <c r="E425" s="8"/>
      <c r="F425" s="8"/>
      <c r="G425" s="8"/>
      <c r="H425" s="5" t="s">
        <v>2148</v>
      </c>
      <c r="I425" s="5" t="s">
        <v>47</v>
      </c>
      <c r="J425" s="16" t="s">
        <v>2526</v>
      </c>
      <c r="K425" s="16"/>
      <c r="L425" s="16"/>
      <c r="M425" s="199">
        <v>43282</v>
      </c>
      <c r="N425" s="199"/>
      <c r="O425" s="182">
        <v>43556</v>
      </c>
      <c r="P425" s="12">
        <v>120</v>
      </c>
      <c r="Q425" s="12" t="s">
        <v>2527</v>
      </c>
      <c r="R425" s="18">
        <v>915000</v>
      </c>
      <c r="S425" s="12" t="s">
        <v>91</v>
      </c>
      <c r="T425" s="11" t="s">
        <v>38</v>
      </c>
      <c r="U425" s="4"/>
      <c r="V425" s="4"/>
      <c r="W425" s="5" t="s">
        <v>2528</v>
      </c>
      <c r="X425" s="5" t="s">
        <v>2179</v>
      </c>
      <c r="Y425" s="5" t="s">
        <v>40</v>
      </c>
      <c r="Z425" s="5"/>
      <c r="AA425" s="12"/>
      <c r="AB425" s="2801">
        <v>43578</v>
      </c>
      <c r="AC425" s="8" t="s">
        <v>2529</v>
      </c>
      <c r="AD425" s="10"/>
      <c r="AE425" s="41"/>
    </row>
    <row r="426" spans="1:32" s="360" customFormat="1" ht="57.65" customHeight="1">
      <c r="A426" s="1184"/>
      <c r="B426" s="1" t="s">
        <v>44</v>
      </c>
      <c r="C426" s="4"/>
      <c r="D426" s="8" t="s">
        <v>32</v>
      </c>
      <c r="E426" s="8"/>
      <c r="F426" s="8"/>
      <c r="G426" s="8"/>
      <c r="H426" s="5" t="s">
        <v>46</v>
      </c>
      <c r="I426" s="12" t="s">
        <v>47</v>
      </c>
      <c r="J426" s="16" t="s">
        <v>2530</v>
      </c>
      <c r="K426" s="16"/>
      <c r="L426" s="16"/>
      <c r="M426" s="182">
        <v>43282</v>
      </c>
      <c r="N426" s="182"/>
      <c r="O426" s="182">
        <v>43556</v>
      </c>
      <c r="P426" s="12">
        <v>9</v>
      </c>
      <c r="Q426" s="12">
        <v>9</v>
      </c>
      <c r="R426" s="18">
        <v>90000</v>
      </c>
      <c r="S426" s="5" t="s">
        <v>84</v>
      </c>
      <c r="T426" s="12" t="s">
        <v>38</v>
      </c>
      <c r="U426" s="4"/>
      <c r="V426" s="4"/>
      <c r="W426" s="5" t="s">
        <v>2531</v>
      </c>
      <c r="X426" s="5" t="s">
        <v>1892</v>
      </c>
      <c r="Y426" s="5" t="s">
        <v>40</v>
      </c>
      <c r="Z426" s="5"/>
      <c r="AA426" s="5"/>
      <c r="AB426" s="199">
        <v>43662</v>
      </c>
      <c r="AC426" s="8" t="s">
        <v>2532</v>
      </c>
      <c r="AD426" s="4"/>
      <c r="AE426" s="40">
        <v>90000</v>
      </c>
      <c r="AF426" s="442"/>
    </row>
    <row r="427" spans="1:32" s="360" customFormat="1" ht="57.65" customHeight="1">
      <c r="A427" s="1184"/>
      <c r="B427" s="1" t="s">
        <v>44</v>
      </c>
      <c r="C427" s="4" t="s">
        <v>2533</v>
      </c>
      <c r="D427" s="5" t="s">
        <v>32</v>
      </c>
      <c r="E427" s="5"/>
      <c r="F427" s="5"/>
      <c r="G427" s="5"/>
      <c r="H427" s="5" t="s">
        <v>2148</v>
      </c>
      <c r="I427" s="5" t="s">
        <v>47</v>
      </c>
      <c r="J427" s="16" t="s">
        <v>2534</v>
      </c>
      <c r="K427" s="16"/>
      <c r="L427" s="16"/>
      <c r="M427" s="199">
        <v>43282</v>
      </c>
      <c r="N427" s="199"/>
      <c r="O427" s="182">
        <v>43556</v>
      </c>
      <c r="P427" s="12">
        <v>60</v>
      </c>
      <c r="Q427" s="12">
        <v>60</v>
      </c>
      <c r="R427" s="18">
        <v>181215</v>
      </c>
      <c r="S427" s="5" t="s">
        <v>84</v>
      </c>
      <c r="T427" s="11" t="s">
        <v>38</v>
      </c>
      <c r="U427" s="4"/>
      <c r="V427" s="4"/>
      <c r="W427" s="5" t="s">
        <v>2528</v>
      </c>
      <c r="X427" s="5" t="s">
        <v>2179</v>
      </c>
      <c r="Y427" s="5" t="s">
        <v>40</v>
      </c>
      <c r="Z427" s="5"/>
      <c r="AA427" s="12"/>
      <c r="AB427" s="2801">
        <v>43685</v>
      </c>
      <c r="AC427" s="8" t="s">
        <v>2535</v>
      </c>
      <c r="AD427" s="4"/>
      <c r="AE427" s="41"/>
      <c r="AF427" s="448"/>
    </row>
    <row r="428" spans="1:32" ht="230.9" customHeight="1">
      <c r="A428" s="1184"/>
      <c r="B428" s="1" t="s">
        <v>44</v>
      </c>
      <c r="C428" s="4" t="s">
        <v>45</v>
      </c>
      <c r="D428" s="9" t="s">
        <v>32</v>
      </c>
      <c r="E428" s="9"/>
      <c r="F428" s="9"/>
      <c r="G428" s="9"/>
      <c r="H428" s="5" t="s">
        <v>33</v>
      </c>
      <c r="I428" s="15" t="s">
        <v>34</v>
      </c>
      <c r="J428" s="16" t="s">
        <v>2001</v>
      </c>
      <c r="K428" s="16"/>
      <c r="L428" s="16"/>
      <c r="M428" s="182">
        <v>43313</v>
      </c>
      <c r="N428" s="182"/>
      <c r="O428" s="182">
        <v>43556</v>
      </c>
      <c r="P428" s="12">
        <v>12</v>
      </c>
      <c r="Q428" s="7" t="s">
        <v>50</v>
      </c>
      <c r="R428" s="18">
        <v>10149.44</v>
      </c>
      <c r="S428" s="5" t="s">
        <v>130</v>
      </c>
      <c r="T428" s="5" t="s">
        <v>38</v>
      </c>
      <c r="U428" s="12" t="s">
        <v>67</v>
      </c>
      <c r="V428" s="12"/>
      <c r="W428" s="12" t="s">
        <v>383</v>
      </c>
      <c r="X428" s="5" t="s">
        <v>1892</v>
      </c>
      <c r="Y428" s="5" t="s">
        <v>115</v>
      </c>
      <c r="Z428" s="5"/>
      <c r="AA428" s="9"/>
      <c r="AB428" s="199">
        <v>43900</v>
      </c>
      <c r="AC428" s="8" t="s">
        <v>2536</v>
      </c>
      <c r="AD428" s="12" t="s">
        <v>2339</v>
      </c>
      <c r="AE428" s="44"/>
      <c r="AF428" s="360"/>
    </row>
    <row r="429" spans="1:32" s="360" customFormat="1" ht="144" customHeight="1">
      <c r="A429" s="1184"/>
      <c r="B429" s="1" t="s">
        <v>44</v>
      </c>
      <c r="C429" s="4" t="s">
        <v>45</v>
      </c>
      <c r="D429" s="9" t="s">
        <v>32</v>
      </c>
      <c r="E429" s="9"/>
      <c r="F429" s="9"/>
      <c r="G429" s="9"/>
      <c r="H429" s="5" t="s">
        <v>33</v>
      </c>
      <c r="I429" s="15" t="s">
        <v>34</v>
      </c>
      <c r="J429" s="16" t="s">
        <v>2001</v>
      </c>
      <c r="K429" s="16"/>
      <c r="L429" s="16"/>
      <c r="M429" s="182">
        <v>43313</v>
      </c>
      <c r="N429" s="182"/>
      <c r="O429" s="182">
        <v>43556</v>
      </c>
      <c r="P429" s="12">
        <v>12</v>
      </c>
      <c r="Q429" s="7" t="s">
        <v>50</v>
      </c>
      <c r="R429" s="18">
        <v>10149.44</v>
      </c>
      <c r="S429" s="5" t="s">
        <v>130</v>
      </c>
      <c r="T429" s="5" t="s">
        <v>38</v>
      </c>
      <c r="U429" s="12" t="s">
        <v>67</v>
      </c>
      <c r="V429" s="12"/>
      <c r="W429" s="12" t="s">
        <v>383</v>
      </c>
      <c r="X429" s="5" t="s">
        <v>1892</v>
      </c>
      <c r="Y429" s="5" t="s">
        <v>115</v>
      </c>
      <c r="Z429" s="5"/>
      <c r="AA429" s="9"/>
      <c r="AB429" s="199">
        <v>43900</v>
      </c>
      <c r="AC429" s="8" t="s">
        <v>2536</v>
      </c>
      <c r="AD429" s="12" t="s">
        <v>2339</v>
      </c>
      <c r="AE429" s="44"/>
    </row>
    <row r="430" spans="1:32" s="360" customFormat="1" ht="409.6" customHeight="1">
      <c r="A430" s="1184"/>
      <c r="B430" s="1" t="s">
        <v>44</v>
      </c>
      <c r="C430" s="4"/>
      <c r="D430" s="9" t="s">
        <v>32</v>
      </c>
      <c r="E430" s="9"/>
      <c r="F430" s="9"/>
      <c r="G430" s="9"/>
      <c r="H430" s="5" t="s">
        <v>304</v>
      </c>
      <c r="I430" s="12" t="s">
        <v>47</v>
      </c>
      <c r="J430" s="16" t="s">
        <v>1982</v>
      </c>
      <c r="K430" s="8"/>
      <c r="L430" s="8"/>
      <c r="M430" s="182">
        <v>43344</v>
      </c>
      <c r="N430" s="182"/>
      <c r="O430" s="182">
        <v>43556</v>
      </c>
      <c r="P430" s="12">
        <v>12</v>
      </c>
      <c r="Q430" s="7" t="s">
        <v>50</v>
      </c>
      <c r="R430" s="18">
        <v>6650</v>
      </c>
      <c r="S430" s="5" t="s">
        <v>37</v>
      </c>
      <c r="T430" s="5" t="s">
        <v>38</v>
      </c>
      <c r="U430" s="4"/>
      <c r="V430" s="4"/>
      <c r="W430" s="5" t="s">
        <v>1983</v>
      </c>
      <c r="X430" s="9" t="s">
        <v>94</v>
      </c>
      <c r="Y430" s="5" t="s">
        <v>727</v>
      </c>
      <c r="Z430" s="5"/>
      <c r="AA430" s="5"/>
      <c r="AB430" s="199">
        <v>43735</v>
      </c>
      <c r="AC430" s="8" t="s">
        <v>2537</v>
      </c>
      <c r="AD430" s="4"/>
      <c r="AE430" s="44"/>
    </row>
    <row r="431" spans="1:32" s="360" customFormat="1" ht="409.5">
      <c r="A431" s="1195"/>
      <c r="B431" s="1" t="s">
        <v>44</v>
      </c>
      <c r="C431" s="4"/>
      <c r="D431" s="8" t="s">
        <v>32</v>
      </c>
      <c r="E431" s="8"/>
      <c r="F431" s="8"/>
      <c r="G431" s="8"/>
      <c r="H431" s="5" t="s">
        <v>33</v>
      </c>
      <c r="I431" s="5" t="s">
        <v>34</v>
      </c>
      <c r="J431" s="16" t="s">
        <v>1998</v>
      </c>
      <c r="K431" s="16"/>
      <c r="L431" s="16"/>
      <c r="M431" s="182">
        <v>43374</v>
      </c>
      <c r="N431" s="182"/>
      <c r="O431" s="182">
        <v>43556</v>
      </c>
      <c r="P431" s="12">
        <v>12</v>
      </c>
      <c r="Q431" s="13" t="s">
        <v>50</v>
      </c>
      <c r="R431" s="18">
        <v>20500</v>
      </c>
      <c r="S431" s="5" t="s">
        <v>130</v>
      </c>
      <c r="T431" s="12" t="s">
        <v>38</v>
      </c>
      <c r="U431" s="4"/>
      <c r="V431" s="4"/>
      <c r="W431" s="5" t="s">
        <v>2538</v>
      </c>
      <c r="X431" s="5" t="s">
        <v>94</v>
      </c>
      <c r="Y431" s="5" t="s">
        <v>40</v>
      </c>
      <c r="Z431" s="5"/>
      <c r="AA431" s="5"/>
      <c r="AB431" s="199">
        <v>43539</v>
      </c>
      <c r="AC431" s="1535" t="s">
        <v>2539</v>
      </c>
      <c r="AD431" s="4"/>
      <c r="AE431" s="40">
        <v>20500</v>
      </c>
    </row>
    <row r="432" spans="1:32" s="360" customFormat="1" ht="43.5">
      <c r="A432" s="1184"/>
      <c r="B432" s="1" t="s">
        <v>44</v>
      </c>
      <c r="C432" s="4"/>
      <c r="D432" s="8" t="s">
        <v>32</v>
      </c>
      <c r="E432" s="8"/>
      <c r="F432" s="8"/>
      <c r="G432" s="8"/>
      <c r="H432" s="5" t="s">
        <v>33</v>
      </c>
      <c r="I432" s="5" t="s">
        <v>47</v>
      </c>
      <c r="J432" s="16" t="s">
        <v>2540</v>
      </c>
      <c r="K432" s="8"/>
      <c r="L432" s="8"/>
      <c r="M432" s="14">
        <v>43374</v>
      </c>
      <c r="N432" s="14"/>
      <c r="O432" s="14">
        <v>43556</v>
      </c>
      <c r="P432" s="12">
        <v>12</v>
      </c>
      <c r="Q432" s="5">
        <v>12</v>
      </c>
      <c r="R432" s="18">
        <v>28615</v>
      </c>
      <c r="S432" s="5" t="s">
        <v>84</v>
      </c>
      <c r="T432" s="14" t="s">
        <v>38</v>
      </c>
      <c r="U432" s="4"/>
      <c r="V432" s="4"/>
      <c r="W432" s="5" t="s">
        <v>2541</v>
      </c>
      <c r="X432" s="5" t="s">
        <v>86</v>
      </c>
      <c r="Y432" s="5" t="s">
        <v>40</v>
      </c>
      <c r="Z432" s="5"/>
      <c r="AA432" s="5"/>
      <c r="AB432" s="199">
        <v>43560</v>
      </c>
      <c r="AC432" s="348" t="s">
        <v>225</v>
      </c>
      <c r="AD432" s="1926"/>
      <c r="AE432" s="1940"/>
    </row>
    <row r="433" spans="1:32" ht="389.15" customHeight="1">
      <c r="A433" s="1184"/>
      <c r="B433" s="1" t="s">
        <v>44</v>
      </c>
      <c r="C433" s="4"/>
      <c r="D433" s="8" t="s">
        <v>32</v>
      </c>
      <c r="E433" s="8"/>
      <c r="F433" s="8"/>
      <c r="G433" s="8"/>
      <c r="H433" s="5" t="s">
        <v>1697</v>
      </c>
      <c r="I433" s="5" t="s">
        <v>47</v>
      </c>
      <c r="J433" s="16" t="s">
        <v>2542</v>
      </c>
      <c r="K433" s="16"/>
      <c r="L433" s="16"/>
      <c r="M433" s="182">
        <v>43374</v>
      </c>
      <c r="N433" s="182"/>
      <c r="O433" s="182">
        <v>43556</v>
      </c>
      <c r="P433" s="12">
        <v>12</v>
      </c>
      <c r="Q433" s="13" t="s">
        <v>50</v>
      </c>
      <c r="R433" s="18">
        <v>33000</v>
      </c>
      <c r="S433" s="5" t="s">
        <v>84</v>
      </c>
      <c r="T433" s="12" t="s">
        <v>38</v>
      </c>
      <c r="U433" s="4"/>
      <c r="V433" s="4"/>
      <c r="W433" s="5" t="s">
        <v>2543</v>
      </c>
      <c r="X433" s="5" t="s">
        <v>86</v>
      </c>
      <c r="Y433" s="5" t="s">
        <v>40</v>
      </c>
      <c r="Z433" s="5"/>
      <c r="AA433" s="5"/>
      <c r="AB433" s="199">
        <v>43657</v>
      </c>
      <c r="AC433" s="8" t="s">
        <v>409</v>
      </c>
      <c r="AD433" s="4"/>
      <c r="AE433" s="40"/>
      <c r="AF433" s="360"/>
    </row>
    <row r="434" spans="1:32" ht="409.6" customHeight="1">
      <c r="A434" s="1184"/>
      <c r="B434" s="1" t="s">
        <v>44</v>
      </c>
      <c r="C434" s="4" t="s">
        <v>2544</v>
      </c>
      <c r="D434" s="8" t="s">
        <v>32</v>
      </c>
      <c r="E434" s="8"/>
      <c r="F434" s="8"/>
      <c r="G434" s="8"/>
      <c r="H434" s="5" t="s">
        <v>33</v>
      </c>
      <c r="I434" s="5" t="s">
        <v>47</v>
      </c>
      <c r="J434" s="16" t="s">
        <v>2545</v>
      </c>
      <c r="K434" s="8"/>
      <c r="L434" s="8"/>
      <c r="M434" s="14">
        <v>43405</v>
      </c>
      <c r="N434" s="14"/>
      <c r="O434" s="14">
        <v>43556</v>
      </c>
      <c r="P434" s="12">
        <v>12</v>
      </c>
      <c r="Q434" s="5">
        <v>12</v>
      </c>
      <c r="R434" s="18">
        <v>13500</v>
      </c>
      <c r="S434" s="5" t="s">
        <v>84</v>
      </c>
      <c r="T434" s="14" t="s">
        <v>38</v>
      </c>
      <c r="U434" s="4"/>
      <c r="V434" s="4"/>
      <c r="W434" s="5" t="s">
        <v>2541</v>
      </c>
      <c r="X434" s="5" t="s">
        <v>86</v>
      </c>
      <c r="Y434" s="5" t="s">
        <v>40</v>
      </c>
      <c r="Z434" s="5"/>
      <c r="AA434" s="5"/>
      <c r="AB434" s="199">
        <v>43550</v>
      </c>
      <c r="AC434" s="8" t="s">
        <v>1990</v>
      </c>
      <c r="AD434" s="10"/>
      <c r="AE434" s="18">
        <v>13500</v>
      </c>
      <c r="AF434" s="360"/>
    </row>
    <row r="435" spans="1:32" ht="72" customHeight="1">
      <c r="A435" s="2756"/>
      <c r="B435" s="1" t="s">
        <v>44</v>
      </c>
      <c r="C435" s="4"/>
      <c r="D435" s="8" t="s">
        <v>32</v>
      </c>
      <c r="E435" s="8"/>
      <c r="F435" s="8"/>
      <c r="G435" s="8"/>
      <c r="H435" s="5" t="s">
        <v>33</v>
      </c>
      <c r="I435" s="5" t="s">
        <v>34</v>
      </c>
      <c r="J435" s="16" t="s">
        <v>2546</v>
      </c>
      <c r="K435" s="16"/>
      <c r="L435" s="16"/>
      <c r="M435" s="182">
        <v>43435</v>
      </c>
      <c r="N435" s="182"/>
      <c r="O435" s="182">
        <v>43556</v>
      </c>
      <c r="P435" s="12">
        <v>12</v>
      </c>
      <c r="Q435" s="7" t="s">
        <v>50</v>
      </c>
      <c r="R435" s="18">
        <v>640</v>
      </c>
      <c r="S435" s="5" t="s">
        <v>130</v>
      </c>
      <c r="T435" s="12" t="s">
        <v>38</v>
      </c>
      <c r="U435" s="4"/>
      <c r="V435" s="4"/>
      <c r="W435" s="5" t="s">
        <v>2547</v>
      </c>
      <c r="X435" s="2751" t="s">
        <v>94</v>
      </c>
      <c r="Y435" s="5" t="s">
        <v>40</v>
      </c>
      <c r="Z435" s="5"/>
      <c r="AA435" s="12"/>
      <c r="AB435" s="199">
        <v>43503</v>
      </c>
      <c r="AC435" s="84" t="s">
        <v>2548</v>
      </c>
      <c r="AD435" s="4"/>
      <c r="AE435" s="40"/>
      <c r="AF435" s="360"/>
    </row>
    <row r="436" spans="1:32" s="360" customFormat="1" ht="43.5">
      <c r="A436" s="1184"/>
      <c r="B436" s="1" t="s">
        <v>44</v>
      </c>
      <c r="C436" s="4" t="s">
        <v>2549</v>
      </c>
      <c r="D436" s="8" t="s">
        <v>32</v>
      </c>
      <c r="E436" s="8"/>
      <c r="F436" s="8"/>
      <c r="G436" s="8"/>
      <c r="H436" s="5" t="s">
        <v>386</v>
      </c>
      <c r="I436" s="5" t="s">
        <v>47</v>
      </c>
      <c r="J436" s="16" t="s">
        <v>387</v>
      </c>
      <c r="K436" s="8"/>
      <c r="L436" s="8"/>
      <c r="M436" s="199">
        <v>43435</v>
      </c>
      <c r="N436" s="199"/>
      <c r="O436" s="199">
        <v>43556</v>
      </c>
      <c r="P436" s="5">
        <v>36</v>
      </c>
      <c r="Q436" s="5">
        <v>36</v>
      </c>
      <c r="R436" s="18">
        <v>39931</v>
      </c>
      <c r="S436" s="5" t="s">
        <v>51</v>
      </c>
      <c r="T436" s="11" t="s">
        <v>38</v>
      </c>
      <c r="U436" s="4"/>
      <c r="V436" s="4"/>
      <c r="W436" s="5" t="s">
        <v>388</v>
      </c>
      <c r="X436" s="2751" t="s">
        <v>1962</v>
      </c>
      <c r="Y436" s="5" t="s">
        <v>40</v>
      </c>
      <c r="Z436" s="5"/>
      <c r="AA436" s="5"/>
      <c r="AB436" s="199">
        <v>43552</v>
      </c>
      <c r="AC436" s="36" t="s">
        <v>2550</v>
      </c>
      <c r="AD436" s="4"/>
      <c r="AE436" s="41"/>
    </row>
    <row r="437" spans="1:32" s="360" customFormat="1" ht="43.5">
      <c r="A437" s="1184"/>
      <c r="B437" s="1" t="s">
        <v>44</v>
      </c>
      <c r="C437" s="4"/>
      <c r="D437" s="8" t="s">
        <v>32</v>
      </c>
      <c r="E437" s="8"/>
      <c r="F437" s="8"/>
      <c r="G437" s="8"/>
      <c r="H437" s="5" t="s">
        <v>33</v>
      </c>
      <c r="I437" s="5" t="s">
        <v>47</v>
      </c>
      <c r="J437" s="16" t="s">
        <v>140</v>
      </c>
      <c r="K437" s="8"/>
      <c r="L437" s="8"/>
      <c r="M437" s="199">
        <v>43466</v>
      </c>
      <c r="N437" s="199"/>
      <c r="O437" s="199">
        <v>43556</v>
      </c>
      <c r="P437" s="5">
        <v>48</v>
      </c>
      <c r="Q437" s="7" t="s">
        <v>215</v>
      </c>
      <c r="R437" s="18">
        <v>116160</v>
      </c>
      <c r="S437" s="5" t="s">
        <v>84</v>
      </c>
      <c r="T437" s="11" t="s">
        <v>612</v>
      </c>
      <c r="U437" s="4"/>
      <c r="V437" s="4"/>
      <c r="W437" s="5" t="s">
        <v>142</v>
      </c>
      <c r="X437" s="5" t="s">
        <v>543</v>
      </c>
      <c r="Y437" s="5" t="s">
        <v>40</v>
      </c>
      <c r="Z437" s="5"/>
      <c r="AA437" s="5"/>
      <c r="AB437" s="199">
        <v>43578</v>
      </c>
      <c r="AC437" s="8" t="s">
        <v>2191</v>
      </c>
      <c r="AD437" s="4"/>
      <c r="AE437" s="41">
        <v>29040</v>
      </c>
      <c r="AF437" s="355"/>
    </row>
    <row r="438" spans="1:32" s="360" customFormat="1" ht="43.5">
      <c r="A438" s="1184"/>
      <c r="B438" s="1" t="s">
        <v>44</v>
      </c>
      <c r="C438" s="4" t="s">
        <v>2551</v>
      </c>
      <c r="D438" s="8" t="s">
        <v>57</v>
      </c>
      <c r="E438" s="8"/>
      <c r="F438" s="8"/>
      <c r="G438" s="8"/>
      <c r="H438" s="5" t="s">
        <v>2552</v>
      </c>
      <c r="I438" s="12" t="s">
        <v>47</v>
      </c>
      <c r="J438" s="16" t="s">
        <v>2553</v>
      </c>
      <c r="K438" s="16"/>
      <c r="L438" s="16"/>
      <c r="M438" s="14">
        <v>43474</v>
      </c>
      <c r="N438" s="14"/>
      <c r="O438" s="182">
        <v>43556</v>
      </c>
      <c r="P438" s="12">
        <v>12</v>
      </c>
      <c r="Q438" s="12">
        <v>12</v>
      </c>
      <c r="R438" s="18">
        <v>125000</v>
      </c>
      <c r="S438" s="5" t="s">
        <v>45</v>
      </c>
      <c r="T438" s="12" t="s">
        <v>38</v>
      </c>
      <c r="U438" s="4"/>
      <c r="V438" s="4"/>
      <c r="W438" s="12" t="s">
        <v>2554</v>
      </c>
      <c r="X438" s="5" t="s">
        <v>86</v>
      </c>
      <c r="Y438" s="5" t="s">
        <v>40</v>
      </c>
      <c r="Z438" s="5"/>
      <c r="AA438" s="5"/>
      <c r="AB438" s="199">
        <v>43503</v>
      </c>
      <c r="AC438" s="8" t="s">
        <v>2555</v>
      </c>
      <c r="AD438" s="4"/>
      <c r="AE438" s="40"/>
      <c r="AF438" s="361"/>
    </row>
    <row r="439" spans="1:32" ht="58">
      <c r="A439" s="1184"/>
      <c r="B439" s="1" t="s">
        <v>44</v>
      </c>
      <c r="C439" s="4" t="s">
        <v>2556</v>
      </c>
      <c r="D439" s="8" t="s">
        <v>32</v>
      </c>
      <c r="E439" s="8"/>
      <c r="F439" s="8"/>
      <c r="G439" s="8"/>
      <c r="H439" s="5" t="s">
        <v>2214</v>
      </c>
      <c r="I439" s="5" t="s">
        <v>47</v>
      </c>
      <c r="J439" s="16" t="s">
        <v>2557</v>
      </c>
      <c r="K439" s="8"/>
      <c r="L439" s="8"/>
      <c r="M439" s="182">
        <v>43509</v>
      </c>
      <c r="N439" s="182"/>
      <c r="O439" s="182">
        <v>43556</v>
      </c>
      <c r="P439" s="12">
        <v>24</v>
      </c>
      <c r="Q439" s="7" t="s">
        <v>1345</v>
      </c>
      <c r="R439" s="41">
        <v>23137.5</v>
      </c>
      <c r="S439" s="41" t="s">
        <v>37</v>
      </c>
      <c r="T439" s="41" t="s">
        <v>38</v>
      </c>
      <c r="U439" s="4"/>
      <c r="V439" s="4"/>
      <c r="W439" s="5" t="s">
        <v>2558</v>
      </c>
      <c r="X439" s="5" t="s">
        <v>254</v>
      </c>
      <c r="Y439" s="5" t="s">
        <v>40</v>
      </c>
      <c r="Z439" s="5"/>
      <c r="AA439" s="120"/>
      <c r="AB439" s="199">
        <v>43579</v>
      </c>
      <c r="AC439" s="8" t="s">
        <v>2559</v>
      </c>
      <c r="AD439" s="4"/>
      <c r="AE439" s="41" t="s">
        <v>2560</v>
      </c>
      <c r="AF439" s="360"/>
    </row>
    <row r="440" spans="1:32" s="360" customFormat="1" ht="29">
      <c r="A440" s="1184"/>
      <c r="B440" s="4" t="s">
        <v>44</v>
      </c>
      <c r="C440" s="4" t="s">
        <v>2561</v>
      </c>
      <c r="D440" s="8" t="s">
        <v>32</v>
      </c>
      <c r="E440" s="8"/>
      <c r="F440" s="8"/>
      <c r="G440" s="8"/>
      <c r="H440" s="5" t="s">
        <v>2562</v>
      </c>
      <c r="I440" s="5" t="s">
        <v>34</v>
      </c>
      <c r="J440" s="16" t="s">
        <v>2563</v>
      </c>
      <c r="K440" s="16"/>
      <c r="L440" s="16"/>
      <c r="M440" s="182">
        <v>43510</v>
      </c>
      <c r="N440" s="182"/>
      <c r="O440" s="182">
        <v>43556</v>
      </c>
      <c r="P440" s="12">
        <v>48</v>
      </c>
      <c r="Q440" s="12" t="s">
        <v>2564</v>
      </c>
      <c r="R440" s="18">
        <v>1766000</v>
      </c>
      <c r="S440" s="2751" t="s">
        <v>91</v>
      </c>
      <c r="T440" s="12" t="s">
        <v>38</v>
      </c>
      <c r="U440" s="4"/>
      <c r="V440" s="4"/>
      <c r="W440" s="5" t="s">
        <v>1597</v>
      </c>
      <c r="X440" s="5" t="s">
        <v>413</v>
      </c>
      <c r="Y440" s="5" t="s">
        <v>40</v>
      </c>
      <c r="Z440" s="5"/>
      <c r="AA440" s="5"/>
      <c r="AB440" s="199">
        <v>43622</v>
      </c>
      <c r="AC440" s="106" t="s">
        <v>2565</v>
      </c>
      <c r="AD440" s="4"/>
      <c r="AE440" s="40"/>
    </row>
    <row r="441" spans="1:32" s="360" customFormat="1" ht="29">
      <c r="A441" s="1184"/>
      <c r="B441" s="4" t="s">
        <v>44</v>
      </c>
      <c r="C441" s="4" t="s">
        <v>45</v>
      </c>
      <c r="D441" s="6" t="s">
        <v>32</v>
      </c>
      <c r="E441" s="6"/>
      <c r="F441" s="6"/>
      <c r="G441" s="6"/>
      <c r="H441" s="5" t="s">
        <v>33</v>
      </c>
      <c r="I441" s="5" t="s">
        <v>47</v>
      </c>
      <c r="J441" s="16" t="s">
        <v>2566</v>
      </c>
      <c r="K441" s="16"/>
      <c r="L441" s="16"/>
      <c r="M441" s="182">
        <v>43607</v>
      </c>
      <c r="N441" s="182"/>
      <c r="O441" s="182">
        <v>43556</v>
      </c>
      <c r="P441" s="12">
        <v>24</v>
      </c>
      <c r="Q441" s="12">
        <v>24</v>
      </c>
      <c r="R441" s="18">
        <v>11548.36</v>
      </c>
      <c r="S441" s="5" t="s">
        <v>37</v>
      </c>
      <c r="T441" s="12" t="s">
        <v>38</v>
      </c>
      <c r="U441" s="4"/>
      <c r="V441" s="4"/>
      <c r="W441" s="5" t="s">
        <v>2567</v>
      </c>
      <c r="X441" s="46" t="s">
        <v>1962</v>
      </c>
      <c r="Y441" s="5" t="s">
        <v>727</v>
      </c>
      <c r="Z441" s="5"/>
      <c r="AA441" s="12"/>
      <c r="AB441" s="199">
        <v>43686</v>
      </c>
      <c r="AC441" s="122" t="s">
        <v>2568</v>
      </c>
      <c r="AD441" s="120"/>
      <c r="AE441" s="40">
        <v>5774.18</v>
      </c>
    </row>
    <row r="442" spans="1:32" s="360" customFormat="1" ht="403.4" customHeight="1">
      <c r="A442" s="1119"/>
      <c r="B442" s="577" t="s">
        <v>56</v>
      </c>
      <c r="C442" s="510" t="s">
        <v>1549</v>
      </c>
      <c r="D442" s="511" t="s">
        <v>57</v>
      </c>
      <c r="E442" s="511"/>
      <c r="F442" s="511"/>
      <c r="G442" s="511"/>
      <c r="H442" s="511" t="s">
        <v>58</v>
      </c>
      <c r="I442" s="519" t="s">
        <v>34</v>
      </c>
      <c r="J442" s="1578" t="s">
        <v>1550</v>
      </c>
      <c r="K442" s="512"/>
      <c r="L442" s="597">
        <v>43191</v>
      </c>
      <c r="M442" s="597"/>
      <c r="N442" s="597"/>
      <c r="O442" s="597">
        <v>43556</v>
      </c>
      <c r="P442" s="516">
        <v>12</v>
      </c>
      <c r="Q442" s="516">
        <v>12</v>
      </c>
      <c r="R442" s="599">
        <f>10800000/4</f>
        <v>2700000</v>
      </c>
      <c r="S442" s="523" t="s">
        <v>91</v>
      </c>
      <c r="T442" s="515" t="s">
        <v>70</v>
      </c>
      <c r="U442" s="515"/>
      <c r="V442" s="515"/>
      <c r="W442" s="519" t="s">
        <v>651</v>
      </c>
      <c r="X442" s="120"/>
      <c r="Y442" s="120"/>
      <c r="Z442" s="120"/>
      <c r="AA442" s="120"/>
      <c r="AB442" s="120"/>
      <c r="AC442" s="120"/>
      <c r="AD442" s="120"/>
      <c r="AE442" s="120"/>
    </row>
    <row r="443" spans="1:32" s="360" customFormat="1" ht="37.5">
      <c r="A443" s="1119"/>
      <c r="B443" s="577" t="s">
        <v>56</v>
      </c>
      <c r="C443" s="510" t="s">
        <v>1552</v>
      </c>
      <c r="D443" s="511" t="s">
        <v>57</v>
      </c>
      <c r="E443" s="511"/>
      <c r="F443" s="511"/>
      <c r="G443" s="511"/>
      <c r="H443" s="511" t="s">
        <v>58</v>
      </c>
      <c r="I443" s="519" t="s">
        <v>34</v>
      </c>
      <c r="J443" s="1578" t="s">
        <v>1553</v>
      </c>
      <c r="K443" s="512"/>
      <c r="L443" s="597">
        <v>43191</v>
      </c>
      <c r="M443" s="597"/>
      <c r="N443" s="597"/>
      <c r="O443" s="597">
        <v>43556</v>
      </c>
      <c r="P443" s="516">
        <v>12</v>
      </c>
      <c r="Q443" s="516">
        <v>12</v>
      </c>
      <c r="R443" s="599">
        <f>7500000/4</f>
        <v>1875000</v>
      </c>
      <c r="S443" s="523" t="s">
        <v>91</v>
      </c>
      <c r="T443" s="515" t="s">
        <v>70</v>
      </c>
      <c r="U443" s="1070"/>
      <c r="V443" s="1070"/>
      <c r="W443" s="519"/>
      <c r="X443" s="120"/>
      <c r="Y443" s="120"/>
      <c r="Z443" s="120"/>
      <c r="AA443" s="120"/>
      <c r="AB443" s="120"/>
      <c r="AC443" s="120"/>
      <c r="AD443" s="120"/>
      <c r="AE443" s="120"/>
      <c r="AF443" s="195"/>
    </row>
    <row r="444" spans="1:32" s="360" customFormat="1" ht="37.5">
      <c r="A444" s="1119"/>
      <c r="B444" s="577" t="s">
        <v>56</v>
      </c>
      <c r="C444" s="510"/>
      <c r="D444" s="511" t="s">
        <v>57</v>
      </c>
      <c r="E444" s="511"/>
      <c r="F444" s="511"/>
      <c r="G444" s="511"/>
      <c r="H444" s="511" t="s">
        <v>58</v>
      </c>
      <c r="I444" s="519" t="s">
        <v>34</v>
      </c>
      <c r="J444" s="1578" t="s">
        <v>1554</v>
      </c>
      <c r="K444" s="512"/>
      <c r="L444" s="597">
        <v>43191</v>
      </c>
      <c r="M444" s="597"/>
      <c r="N444" s="597"/>
      <c r="O444" s="597">
        <v>43556</v>
      </c>
      <c r="P444" s="516">
        <v>12</v>
      </c>
      <c r="Q444" s="516">
        <v>12</v>
      </c>
      <c r="R444" s="599">
        <v>2257776</v>
      </c>
      <c r="S444" s="523" t="s">
        <v>60</v>
      </c>
      <c r="T444" s="515" t="s">
        <v>2569</v>
      </c>
      <c r="U444" s="515"/>
      <c r="V444" s="515"/>
      <c r="W444" s="519" t="s">
        <v>651</v>
      </c>
      <c r="X444" s="120"/>
      <c r="Y444" s="120"/>
      <c r="Z444" s="120"/>
      <c r="AA444" s="120"/>
      <c r="AB444" s="120"/>
      <c r="AC444" s="120"/>
      <c r="AD444" s="120"/>
      <c r="AE444" s="120"/>
      <c r="AF444"/>
    </row>
    <row r="445" spans="1:32" ht="87.5">
      <c r="A445" s="1119"/>
      <c r="B445" s="577" t="s">
        <v>56</v>
      </c>
      <c r="C445" s="510" t="s">
        <v>2570</v>
      </c>
      <c r="D445" s="511" t="s">
        <v>32</v>
      </c>
      <c r="E445" s="511"/>
      <c r="F445" s="511"/>
      <c r="G445" s="511"/>
      <c r="H445" s="511" t="s">
        <v>279</v>
      </c>
      <c r="I445" s="519" t="s">
        <v>47</v>
      </c>
      <c r="J445" s="1578" t="s">
        <v>2571</v>
      </c>
      <c r="K445" s="512"/>
      <c r="L445" s="530">
        <v>42767</v>
      </c>
      <c r="M445" s="530"/>
      <c r="N445" s="530"/>
      <c r="O445" s="530">
        <v>43556</v>
      </c>
      <c r="P445" s="516">
        <v>48</v>
      </c>
      <c r="Q445" s="516">
        <v>48</v>
      </c>
      <c r="R445" s="599">
        <v>5600000</v>
      </c>
      <c r="S445" s="523" t="s">
        <v>1189</v>
      </c>
      <c r="T445" s="515" t="s">
        <v>70</v>
      </c>
      <c r="U445" s="515"/>
      <c r="V445" s="515"/>
      <c r="W445" s="519" t="s">
        <v>2572</v>
      </c>
      <c r="X445" s="120"/>
      <c r="Y445" s="120"/>
      <c r="Z445" s="120"/>
      <c r="AA445" s="120"/>
      <c r="AB445" s="120"/>
      <c r="AC445" s="120"/>
      <c r="AD445" s="120"/>
      <c r="AE445" s="120"/>
    </row>
    <row r="446" spans="1:32" s="355" customFormat="1" ht="244.5" customHeight="1">
      <c r="A446" s="1119"/>
      <c r="B446" s="577" t="s">
        <v>56</v>
      </c>
      <c r="C446" s="510" t="s">
        <v>2573</v>
      </c>
      <c r="D446" s="511" t="s">
        <v>122</v>
      </c>
      <c r="E446" s="511"/>
      <c r="F446" s="511"/>
      <c r="G446" s="511"/>
      <c r="H446" s="511" t="s">
        <v>308</v>
      </c>
      <c r="I446" s="519" t="s">
        <v>47</v>
      </c>
      <c r="J446" s="1578" t="s">
        <v>2574</v>
      </c>
      <c r="K446" s="512"/>
      <c r="L446" s="530">
        <v>43479</v>
      </c>
      <c r="M446" s="530"/>
      <c r="N446" s="530"/>
      <c r="O446" s="530">
        <v>43556</v>
      </c>
      <c r="P446" s="516">
        <v>4</v>
      </c>
      <c r="Q446" s="516">
        <v>4</v>
      </c>
      <c r="R446" s="599">
        <v>136000</v>
      </c>
      <c r="S446" s="523" t="s">
        <v>1937</v>
      </c>
      <c r="T446" s="515" t="s">
        <v>62</v>
      </c>
      <c r="U446" s="1070"/>
      <c r="V446" s="1070"/>
      <c r="W446" s="533" t="s">
        <v>2408</v>
      </c>
      <c r="X446" s="120"/>
      <c r="Y446" s="120"/>
      <c r="Z446" s="120"/>
      <c r="AA446" s="120"/>
      <c r="AB446" s="120"/>
      <c r="AC446" s="120"/>
      <c r="AD446" s="120"/>
      <c r="AE446" s="120"/>
      <c r="AF446"/>
    </row>
    <row r="447" spans="1:32" s="360" customFormat="1" ht="96.65" customHeight="1">
      <c r="A447" s="1119"/>
      <c r="B447" s="577" t="s">
        <v>56</v>
      </c>
      <c r="C447" s="510" t="s">
        <v>2575</v>
      </c>
      <c r="D447" s="511" t="s">
        <v>122</v>
      </c>
      <c r="E447" s="511"/>
      <c r="F447" s="511"/>
      <c r="G447" s="511"/>
      <c r="H447" s="511" t="s">
        <v>308</v>
      </c>
      <c r="I447" s="510" t="s">
        <v>47</v>
      </c>
      <c r="J447" s="1580" t="s">
        <v>2576</v>
      </c>
      <c r="K447" s="533"/>
      <c r="L447" s="618">
        <v>43479</v>
      </c>
      <c r="M447" s="618"/>
      <c r="N447" s="618"/>
      <c r="O447" s="618">
        <v>43556</v>
      </c>
      <c r="P447" s="535">
        <v>2</v>
      </c>
      <c r="Q447" s="535">
        <v>2</v>
      </c>
      <c r="R447" s="599">
        <v>57000</v>
      </c>
      <c r="S447" s="533" t="s">
        <v>84</v>
      </c>
      <c r="T447" s="615" t="s">
        <v>62</v>
      </c>
      <c r="U447" s="615"/>
      <c r="V447" s="615"/>
      <c r="W447" s="533" t="s">
        <v>2408</v>
      </c>
      <c r="X447" s="120"/>
      <c r="Y447" s="120"/>
      <c r="Z447" s="120"/>
      <c r="AA447" s="120"/>
      <c r="AB447" s="120"/>
      <c r="AC447" s="120"/>
      <c r="AD447" s="120"/>
      <c r="AE447" s="120"/>
    </row>
    <row r="448" spans="1:32" s="360" customFormat="1" ht="409.6" customHeight="1">
      <c r="A448" s="1119"/>
      <c r="B448" s="577" t="s">
        <v>56</v>
      </c>
      <c r="C448" s="510" t="s">
        <v>2577</v>
      </c>
      <c r="D448" s="511" t="s">
        <v>122</v>
      </c>
      <c r="E448" s="511"/>
      <c r="F448" s="511"/>
      <c r="G448" s="511"/>
      <c r="H448" s="511" t="s">
        <v>308</v>
      </c>
      <c r="I448" s="519" t="s">
        <v>47</v>
      </c>
      <c r="J448" s="1578" t="s">
        <v>2578</v>
      </c>
      <c r="K448" s="512"/>
      <c r="L448" s="530">
        <v>43467</v>
      </c>
      <c r="M448" s="530"/>
      <c r="N448" s="530"/>
      <c r="O448" s="530">
        <v>43556</v>
      </c>
      <c r="P448" s="516">
        <v>4</v>
      </c>
      <c r="Q448" s="516" t="s">
        <v>60</v>
      </c>
      <c r="R448" s="599">
        <v>357000</v>
      </c>
      <c r="S448" s="523" t="s">
        <v>1937</v>
      </c>
      <c r="T448" s="515" t="s">
        <v>62</v>
      </c>
      <c r="U448" s="515"/>
      <c r="V448" s="515"/>
      <c r="W448" s="533" t="s">
        <v>2408</v>
      </c>
      <c r="X448" s="120"/>
      <c r="Y448" s="120"/>
      <c r="Z448" s="120"/>
      <c r="AA448" s="120"/>
      <c r="AB448" s="120"/>
      <c r="AC448" s="120"/>
      <c r="AD448" s="120"/>
      <c r="AE448" s="120"/>
    </row>
    <row r="449" spans="1:32" s="360" customFormat="1" ht="158.9" customHeight="1">
      <c r="A449" s="1119"/>
      <c r="B449" s="577" t="s">
        <v>56</v>
      </c>
      <c r="C449" s="510" t="s">
        <v>60</v>
      </c>
      <c r="D449" s="511" t="s">
        <v>57</v>
      </c>
      <c r="E449" s="511"/>
      <c r="F449" s="511"/>
      <c r="G449" s="511"/>
      <c r="H449" s="511" t="s">
        <v>58</v>
      </c>
      <c r="I449" s="510" t="s">
        <v>34</v>
      </c>
      <c r="J449" s="1580" t="s">
        <v>2579</v>
      </c>
      <c r="K449" s="533"/>
      <c r="L449" s="534">
        <v>43467</v>
      </c>
      <c r="M449" s="534"/>
      <c r="N449" s="534"/>
      <c r="O449" s="534">
        <v>43556</v>
      </c>
      <c r="P449" s="535">
        <v>120</v>
      </c>
      <c r="Q449" s="535" t="s">
        <v>2580</v>
      </c>
      <c r="R449" s="599">
        <f>2*243938886.64</f>
        <v>487877773.27999997</v>
      </c>
      <c r="S449" s="510" t="s">
        <v>91</v>
      </c>
      <c r="T449" s="515" t="s">
        <v>310</v>
      </c>
      <c r="U449" s="515" t="s">
        <v>60</v>
      </c>
      <c r="V449" s="515"/>
      <c r="W449" s="510" t="s">
        <v>651</v>
      </c>
      <c r="X449" s="120"/>
      <c r="Y449" s="120"/>
      <c r="Z449" s="120"/>
      <c r="AA449" s="120"/>
      <c r="AB449" s="120"/>
      <c r="AC449" s="120"/>
      <c r="AD449" s="120"/>
      <c r="AE449" s="120"/>
    </row>
    <row r="450" spans="1:32" s="360" customFormat="1">
      <c r="A450" s="1648">
        <v>44974</v>
      </c>
      <c r="B450" s="1655" t="s">
        <v>1168</v>
      </c>
      <c r="C450" s="1664" t="s">
        <v>1170</v>
      </c>
      <c r="D450" s="1664" t="s">
        <v>1254</v>
      </c>
      <c r="E450" s="1655" t="s">
        <v>1168</v>
      </c>
      <c r="F450" s="1655" t="s">
        <v>1170</v>
      </c>
      <c r="G450" s="1655" t="s">
        <v>1170</v>
      </c>
      <c r="H450" s="1655" t="s">
        <v>1170</v>
      </c>
      <c r="I450" s="1655" t="s">
        <v>1170</v>
      </c>
      <c r="J450" s="1698" t="s">
        <v>2581</v>
      </c>
      <c r="K450" s="1664" t="s">
        <v>2582</v>
      </c>
      <c r="L450" s="1655" t="s">
        <v>1170</v>
      </c>
      <c r="M450" s="1655" t="s">
        <v>1170</v>
      </c>
      <c r="N450" s="1655" t="s">
        <v>1170</v>
      </c>
      <c r="O450" s="1755">
        <v>43556</v>
      </c>
      <c r="P450" s="1755">
        <v>45016</v>
      </c>
      <c r="Q450" s="1664" t="s">
        <v>589</v>
      </c>
      <c r="R450" s="1805">
        <v>128000</v>
      </c>
      <c r="S450" s="1664" t="s">
        <v>1346</v>
      </c>
      <c r="T450" s="1655" t="s">
        <v>1170</v>
      </c>
      <c r="U450" s="1655" t="s">
        <v>1170</v>
      </c>
      <c r="V450" s="1655"/>
      <c r="W450" s="1664" t="s">
        <v>2583</v>
      </c>
      <c r="X450" s="1664" t="s">
        <v>1175</v>
      </c>
      <c r="Y450" s="1664" t="s">
        <v>251</v>
      </c>
      <c r="Z450" s="1655" t="s">
        <v>1170</v>
      </c>
      <c r="AA450" s="1655" t="s">
        <v>1170</v>
      </c>
      <c r="AB450" s="1655" t="s">
        <v>1170</v>
      </c>
      <c r="AC450" s="1698" t="s">
        <v>2584</v>
      </c>
      <c r="AD450" s="1655" t="s">
        <v>1170</v>
      </c>
      <c r="AE450" s="1805">
        <v>128000</v>
      </c>
      <c r="AF450"/>
    </row>
    <row r="451" spans="1:32" ht="29">
      <c r="A451" s="1184"/>
      <c r="B451" s="4" t="s">
        <v>44</v>
      </c>
      <c r="C451" s="4" t="s">
        <v>2585</v>
      </c>
      <c r="D451" s="8" t="s">
        <v>57</v>
      </c>
      <c r="E451" s="8"/>
      <c r="F451" s="8"/>
      <c r="G451" s="8"/>
      <c r="H451" s="5" t="s">
        <v>1619</v>
      </c>
      <c r="I451" s="5" t="s">
        <v>34</v>
      </c>
      <c r="J451" s="16" t="s">
        <v>1620</v>
      </c>
      <c r="K451" s="16"/>
      <c r="L451" s="16"/>
      <c r="M451" s="182">
        <v>43116</v>
      </c>
      <c r="N451" s="182"/>
      <c r="O451" s="182">
        <v>43558</v>
      </c>
      <c r="P451" s="12">
        <v>48</v>
      </c>
      <c r="Q451" s="7" t="s">
        <v>2586</v>
      </c>
      <c r="R451" s="18">
        <v>89000</v>
      </c>
      <c r="S451" s="5" t="s">
        <v>176</v>
      </c>
      <c r="T451" s="12" t="s">
        <v>38</v>
      </c>
      <c r="U451" s="4"/>
      <c r="V451" s="4"/>
      <c r="W451" s="5" t="s">
        <v>1622</v>
      </c>
      <c r="X451" s="12" t="s">
        <v>125</v>
      </c>
      <c r="Y451" s="5" t="s">
        <v>40</v>
      </c>
      <c r="Z451" s="5"/>
      <c r="AA451" s="5"/>
      <c r="AB451" s="7"/>
      <c r="AC451" s="8" t="s">
        <v>2587</v>
      </c>
      <c r="AD451" s="4"/>
      <c r="AE451" s="17"/>
      <c r="AF451" s="360"/>
    </row>
    <row r="452" spans="1:32" ht="55.5" customHeight="1">
      <c r="A452" s="1184"/>
      <c r="B452" s="4" t="s">
        <v>44</v>
      </c>
      <c r="C452" s="4"/>
      <c r="D452" s="8" t="s">
        <v>32</v>
      </c>
      <c r="E452" s="8"/>
      <c r="F452" s="8"/>
      <c r="G452" s="8"/>
      <c r="H452" s="5" t="s">
        <v>33</v>
      </c>
      <c r="I452" s="12" t="s">
        <v>47</v>
      </c>
      <c r="J452" s="16" t="s">
        <v>2588</v>
      </c>
      <c r="K452" s="16"/>
      <c r="L452" s="16"/>
      <c r="M452" s="182">
        <v>43374</v>
      </c>
      <c r="N452" s="182"/>
      <c r="O452" s="182">
        <v>43562</v>
      </c>
      <c r="P452" s="12">
        <v>48</v>
      </c>
      <c r="Q452" s="7" t="s">
        <v>215</v>
      </c>
      <c r="R452" s="18">
        <v>96000</v>
      </c>
      <c r="S452" s="5" t="s">
        <v>2110</v>
      </c>
      <c r="T452" s="12" t="s">
        <v>38</v>
      </c>
      <c r="U452" s="4"/>
      <c r="V452" s="4"/>
      <c r="W452" s="12" t="s">
        <v>2589</v>
      </c>
      <c r="X452" s="5" t="s">
        <v>715</v>
      </c>
      <c r="Y452" s="5" t="s">
        <v>40</v>
      </c>
      <c r="Z452" s="5"/>
      <c r="AA452" s="5"/>
      <c r="AB452" s="199">
        <v>43552</v>
      </c>
      <c r="AC452" s="36" t="s">
        <v>2590</v>
      </c>
      <c r="AD452" s="4"/>
      <c r="AE452" s="41">
        <v>24000</v>
      </c>
    </row>
    <row r="453" spans="1:32" ht="37.5">
      <c r="A453" s="1119"/>
      <c r="B453" s="577" t="s">
        <v>56</v>
      </c>
      <c r="C453" s="510" t="s">
        <v>2591</v>
      </c>
      <c r="D453" s="511" t="s">
        <v>57</v>
      </c>
      <c r="E453" s="511"/>
      <c r="F453" s="511"/>
      <c r="G453" s="511"/>
      <c r="H453" s="511" t="s">
        <v>58</v>
      </c>
      <c r="I453" s="519" t="s">
        <v>47</v>
      </c>
      <c r="J453" s="1578" t="s">
        <v>2592</v>
      </c>
      <c r="K453" s="512"/>
      <c r="L453" s="530">
        <v>43633</v>
      </c>
      <c r="M453" s="530"/>
      <c r="N453" s="530"/>
      <c r="O453" s="530">
        <v>43562</v>
      </c>
      <c r="P453" s="516">
        <v>1</v>
      </c>
      <c r="Q453" s="516">
        <v>1</v>
      </c>
      <c r="R453" s="599" t="s">
        <v>60</v>
      </c>
      <c r="S453" s="523" t="s">
        <v>1937</v>
      </c>
      <c r="T453" s="515" t="s">
        <v>60</v>
      </c>
      <c r="U453" s="515"/>
      <c r="V453" s="515"/>
      <c r="W453" s="533" t="s">
        <v>2417</v>
      </c>
      <c r="X453" s="120"/>
      <c r="Y453" s="120"/>
      <c r="Z453" s="120"/>
      <c r="AA453" s="120"/>
      <c r="AB453" s="120"/>
      <c r="AC453" s="120"/>
      <c r="AD453" s="120"/>
      <c r="AE453" s="120"/>
      <c r="AF453" s="360"/>
    </row>
    <row r="454" spans="1:32" ht="87">
      <c r="A454" s="1184"/>
      <c r="B454" s="4" t="s">
        <v>44</v>
      </c>
      <c r="C454" s="4" t="s">
        <v>221</v>
      </c>
      <c r="D454" s="8" t="s">
        <v>32</v>
      </c>
      <c r="E454" s="8"/>
      <c r="F454" s="8"/>
      <c r="G454" s="8"/>
      <c r="H454" s="5" t="s">
        <v>33</v>
      </c>
      <c r="I454" s="5" t="s">
        <v>47</v>
      </c>
      <c r="J454" s="16" t="s">
        <v>2017</v>
      </c>
      <c r="K454" s="16"/>
      <c r="L454" s="16"/>
      <c r="M454" s="182">
        <v>43435</v>
      </c>
      <c r="N454" s="182"/>
      <c r="O454" s="182">
        <v>43565</v>
      </c>
      <c r="P454" s="12">
        <v>84</v>
      </c>
      <c r="Q454" s="7" t="s">
        <v>2593</v>
      </c>
      <c r="R454" s="18">
        <v>2500</v>
      </c>
      <c r="S454" s="5" t="s">
        <v>130</v>
      </c>
      <c r="T454" s="12" t="s">
        <v>38</v>
      </c>
      <c r="U454" s="4"/>
      <c r="V454" s="4"/>
      <c r="W454" s="12" t="s">
        <v>1652</v>
      </c>
      <c r="X454" s="2751" t="s">
        <v>94</v>
      </c>
      <c r="Y454" s="5" t="s">
        <v>40</v>
      </c>
      <c r="Z454" s="5"/>
      <c r="AA454" s="5"/>
      <c r="AB454" s="199">
        <v>43482</v>
      </c>
      <c r="AC454" s="84" t="s">
        <v>2594</v>
      </c>
      <c r="AD454" s="4"/>
      <c r="AE454" s="40">
        <v>2512.09</v>
      </c>
      <c r="AF454" s="360"/>
    </row>
    <row r="455" spans="1:32" ht="29">
      <c r="A455" s="1184"/>
      <c r="B455" s="4" t="s">
        <v>44</v>
      </c>
      <c r="C455" s="4" t="s">
        <v>2595</v>
      </c>
      <c r="D455" s="8" t="s">
        <v>32</v>
      </c>
      <c r="E455" s="8"/>
      <c r="F455" s="8"/>
      <c r="G455" s="8"/>
      <c r="H455" s="5" t="s">
        <v>1770</v>
      </c>
      <c r="I455" s="12" t="s">
        <v>47</v>
      </c>
      <c r="J455" s="111" t="s">
        <v>1638</v>
      </c>
      <c r="K455" s="111"/>
      <c r="L455" s="16"/>
      <c r="M455" s="182">
        <v>43344</v>
      </c>
      <c r="N455" s="182"/>
      <c r="O455" s="182">
        <v>43570</v>
      </c>
      <c r="P455" s="12">
        <v>12</v>
      </c>
      <c r="Q455" s="7" t="s">
        <v>50</v>
      </c>
      <c r="R455" s="18">
        <v>3819.9</v>
      </c>
      <c r="S455" s="5" t="s">
        <v>130</v>
      </c>
      <c r="T455" s="12" t="s">
        <v>38</v>
      </c>
      <c r="U455" s="4"/>
      <c r="V455" s="4"/>
      <c r="W455" s="12" t="s">
        <v>1640</v>
      </c>
      <c r="X455" s="5" t="s">
        <v>1962</v>
      </c>
      <c r="Y455" s="5" t="s">
        <v>40</v>
      </c>
      <c r="Z455" s="5"/>
      <c r="AA455" s="5"/>
      <c r="AB455" s="199">
        <v>43481</v>
      </c>
      <c r="AC455" s="8" t="s">
        <v>2596</v>
      </c>
      <c r="AD455" s="4"/>
      <c r="AE455" s="40">
        <v>3819.9</v>
      </c>
      <c r="AF455" s="360"/>
    </row>
    <row r="456" spans="1:32" ht="43.5">
      <c r="A456" s="1184"/>
      <c r="B456" s="4" t="s">
        <v>44</v>
      </c>
      <c r="C456" s="4"/>
      <c r="D456" s="8" t="s">
        <v>57</v>
      </c>
      <c r="E456" s="8"/>
      <c r="F456" s="8"/>
      <c r="G456" s="8"/>
      <c r="H456" s="5" t="s">
        <v>2597</v>
      </c>
      <c r="I456" s="5" t="s">
        <v>47</v>
      </c>
      <c r="J456" s="16" t="s">
        <v>2598</v>
      </c>
      <c r="K456" s="16"/>
      <c r="L456" s="16"/>
      <c r="M456" s="199">
        <v>43538</v>
      </c>
      <c r="N456" s="199"/>
      <c r="O456" s="182">
        <v>43570</v>
      </c>
      <c r="P456" s="5">
        <v>3</v>
      </c>
      <c r="Q456" s="5" t="s">
        <v>2599</v>
      </c>
      <c r="R456" s="18">
        <v>32000</v>
      </c>
      <c r="S456" s="5" t="s">
        <v>51</v>
      </c>
      <c r="T456" s="5" t="s">
        <v>38</v>
      </c>
      <c r="U456" s="4"/>
      <c r="V456" s="4"/>
      <c r="W456" s="5" t="s">
        <v>893</v>
      </c>
      <c r="X456" s="5" t="s">
        <v>54</v>
      </c>
      <c r="Y456" s="5" t="s">
        <v>40</v>
      </c>
      <c r="Z456" s="5"/>
      <c r="AA456" s="5"/>
      <c r="AB456" s="199">
        <v>43538</v>
      </c>
      <c r="AC456" s="8" t="s">
        <v>2221</v>
      </c>
      <c r="AD456" s="4"/>
      <c r="AE456" s="41">
        <v>32000</v>
      </c>
      <c r="AF456" s="360"/>
    </row>
    <row r="457" spans="1:32" ht="144" customHeight="1">
      <c r="A457" s="1119"/>
      <c r="B457" s="1661" t="s">
        <v>56</v>
      </c>
      <c r="C457" s="510" t="s">
        <v>2600</v>
      </c>
      <c r="D457" s="540" t="s">
        <v>32</v>
      </c>
      <c r="E457" s="1688"/>
      <c r="F457" s="1688"/>
      <c r="G457" s="1688"/>
      <c r="H457" s="1688" t="s">
        <v>308</v>
      </c>
      <c r="I457" s="1697" t="s">
        <v>47</v>
      </c>
      <c r="J457" s="1600" t="s">
        <v>2601</v>
      </c>
      <c r="K457" s="625"/>
      <c r="L457" s="999">
        <v>43472</v>
      </c>
      <c r="M457" s="999"/>
      <c r="N457" s="999"/>
      <c r="O457" s="999">
        <v>43570</v>
      </c>
      <c r="P457" s="626">
        <v>4</v>
      </c>
      <c r="Q457" s="626">
        <v>4</v>
      </c>
      <c r="R457" s="627">
        <v>371000</v>
      </c>
      <c r="S457" s="1045" t="s">
        <v>1937</v>
      </c>
      <c r="T457" s="542" t="s">
        <v>38</v>
      </c>
      <c r="U457" s="542"/>
      <c r="V457" s="542"/>
      <c r="W457" s="543" t="s">
        <v>2430</v>
      </c>
      <c r="X457" s="1081"/>
      <c r="Y457" s="1081"/>
      <c r="Z457" s="1081"/>
      <c r="AA457" s="1081"/>
      <c r="AB457" s="1081"/>
      <c r="AC457" s="1081"/>
      <c r="AD457" s="1081"/>
      <c r="AE457" s="1081"/>
    </row>
    <row r="458" spans="1:32" ht="37.5">
      <c r="A458" s="1119"/>
      <c r="B458" s="1661" t="s">
        <v>56</v>
      </c>
      <c r="C458" s="510" t="s">
        <v>2602</v>
      </c>
      <c r="D458" s="540" t="s">
        <v>32</v>
      </c>
      <c r="E458" s="619"/>
      <c r="F458" s="619"/>
      <c r="G458" s="619"/>
      <c r="H458" s="1690" t="s">
        <v>308</v>
      </c>
      <c r="I458" s="1695" t="s">
        <v>47</v>
      </c>
      <c r="J458" s="1705" t="s">
        <v>2603</v>
      </c>
      <c r="K458" s="1722"/>
      <c r="L458" s="1735">
        <v>43497</v>
      </c>
      <c r="M458" s="1745"/>
      <c r="N458" s="1735"/>
      <c r="O458" s="1745">
        <v>43570</v>
      </c>
      <c r="P458" s="1774">
        <v>4</v>
      </c>
      <c r="Q458" s="1778">
        <v>4</v>
      </c>
      <c r="R458" s="1033">
        <v>245000</v>
      </c>
      <c r="S458" s="681" t="s">
        <v>84</v>
      </c>
      <c r="T458" s="1760" t="s">
        <v>38</v>
      </c>
      <c r="U458" s="1760"/>
      <c r="V458" s="2360"/>
      <c r="W458" s="539" t="s">
        <v>2430</v>
      </c>
      <c r="X458" s="1081"/>
      <c r="Y458" s="1081"/>
      <c r="AA458" s="330"/>
      <c r="AB458" s="330"/>
      <c r="AC458" s="1081"/>
      <c r="AD458" s="1081"/>
      <c r="AE458" s="1081"/>
    </row>
    <row r="459" spans="1:32" ht="37.5">
      <c r="A459" s="1119"/>
      <c r="B459" s="964" t="s">
        <v>56</v>
      </c>
      <c r="C459" s="971" t="s">
        <v>2604</v>
      </c>
      <c r="D459" s="979" t="s">
        <v>122</v>
      </c>
      <c r="E459" s="979"/>
      <c r="F459" s="979"/>
      <c r="G459" s="979"/>
      <c r="H459" s="982" t="s">
        <v>308</v>
      </c>
      <c r="I459" s="987" t="s">
        <v>47</v>
      </c>
      <c r="J459" s="1583" t="s">
        <v>2605</v>
      </c>
      <c r="K459" s="994"/>
      <c r="L459" s="1000">
        <v>43423</v>
      </c>
      <c r="M459" s="1002"/>
      <c r="N459" s="1004"/>
      <c r="O459" s="1002">
        <v>43570</v>
      </c>
      <c r="P459" s="1016">
        <v>2</v>
      </c>
      <c r="Q459" s="1016">
        <v>2</v>
      </c>
      <c r="R459" s="1039">
        <v>422000</v>
      </c>
      <c r="S459" s="1052" t="s">
        <v>1937</v>
      </c>
      <c r="T459" s="1068" t="s">
        <v>62</v>
      </c>
      <c r="U459" s="1071"/>
      <c r="V459" s="1071"/>
      <c r="W459" s="1856" t="s">
        <v>2408</v>
      </c>
      <c r="X459" s="1085"/>
      <c r="Y459" s="332"/>
      <c r="Z459" s="1089"/>
      <c r="AA459" s="1089"/>
      <c r="AB459" s="330"/>
      <c r="AC459" s="1124"/>
      <c r="AD459" s="1124"/>
      <c r="AE459" s="1124"/>
    </row>
    <row r="460" spans="1:32" ht="409.6" customHeight="1">
      <c r="A460" s="1119"/>
      <c r="B460" s="1660" t="s">
        <v>56</v>
      </c>
      <c r="C460" s="971" t="s">
        <v>2606</v>
      </c>
      <c r="D460" s="1681" t="s">
        <v>122</v>
      </c>
      <c r="E460" s="1681"/>
      <c r="F460" s="1681"/>
      <c r="G460" s="1681"/>
      <c r="H460" s="982" t="s">
        <v>308</v>
      </c>
      <c r="I460" s="1694" t="s">
        <v>47</v>
      </c>
      <c r="J460" s="1703" t="s">
        <v>2607</v>
      </c>
      <c r="K460" s="1721"/>
      <c r="L460" s="1733">
        <v>43472</v>
      </c>
      <c r="M460" s="1742"/>
      <c r="N460" s="1742"/>
      <c r="O460" s="1758">
        <v>43570</v>
      </c>
      <c r="P460" s="1774">
        <v>1</v>
      </c>
      <c r="Q460" s="1778">
        <v>1</v>
      </c>
      <c r="R460" s="1816" t="s">
        <v>60</v>
      </c>
      <c r="S460" s="1072" t="s">
        <v>84</v>
      </c>
      <c r="T460" s="1845" t="s">
        <v>62</v>
      </c>
      <c r="U460" s="1850"/>
      <c r="V460" s="1850"/>
      <c r="W460" s="1856" t="s">
        <v>2408</v>
      </c>
      <c r="X460" s="1085"/>
      <c r="Y460" s="332"/>
      <c r="Z460" s="1089"/>
      <c r="AA460" s="1089"/>
      <c r="AB460" s="330"/>
      <c r="AC460" s="1081"/>
      <c r="AD460" s="1081"/>
      <c r="AE460" s="1081"/>
      <c r="AF460" s="360"/>
    </row>
    <row r="461" spans="1:32" s="360" customFormat="1" ht="130.5">
      <c r="A461" s="1184"/>
      <c r="B461" s="4" t="s">
        <v>44</v>
      </c>
      <c r="C461" s="4" t="s">
        <v>2608</v>
      </c>
      <c r="D461" s="10" t="s">
        <v>32</v>
      </c>
      <c r="E461" s="10"/>
      <c r="F461" s="10"/>
      <c r="G461" s="10"/>
      <c r="H461" s="5" t="s">
        <v>33</v>
      </c>
      <c r="I461" s="12" t="s">
        <v>47</v>
      </c>
      <c r="J461" s="16" t="s">
        <v>570</v>
      </c>
      <c r="K461" s="16"/>
      <c r="L461" s="16"/>
      <c r="M461" s="182">
        <v>43435</v>
      </c>
      <c r="N461" s="182"/>
      <c r="O461" s="182">
        <v>43579</v>
      </c>
      <c r="P461" s="12">
        <v>12</v>
      </c>
      <c r="Q461" s="13" t="s">
        <v>50</v>
      </c>
      <c r="R461" s="18">
        <v>778</v>
      </c>
      <c r="S461" s="5" t="s">
        <v>130</v>
      </c>
      <c r="T461" s="12" t="s">
        <v>38</v>
      </c>
      <c r="U461" s="4"/>
      <c r="V461" s="4"/>
      <c r="W461" s="12" t="s">
        <v>383</v>
      </c>
      <c r="X461" s="2751" t="s">
        <v>94</v>
      </c>
      <c r="Y461" s="5" t="s">
        <v>40</v>
      </c>
      <c r="Z461" s="5"/>
      <c r="AA461" s="12"/>
      <c r="AB461" s="199">
        <v>43572</v>
      </c>
      <c r="AC461" s="84" t="s">
        <v>2609</v>
      </c>
      <c r="AD461" s="4"/>
      <c r="AE461" s="40"/>
    </row>
    <row r="462" spans="1:32" ht="29">
      <c r="A462" s="1184"/>
      <c r="B462" s="4" t="s">
        <v>44</v>
      </c>
      <c r="C462" s="4" t="s">
        <v>2610</v>
      </c>
      <c r="D462" s="9" t="s">
        <v>32</v>
      </c>
      <c r="E462" s="9"/>
      <c r="F462" s="9"/>
      <c r="G462" s="9"/>
      <c r="H462" s="5" t="s">
        <v>33</v>
      </c>
      <c r="I462" s="12" t="s">
        <v>47</v>
      </c>
      <c r="J462" s="16" t="s">
        <v>2611</v>
      </c>
      <c r="K462" s="16"/>
      <c r="L462" s="16"/>
      <c r="M462" s="182">
        <v>43207</v>
      </c>
      <c r="N462" s="182"/>
      <c r="O462" s="182">
        <v>43586</v>
      </c>
      <c r="P462" s="12">
        <v>48</v>
      </c>
      <c r="Q462" s="13" t="s">
        <v>83</v>
      </c>
      <c r="R462" s="18">
        <v>36000</v>
      </c>
      <c r="S462" s="5" t="s">
        <v>529</v>
      </c>
      <c r="T462" s="12" t="s">
        <v>38</v>
      </c>
      <c r="U462" s="4"/>
      <c r="V462" s="4"/>
      <c r="W462" s="5" t="s">
        <v>2185</v>
      </c>
      <c r="X462" s="5" t="s">
        <v>413</v>
      </c>
      <c r="Y462" s="5" t="s">
        <v>40</v>
      </c>
      <c r="Z462" s="5"/>
      <c r="AA462" s="12"/>
      <c r="AB462" s="199">
        <v>43696</v>
      </c>
      <c r="AC462" s="33" t="s">
        <v>2612</v>
      </c>
      <c r="AD462" s="120"/>
      <c r="AE462" s="41">
        <v>9000</v>
      </c>
      <c r="AF462" s="360"/>
    </row>
    <row r="463" spans="1:32" ht="29">
      <c r="A463" s="1184"/>
      <c r="B463" s="4" t="s">
        <v>44</v>
      </c>
      <c r="C463" s="4"/>
      <c r="D463" s="8" t="s">
        <v>32</v>
      </c>
      <c r="E463" s="8"/>
      <c r="F463" s="8"/>
      <c r="G463" s="8"/>
      <c r="H463" s="5" t="s">
        <v>127</v>
      </c>
      <c r="I463" s="12" t="s">
        <v>47</v>
      </c>
      <c r="J463" s="103" t="s">
        <v>2613</v>
      </c>
      <c r="K463" s="103"/>
      <c r="L463" s="103"/>
      <c r="M463" s="182" t="s">
        <v>45</v>
      </c>
      <c r="N463" s="182"/>
      <c r="O463" s="182">
        <v>43586</v>
      </c>
      <c r="P463" s="12">
        <v>2</v>
      </c>
      <c r="Q463" s="7" t="s">
        <v>2614</v>
      </c>
      <c r="R463" s="18">
        <v>8000</v>
      </c>
      <c r="S463" s="5" t="s">
        <v>37</v>
      </c>
      <c r="T463" s="12" t="s">
        <v>38</v>
      </c>
      <c r="U463" s="4"/>
      <c r="V463" s="4"/>
      <c r="W463" s="12" t="s">
        <v>808</v>
      </c>
      <c r="X463" s="5" t="s">
        <v>86</v>
      </c>
      <c r="Y463" s="5" t="s">
        <v>40</v>
      </c>
      <c r="Z463" s="5"/>
      <c r="AA463" s="12"/>
      <c r="AB463" s="199">
        <v>43581</v>
      </c>
      <c r="AC463" s="8" t="s">
        <v>2615</v>
      </c>
      <c r="AD463" s="4"/>
      <c r="AE463" s="40"/>
    </row>
    <row r="464" spans="1:32" ht="25">
      <c r="A464" s="1119"/>
      <c r="B464" s="577" t="s">
        <v>56</v>
      </c>
      <c r="C464" s="510" t="s">
        <v>2340</v>
      </c>
      <c r="D464" s="511" t="s">
        <v>32</v>
      </c>
      <c r="E464" s="511"/>
      <c r="F464" s="511"/>
      <c r="G464" s="511"/>
      <c r="H464" s="511" t="s">
        <v>308</v>
      </c>
      <c r="I464" s="519" t="s">
        <v>47</v>
      </c>
      <c r="J464" s="1578" t="s">
        <v>2616</v>
      </c>
      <c r="K464" s="512"/>
      <c r="L464" s="597">
        <v>43252</v>
      </c>
      <c r="M464" s="597"/>
      <c r="N464" s="597"/>
      <c r="O464" s="597">
        <v>43586</v>
      </c>
      <c r="P464" s="516" t="s">
        <v>60</v>
      </c>
      <c r="Q464" s="516" t="s">
        <v>60</v>
      </c>
      <c r="R464" s="599">
        <f>4200000/3*4</f>
        <v>5600000</v>
      </c>
      <c r="S464" s="523" t="s">
        <v>60</v>
      </c>
      <c r="T464" s="515" t="s">
        <v>70</v>
      </c>
      <c r="U464" s="515"/>
      <c r="V464" s="515"/>
      <c r="W464" s="519" t="s">
        <v>714</v>
      </c>
      <c r="X464" s="120"/>
      <c r="Y464" s="120"/>
      <c r="Z464" s="120"/>
      <c r="AA464" s="120"/>
      <c r="AB464" s="120"/>
      <c r="AC464" s="120"/>
      <c r="AD464" s="120"/>
      <c r="AE464" s="120"/>
      <c r="AF464" s="360"/>
    </row>
    <row r="465" spans="1:32" ht="57.65" customHeight="1">
      <c r="A465" s="1119"/>
      <c r="B465" s="577" t="s">
        <v>56</v>
      </c>
      <c r="C465" s="510" t="s">
        <v>2340</v>
      </c>
      <c r="D465" s="511" t="s">
        <v>32</v>
      </c>
      <c r="E465" s="511"/>
      <c r="F465" s="511"/>
      <c r="G465" s="511"/>
      <c r="H465" s="511" t="s">
        <v>308</v>
      </c>
      <c r="I465" s="519" t="s">
        <v>47</v>
      </c>
      <c r="J465" s="1578" t="s">
        <v>2617</v>
      </c>
      <c r="K465" s="512"/>
      <c r="L465" s="597">
        <v>43252</v>
      </c>
      <c r="M465" s="597"/>
      <c r="N465" s="597"/>
      <c r="O465" s="597">
        <v>43586</v>
      </c>
      <c r="P465" s="516" t="s">
        <v>60</v>
      </c>
      <c r="Q465" s="1012" t="s">
        <v>60</v>
      </c>
      <c r="R465" s="599">
        <f>3750000/3*4</f>
        <v>5000000</v>
      </c>
      <c r="S465" s="523" t="s">
        <v>60</v>
      </c>
      <c r="T465" s="515" t="s">
        <v>70</v>
      </c>
      <c r="U465" s="515"/>
      <c r="V465" s="515"/>
      <c r="W465" s="519" t="s">
        <v>714</v>
      </c>
      <c r="X465" s="120"/>
      <c r="Y465" s="120"/>
      <c r="Z465" s="120"/>
      <c r="AA465" s="120"/>
      <c r="AB465" s="120"/>
      <c r="AC465" s="120"/>
      <c r="AD465" s="120"/>
      <c r="AE465" s="120"/>
      <c r="AF465" s="360"/>
    </row>
    <row r="466" spans="1:32" s="462" customFormat="1" ht="409.6" customHeight="1">
      <c r="A466" s="1119"/>
      <c r="B466" s="577" t="s">
        <v>56</v>
      </c>
      <c r="C466" s="510" t="s">
        <v>2340</v>
      </c>
      <c r="D466" s="511" t="s">
        <v>32</v>
      </c>
      <c r="E466" s="511"/>
      <c r="F466" s="511"/>
      <c r="G466" s="511"/>
      <c r="H466" s="511" t="s">
        <v>308</v>
      </c>
      <c r="I466" s="519" t="s">
        <v>47</v>
      </c>
      <c r="J466" s="1578" t="s">
        <v>2618</v>
      </c>
      <c r="K466" s="512"/>
      <c r="L466" s="597">
        <v>43252</v>
      </c>
      <c r="M466" s="597"/>
      <c r="N466" s="597"/>
      <c r="O466" s="597">
        <v>43586</v>
      </c>
      <c r="P466" s="516" t="s">
        <v>60</v>
      </c>
      <c r="Q466" s="516" t="s">
        <v>60</v>
      </c>
      <c r="R466" s="599" t="s">
        <v>2619</v>
      </c>
      <c r="S466" s="523" t="s">
        <v>60</v>
      </c>
      <c r="T466" s="515" t="s">
        <v>38</v>
      </c>
      <c r="U466" s="515"/>
      <c r="V466" s="1044"/>
      <c r="W466" s="519" t="s">
        <v>714</v>
      </c>
      <c r="X466" s="120"/>
      <c r="Y466" s="120"/>
      <c r="Z466" s="120"/>
      <c r="AA466" s="120"/>
      <c r="AB466" s="120"/>
      <c r="AC466" s="120"/>
      <c r="AD466" s="120"/>
      <c r="AE466" s="120"/>
      <c r="AF466" s="360"/>
    </row>
    <row r="467" spans="1:32" ht="37.5">
      <c r="A467" s="1119"/>
      <c r="B467" s="577" t="s">
        <v>56</v>
      </c>
      <c r="C467" s="510" t="s">
        <v>2620</v>
      </c>
      <c r="D467" s="511" t="s">
        <v>32</v>
      </c>
      <c r="E467" s="511"/>
      <c r="F467" s="511"/>
      <c r="G467" s="511"/>
      <c r="H467" s="511" t="s">
        <v>308</v>
      </c>
      <c r="I467" s="519" t="s">
        <v>47</v>
      </c>
      <c r="J467" s="1578" t="s">
        <v>2621</v>
      </c>
      <c r="K467" s="512"/>
      <c r="L467" s="530">
        <v>43497</v>
      </c>
      <c r="M467" s="530"/>
      <c r="N467" s="530"/>
      <c r="O467" s="530">
        <v>43586</v>
      </c>
      <c r="P467" s="516">
        <v>3</v>
      </c>
      <c r="Q467" s="516">
        <v>3</v>
      </c>
      <c r="R467" s="599">
        <v>177000</v>
      </c>
      <c r="S467" s="523" t="s">
        <v>2622</v>
      </c>
      <c r="T467" s="515" t="s">
        <v>38</v>
      </c>
      <c r="U467" s="515"/>
      <c r="V467" s="515"/>
      <c r="W467" s="519" t="s">
        <v>2433</v>
      </c>
      <c r="X467" s="120"/>
      <c r="Y467" s="120"/>
      <c r="Z467" s="120"/>
      <c r="AA467" s="120"/>
      <c r="AB467" s="120"/>
      <c r="AC467" s="120"/>
      <c r="AD467" s="120"/>
      <c r="AE467" s="120"/>
      <c r="AF467" s="360"/>
    </row>
    <row r="468" spans="1:32" ht="86.9" customHeight="1">
      <c r="A468" s="1184"/>
      <c r="B468" s="4" t="s">
        <v>44</v>
      </c>
      <c r="C468" s="4"/>
      <c r="D468" s="8" t="s">
        <v>32</v>
      </c>
      <c r="E468" s="8"/>
      <c r="F468" s="8"/>
      <c r="G468" s="8"/>
      <c r="H468" s="5" t="s">
        <v>33</v>
      </c>
      <c r="I468" s="5" t="s">
        <v>47</v>
      </c>
      <c r="J468" s="16" t="s">
        <v>2623</v>
      </c>
      <c r="K468" s="8"/>
      <c r="L468" s="8"/>
      <c r="M468" s="199">
        <v>43466</v>
      </c>
      <c r="N468" s="199"/>
      <c r="O468" s="199">
        <v>43596</v>
      </c>
      <c r="P468" s="5">
        <v>12</v>
      </c>
      <c r="Q468" s="7" t="s">
        <v>50</v>
      </c>
      <c r="R468" s="18">
        <v>20000</v>
      </c>
      <c r="S468" s="5" t="s">
        <v>37</v>
      </c>
      <c r="T468" s="11" t="s">
        <v>612</v>
      </c>
      <c r="U468" s="4"/>
      <c r="V468" s="4"/>
      <c r="W468" s="5" t="s">
        <v>142</v>
      </c>
      <c r="X468" s="5" t="s">
        <v>543</v>
      </c>
      <c r="Y468" s="5" t="s">
        <v>40</v>
      </c>
      <c r="Z468" s="5"/>
      <c r="AA468" s="5"/>
      <c r="AB468" s="199">
        <v>43551</v>
      </c>
      <c r="AC468" s="8" t="s">
        <v>2624</v>
      </c>
      <c r="AD468" s="4"/>
      <c r="AE468" s="41">
        <v>20000</v>
      </c>
      <c r="AF468" s="360"/>
    </row>
    <row r="469" spans="1:32" ht="86.9" customHeight="1">
      <c r="A469" s="1184"/>
      <c r="B469" s="4" t="s">
        <v>44</v>
      </c>
      <c r="C469" s="4" t="s">
        <v>256</v>
      </c>
      <c r="D469" s="5" t="s">
        <v>32</v>
      </c>
      <c r="E469" s="5"/>
      <c r="F469" s="5"/>
      <c r="G469" s="5"/>
      <c r="H469" s="5" t="s">
        <v>33</v>
      </c>
      <c r="I469" s="5" t="s">
        <v>47</v>
      </c>
      <c r="J469" s="16" t="s">
        <v>2625</v>
      </c>
      <c r="K469" s="16"/>
      <c r="L469" s="16"/>
      <c r="M469" s="182">
        <v>43374</v>
      </c>
      <c r="N469" s="182"/>
      <c r="O469" s="182">
        <v>43606</v>
      </c>
      <c r="P469" s="12">
        <v>60</v>
      </c>
      <c r="Q469" s="13" t="s">
        <v>1772</v>
      </c>
      <c r="R469" s="18">
        <v>320000</v>
      </c>
      <c r="S469" s="5" t="s">
        <v>84</v>
      </c>
      <c r="T469" s="14" t="s">
        <v>62</v>
      </c>
      <c r="U469" s="4"/>
      <c r="V469" s="4"/>
      <c r="W469" s="5" t="s">
        <v>2626</v>
      </c>
      <c r="X469" s="5" t="s">
        <v>2179</v>
      </c>
      <c r="Y469" s="5" t="s">
        <v>727</v>
      </c>
      <c r="Z469" s="5"/>
      <c r="AA469" s="5"/>
      <c r="AB469" s="199">
        <v>43468</v>
      </c>
      <c r="AC469" s="8" t="s">
        <v>2627</v>
      </c>
      <c r="AD469" s="4"/>
      <c r="AE469" s="40">
        <v>82080</v>
      </c>
    </row>
    <row r="470" spans="1:32" s="360" customFormat="1" ht="29">
      <c r="A470" s="1119"/>
      <c r="B470" s="4" t="s">
        <v>44</v>
      </c>
      <c r="C470" s="4"/>
      <c r="D470" s="8" t="s">
        <v>32</v>
      </c>
      <c r="E470" s="8"/>
      <c r="F470" s="8"/>
      <c r="G470" s="8"/>
      <c r="H470" s="5" t="s">
        <v>33</v>
      </c>
      <c r="I470" s="12" t="s">
        <v>34</v>
      </c>
      <c r="J470" s="16" t="s">
        <v>2628</v>
      </c>
      <c r="K470" s="16"/>
      <c r="L470" s="16"/>
      <c r="M470" s="124">
        <v>43070</v>
      </c>
      <c r="N470" s="124"/>
      <c r="O470" s="182">
        <v>43608</v>
      </c>
      <c r="P470" s="12">
        <v>84</v>
      </c>
      <c r="Q470" s="7" t="s">
        <v>1971</v>
      </c>
      <c r="R470" s="18">
        <v>466000</v>
      </c>
      <c r="S470" s="5" t="s">
        <v>130</v>
      </c>
      <c r="T470" s="12" t="s">
        <v>38</v>
      </c>
      <c r="U470" s="4"/>
      <c r="V470" s="4"/>
      <c r="W470" s="12" t="s">
        <v>2185</v>
      </c>
      <c r="X470" s="5" t="s">
        <v>86</v>
      </c>
      <c r="Y470" s="5" t="s">
        <v>40</v>
      </c>
      <c r="Z470" s="5"/>
      <c r="AA470" s="5"/>
      <c r="AB470" s="199">
        <v>43657</v>
      </c>
      <c r="AC470" s="36" t="s">
        <v>89</v>
      </c>
      <c r="AD470" s="4"/>
      <c r="AE470" s="40"/>
      <c r="AF470" s="355"/>
    </row>
    <row r="471" spans="1:32" ht="43.4" customHeight="1">
      <c r="A471" s="498"/>
      <c r="B471" s="4" t="s">
        <v>44</v>
      </c>
      <c r="C471" s="4" t="s">
        <v>139</v>
      </c>
      <c r="D471" s="8" t="s">
        <v>32</v>
      </c>
      <c r="E471" s="8"/>
      <c r="F471" s="8"/>
      <c r="G471" s="8"/>
      <c r="H471" s="5" t="s">
        <v>2629</v>
      </c>
      <c r="I471" s="5" t="s">
        <v>47</v>
      </c>
      <c r="J471" s="16" t="s">
        <v>2630</v>
      </c>
      <c r="K471" s="16"/>
      <c r="L471" s="16"/>
      <c r="M471" s="199">
        <v>42979</v>
      </c>
      <c r="N471" s="199"/>
      <c r="O471" s="199">
        <v>43617</v>
      </c>
      <c r="P471" s="5">
        <v>33</v>
      </c>
      <c r="Q471" s="5" t="s">
        <v>2631</v>
      </c>
      <c r="R471" s="18">
        <v>1000000</v>
      </c>
      <c r="S471" s="5" t="s">
        <v>84</v>
      </c>
      <c r="T471" s="12" t="s">
        <v>70</v>
      </c>
      <c r="U471" s="4"/>
      <c r="V471" s="4"/>
      <c r="W471" s="5" t="s">
        <v>1849</v>
      </c>
      <c r="X471" s="5" t="s">
        <v>86</v>
      </c>
      <c r="Y471" s="5" t="s">
        <v>40</v>
      </c>
      <c r="Z471" s="5"/>
      <c r="AA471" s="5"/>
      <c r="AB471" s="199">
        <v>43595</v>
      </c>
      <c r="AC471" s="8" t="s">
        <v>2632</v>
      </c>
      <c r="AD471" s="4"/>
      <c r="AE471" s="41">
        <v>350000</v>
      </c>
      <c r="AF471" s="360"/>
    </row>
    <row r="472" spans="1:32" ht="409.6" customHeight="1">
      <c r="A472" s="1184"/>
      <c r="B472" s="4" t="s">
        <v>44</v>
      </c>
      <c r="C472" s="4" t="s">
        <v>2633</v>
      </c>
      <c r="D472" s="8" t="s">
        <v>32</v>
      </c>
      <c r="E472" s="8"/>
      <c r="F472" s="8"/>
      <c r="G472" s="8"/>
      <c r="H472" s="5" t="s">
        <v>33</v>
      </c>
      <c r="I472" s="5" t="s">
        <v>47</v>
      </c>
      <c r="J472" s="16" t="s">
        <v>2634</v>
      </c>
      <c r="K472" s="8"/>
      <c r="L472" s="8"/>
      <c r="M472" s="199">
        <v>43132</v>
      </c>
      <c r="N472" s="199"/>
      <c r="O472" s="199">
        <v>43617</v>
      </c>
      <c r="P472" s="5">
        <v>60</v>
      </c>
      <c r="Q472" s="7" t="s">
        <v>1871</v>
      </c>
      <c r="R472" s="18">
        <v>1740000</v>
      </c>
      <c r="S472" s="199" t="s">
        <v>2110</v>
      </c>
      <c r="T472" s="12" t="s">
        <v>70</v>
      </c>
      <c r="U472" s="4"/>
      <c r="V472" s="4"/>
      <c r="W472" s="5" t="s">
        <v>2635</v>
      </c>
      <c r="X472" s="5" t="s">
        <v>1892</v>
      </c>
      <c r="Y472" s="5" t="s">
        <v>1161</v>
      </c>
      <c r="Z472" s="5"/>
      <c r="AA472" s="5"/>
      <c r="AB472" s="199">
        <v>43642</v>
      </c>
      <c r="AC472" s="113" t="s">
        <v>2636</v>
      </c>
      <c r="AD472" s="4"/>
      <c r="AE472" s="41"/>
      <c r="AF472" s="360"/>
    </row>
    <row r="473" spans="1:32" s="56" customFormat="1" ht="101.5">
      <c r="A473" s="2756"/>
      <c r="B473" s="147" t="s">
        <v>44</v>
      </c>
      <c r="C473" s="4" t="s">
        <v>2637</v>
      </c>
      <c r="D473" s="118" t="s">
        <v>32</v>
      </c>
      <c r="E473" s="118"/>
      <c r="F473" s="118"/>
      <c r="G473" s="118"/>
      <c r="H473" s="5" t="s">
        <v>386</v>
      </c>
      <c r="I473" s="5" t="s">
        <v>47</v>
      </c>
      <c r="J473" s="16" t="s">
        <v>2638</v>
      </c>
      <c r="K473" s="8"/>
      <c r="L473" s="8"/>
      <c r="M473" s="199">
        <v>43191</v>
      </c>
      <c r="N473" s="199"/>
      <c r="O473" s="199">
        <v>43617</v>
      </c>
      <c r="P473" s="5">
        <v>48</v>
      </c>
      <c r="Q473" s="25" t="s">
        <v>258</v>
      </c>
      <c r="R473" s="18">
        <v>2400000</v>
      </c>
      <c r="S473" s="125" t="s">
        <v>2110</v>
      </c>
      <c r="T473" s="11" t="s">
        <v>38</v>
      </c>
      <c r="U473" s="4"/>
      <c r="V473" s="4"/>
      <c r="W473" s="5" t="s">
        <v>388</v>
      </c>
      <c r="X473" s="5" t="s">
        <v>543</v>
      </c>
      <c r="Y473" s="5" t="s">
        <v>40</v>
      </c>
      <c r="Z473" s="5"/>
      <c r="AA473" s="5"/>
      <c r="AB473" s="199">
        <v>43635</v>
      </c>
      <c r="AC473" s="36" t="s">
        <v>2639</v>
      </c>
      <c r="AD473" s="978"/>
      <c r="AE473" s="164">
        <v>600000</v>
      </c>
      <c r="AF473" s="360"/>
    </row>
    <row r="474" spans="1:32" s="1" customFormat="1" ht="29">
      <c r="A474" s="1184"/>
      <c r="B474" s="147" t="s">
        <v>44</v>
      </c>
      <c r="C474" s="4" t="s">
        <v>2640</v>
      </c>
      <c r="D474" s="118" t="s">
        <v>32</v>
      </c>
      <c r="E474" s="118"/>
      <c r="F474" s="118"/>
      <c r="G474" s="118"/>
      <c r="H474" s="5" t="s">
        <v>1670</v>
      </c>
      <c r="I474" s="5" t="s">
        <v>47</v>
      </c>
      <c r="J474" s="16" t="s">
        <v>2641</v>
      </c>
      <c r="K474" s="16"/>
      <c r="L474" s="16"/>
      <c r="M474" s="182">
        <v>43570</v>
      </c>
      <c r="N474" s="182"/>
      <c r="O474" s="182">
        <v>43617</v>
      </c>
      <c r="P474" s="12">
        <v>12</v>
      </c>
      <c r="Q474" s="7" t="s">
        <v>50</v>
      </c>
      <c r="R474" s="18">
        <v>4500</v>
      </c>
      <c r="S474" s="5" t="s">
        <v>37</v>
      </c>
      <c r="T474" s="12" t="s">
        <v>38</v>
      </c>
      <c r="U474" s="4"/>
      <c r="V474" s="4"/>
      <c r="W474" s="5" t="s">
        <v>2642</v>
      </c>
      <c r="X474" s="5" t="s">
        <v>254</v>
      </c>
      <c r="Y474" s="5" t="s">
        <v>40</v>
      </c>
      <c r="Z474" s="5"/>
      <c r="AA474" s="5"/>
      <c r="AB474" s="199">
        <v>43594</v>
      </c>
      <c r="AC474" s="8" t="s">
        <v>2643</v>
      </c>
      <c r="AD474" s="147"/>
      <c r="AE474" s="224"/>
      <c r="AF474" s="360"/>
    </row>
    <row r="475" spans="1:32" s="3" customFormat="1" ht="57.65" customHeight="1">
      <c r="A475" s="1184"/>
      <c r="B475" s="147" t="s">
        <v>44</v>
      </c>
      <c r="C475" s="4" t="s">
        <v>2644</v>
      </c>
      <c r="D475" s="31" t="s">
        <v>57</v>
      </c>
      <c r="E475" s="31"/>
      <c r="F475" s="31"/>
      <c r="G475" s="31"/>
      <c r="H475" s="5" t="s">
        <v>2645</v>
      </c>
      <c r="I475" s="5" t="s">
        <v>47</v>
      </c>
      <c r="J475" s="16" t="s">
        <v>2646</v>
      </c>
      <c r="K475" s="16"/>
      <c r="L475" s="16"/>
      <c r="M475" s="182">
        <v>43617</v>
      </c>
      <c r="N475" s="182"/>
      <c r="O475" s="182">
        <v>43617</v>
      </c>
      <c r="P475" s="12">
        <v>13</v>
      </c>
      <c r="Q475" s="25" t="s">
        <v>45</v>
      </c>
      <c r="R475" s="41">
        <v>75000</v>
      </c>
      <c r="S475" s="31" t="s">
        <v>176</v>
      </c>
      <c r="T475" s="5" t="s">
        <v>38</v>
      </c>
      <c r="U475" s="4"/>
      <c r="V475" s="4"/>
      <c r="W475" s="5" t="s">
        <v>2647</v>
      </c>
      <c r="X475" s="5" t="s">
        <v>2179</v>
      </c>
      <c r="Y475" s="5" t="s">
        <v>727</v>
      </c>
      <c r="Z475" s="5"/>
      <c r="AA475" s="5"/>
      <c r="AB475" s="199">
        <v>43803</v>
      </c>
      <c r="AC475" s="8" t="s">
        <v>2648</v>
      </c>
      <c r="AD475" s="147"/>
      <c r="AE475" s="224"/>
      <c r="AF475"/>
    </row>
    <row r="476" spans="1:32" ht="25">
      <c r="A476" s="1119"/>
      <c r="B476" s="958" t="s">
        <v>56</v>
      </c>
      <c r="C476" s="510" t="s">
        <v>2649</v>
      </c>
      <c r="D476" s="611" t="s">
        <v>32</v>
      </c>
      <c r="E476" s="611"/>
      <c r="F476" s="611"/>
      <c r="G476" s="611"/>
      <c r="H476" s="511" t="s">
        <v>2650</v>
      </c>
      <c r="I476" s="519" t="s">
        <v>47</v>
      </c>
      <c r="J476" s="1578" t="s">
        <v>2651</v>
      </c>
      <c r="K476" s="512"/>
      <c r="L476" s="530">
        <v>43009</v>
      </c>
      <c r="M476" s="530"/>
      <c r="N476" s="530"/>
      <c r="O476" s="530">
        <v>43617</v>
      </c>
      <c r="P476" s="516">
        <v>48</v>
      </c>
      <c r="Q476" s="516" t="s">
        <v>215</v>
      </c>
      <c r="R476" s="599">
        <v>30000000</v>
      </c>
      <c r="S476" s="523" t="s">
        <v>91</v>
      </c>
      <c r="T476" s="515" t="s">
        <v>70</v>
      </c>
      <c r="U476" s="515"/>
      <c r="V476" s="515"/>
      <c r="W476" s="519" t="s">
        <v>379</v>
      </c>
      <c r="X476" s="120"/>
      <c r="Y476" s="120"/>
      <c r="Z476" s="120"/>
      <c r="AA476" s="120"/>
      <c r="AB476" s="120"/>
      <c r="AC476" s="120"/>
      <c r="AD476" s="336"/>
      <c r="AE476" s="186"/>
    </row>
    <row r="477" spans="1:32" s="1" customFormat="1" ht="62.5">
      <c r="A477" s="1119"/>
      <c r="B477" s="958" t="s">
        <v>56</v>
      </c>
      <c r="C477" s="510" t="s">
        <v>60</v>
      </c>
      <c r="D477" s="611" t="s">
        <v>57</v>
      </c>
      <c r="E477" s="611"/>
      <c r="F477" s="611"/>
      <c r="G477" s="611"/>
      <c r="H477" s="511" t="s">
        <v>58</v>
      </c>
      <c r="I477" s="519" t="s">
        <v>47</v>
      </c>
      <c r="J477" s="1578" t="s">
        <v>2652</v>
      </c>
      <c r="K477" s="512"/>
      <c r="L477" s="512"/>
      <c r="M477" s="511">
        <v>3</v>
      </c>
      <c r="N477" s="514" t="str">
        <f>IF(O477="tbc","",(IFERROR(EDATE(#REF!,-3),"Invalid procurement method or date entered")))</f>
        <v>Invalid procurement method or date entered</v>
      </c>
      <c r="O477" s="515">
        <v>43622</v>
      </c>
      <c r="P477" s="516">
        <v>2</v>
      </c>
      <c r="Q477" s="516">
        <v>2</v>
      </c>
      <c r="R477" s="528">
        <f>600000+800000</f>
        <v>1400000</v>
      </c>
      <c r="S477" s="515" t="s">
        <v>61</v>
      </c>
      <c r="T477" s="515" t="s">
        <v>310</v>
      </c>
      <c r="U477" s="515" t="s">
        <v>60</v>
      </c>
      <c r="V477" s="515"/>
      <c r="W477" s="519" t="s">
        <v>2653</v>
      </c>
      <c r="X477" s="120"/>
      <c r="Y477" s="120"/>
      <c r="Z477" s="120"/>
      <c r="AA477" s="120"/>
      <c r="AB477" s="120"/>
      <c r="AC477" s="120"/>
      <c r="AD477" s="336"/>
      <c r="AE477" s="186"/>
      <c r="AF477"/>
    </row>
    <row r="478" spans="1:32" s="35" customFormat="1" ht="58">
      <c r="A478" s="1184"/>
      <c r="B478" s="147" t="s">
        <v>44</v>
      </c>
      <c r="C478" s="969" t="s">
        <v>2654</v>
      </c>
      <c r="D478" s="118" t="s">
        <v>32</v>
      </c>
      <c r="E478" s="118"/>
      <c r="F478" s="118"/>
      <c r="G478" s="118"/>
      <c r="H478" s="5" t="s">
        <v>33</v>
      </c>
      <c r="I478" s="12" t="s">
        <v>47</v>
      </c>
      <c r="J478" s="16" t="s">
        <v>2079</v>
      </c>
      <c r="K478" s="16"/>
      <c r="L478" s="16"/>
      <c r="M478" s="182">
        <v>43344</v>
      </c>
      <c r="N478" s="182"/>
      <c r="O478" s="182">
        <v>43624</v>
      </c>
      <c r="P478" s="13" t="s">
        <v>50</v>
      </c>
      <c r="Q478" s="13" t="s">
        <v>50</v>
      </c>
      <c r="R478" s="18">
        <v>23085</v>
      </c>
      <c r="S478" s="5" t="s">
        <v>1660</v>
      </c>
      <c r="T478" s="12" t="s">
        <v>38</v>
      </c>
      <c r="U478" s="4"/>
      <c r="V478" s="4"/>
      <c r="W478" s="5" t="s">
        <v>2080</v>
      </c>
      <c r="X478" s="5" t="s">
        <v>543</v>
      </c>
      <c r="Y478" s="5" t="s">
        <v>40</v>
      </c>
      <c r="Z478" s="5"/>
      <c r="AA478" s="12"/>
      <c r="AB478" s="199">
        <v>43377</v>
      </c>
      <c r="AC478" s="36" t="s">
        <v>251</v>
      </c>
      <c r="AD478" s="147"/>
      <c r="AE478" s="228">
        <v>19237.5</v>
      </c>
      <c r="AF478"/>
    </row>
    <row r="479" spans="1:32" ht="29">
      <c r="A479" s="1191"/>
      <c r="B479" s="147" t="s">
        <v>44</v>
      </c>
      <c r="C479" s="4" t="s">
        <v>2655</v>
      </c>
      <c r="D479" s="118" t="s">
        <v>32</v>
      </c>
      <c r="E479" s="118"/>
      <c r="F479" s="118"/>
      <c r="G479" s="118"/>
      <c r="H479" s="5" t="s">
        <v>862</v>
      </c>
      <c r="I479" s="5" t="s">
        <v>47</v>
      </c>
      <c r="J479" s="16" t="s">
        <v>596</v>
      </c>
      <c r="K479" s="8"/>
      <c r="L479" s="8"/>
      <c r="M479" s="199"/>
      <c r="N479" s="199"/>
      <c r="O479" s="199">
        <v>43627</v>
      </c>
      <c r="P479" s="5">
        <v>12</v>
      </c>
      <c r="Q479" s="7" t="s">
        <v>50</v>
      </c>
      <c r="R479" s="18">
        <v>1800</v>
      </c>
      <c r="S479" s="5" t="s">
        <v>1639</v>
      </c>
      <c r="T479" s="11" t="s">
        <v>38</v>
      </c>
      <c r="U479" s="4"/>
      <c r="V479" s="4"/>
      <c r="W479" s="5" t="s">
        <v>598</v>
      </c>
      <c r="X479" s="5" t="s">
        <v>1962</v>
      </c>
      <c r="Y479" s="5" t="s">
        <v>40</v>
      </c>
      <c r="Z479" s="5"/>
      <c r="AA479" s="5"/>
      <c r="AB479" s="199"/>
      <c r="AC479" s="8"/>
      <c r="AD479" s="147"/>
      <c r="AE479" s="227"/>
    </row>
    <row r="480" spans="1:32" s="1" customFormat="1" ht="29">
      <c r="A480" s="1184"/>
      <c r="B480" s="147" t="s">
        <v>44</v>
      </c>
      <c r="C480" s="4" t="s">
        <v>2656</v>
      </c>
      <c r="D480" s="118" t="s">
        <v>32</v>
      </c>
      <c r="E480" s="118"/>
      <c r="F480" s="118"/>
      <c r="G480" s="118"/>
      <c r="H480" s="5" t="s">
        <v>33</v>
      </c>
      <c r="I480" s="5" t="s">
        <v>47</v>
      </c>
      <c r="J480" s="16" t="s">
        <v>2657</v>
      </c>
      <c r="K480" s="8"/>
      <c r="L480" s="8"/>
      <c r="M480" s="199">
        <v>43282</v>
      </c>
      <c r="N480" s="199"/>
      <c r="O480" s="199">
        <v>43631</v>
      </c>
      <c r="P480" s="5">
        <v>36</v>
      </c>
      <c r="Q480" s="25" t="s">
        <v>98</v>
      </c>
      <c r="R480" s="18">
        <v>115000</v>
      </c>
      <c r="S480" s="31" t="s">
        <v>84</v>
      </c>
      <c r="T480" s="11" t="s">
        <v>38</v>
      </c>
      <c r="U480" s="4"/>
      <c r="V480" s="4"/>
      <c r="W480" s="5" t="s">
        <v>2543</v>
      </c>
      <c r="X480" s="5" t="s">
        <v>86</v>
      </c>
      <c r="Y480" s="5" t="s">
        <v>40</v>
      </c>
      <c r="Z480" s="5"/>
      <c r="AA480" s="5"/>
      <c r="AB480" s="199">
        <v>43678</v>
      </c>
      <c r="AC480" s="8" t="s">
        <v>267</v>
      </c>
      <c r="AD480" s="147"/>
      <c r="AE480" s="164"/>
      <c r="AF480"/>
    </row>
    <row r="481" spans="1:32" s="56" customFormat="1" ht="29">
      <c r="A481" s="1184"/>
      <c r="B481" s="147" t="s">
        <v>44</v>
      </c>
      <c r="C481" s="4" t="s">
        <v>2656</v>
      </c>
      <c r="D481" s="118" t="s">
        <v>32</v>
      </c>
      <c r="E481" s="118"/>
      <c r="F481" s="118"/>
      <c r="G481" s="118"/>
      <c r="H481" s="5" t="s">
        <v>33</v>
      </c>
      <c r="I481" s="5" t="s">
        <v>47</v>
      </c>
      <c r="J481" s="16" t="s">
        <v>2657</v>
      </c>
      <c r="K481" s="8"/>
      <c r="L481" s="8"/>
      <c r="M481" s="199">
        <v>43282</v>
      </c>
      <c r="N481" s="199"/>
      <c r="O481" s="199">
        <v>43631</v>
      </c>
      <c r="P481" s="5">
        <v>36</v>
      </c>
      <c r="Q481" s="7" t="s">
        <v>98</v>
      </c>
      <c r="R481" s="18">
        <v>115000</v>
      </c>
      <c r="S481" s="5" t="s">
        <v>84</v>
      </c>
      <c r="T481" s="11" t="s">
        <v>38</v>
      </c>
      <c r="U481" s="4"/>
      <c r="V481" s="4"/>
      <c r="W481" s="5" t="s">
        <v>2543</v>
      </c>
      <c r="X481" s="5" t="s">
        <v>86</v>
      </c>
      <c r="Y481" s="5" t="s">
        <v>40</v>
      </c>
      <c r="Z481" s="5"/>
      <c r="AA481" s="5"/>
      <c r="AB481" s="199">
        <v>43678</v>
      </c>
      <c r="AC481" s="8" t="s">
        <v>267</v>
      </c>
      <c r="AD481" s="147"/>
      <c r="AE481" s="164"/>
      <c r="AF481"/>
    </row>
    <row r="482" spans="1:32" s="56" customFormat="1" ht="409.6" customHeight="1">
      <c r="A482" s="1184"/>
      <c r="B482" s="147" t="s">
        <v>44</v>
      </c>
      <c r="C482" s="4"/>
      <c r="D482" s="118" t="s">
        <v>32</v>
      </c>
      <c r="E482" s="118"/>
      <c r="F482" s="118"/>
      <c r="G482" s="118"/>
      <c r="H482" s="5" t="s">
        <v>2658</v>
      </c>
      <c r="I482" s="5" t="s">
        <v>47</v>
      </c>
      <c r="J482" s="16" t="s">
        <v>1468</v>
      </c>
      <c r="K482" s="8"/>
      <c r="L482" s="8"/>
      <c r="M482" s="199">
        <v>43605</v>
      </c>
      <c r="N482" s="199"/>
      <c r="O482" s="199">
        <v>43632</v>
      </c>
      <c r="P482" s="5">
        <v>36</v>
      </c>
      <c r="Q482" s="7" t="s">
        <v>98</v>
      </c>
      <c r="R482" s="18">
        <v>44673</v>
      </c>
      <c r="S482" s="5" t="s">
        <v>51</v>
      </c>
      <c r="T482" s="11" t="s">
        <v>38</v>
      </c>
      <c r="U482" s="4"/>
      <c r="V482" s="4"/>
      <c r="W482" s="5" t="s">
        <v>388</v>
      </c>
      <c r="X482" s="5" t="s">
        <v>54</v>
      </c>
      <c r="Y482" s="5" t="s">
        <v>40</v>
      </c>
      <c r="Z482" s="5"/>
      <c r="AA482" s="5"/>
      <c r="AB482" s="183">
        <v>43630</v>
      </c>
      <c r="AC482" s="8" t="s">
        <v>2659</v>
      </c>
      <c r="AD482" s="147"/>
      <c r="AE482" s="164">
        <v>14891</v>
      </c>
      <c r="AF482"/>
    </row>
    <row r="483" spans="1:32" s="1" customFormat="1" ht="37.5">
      <c r="A483" s="1119"/>
      <c r="B483" s="958" t="s">
        <v>56</v>
      </c>
      <c r="C483" s="510" t="s">
        <v>2660</v>
      </c>
      <c r="D483" s="611" t="s">
        <v>57</v>
      </c>
      <c r="E483" s="611"/>
      <c r="F483" s="611"/>
      <c r="G483" s="611"/>
      <c r="H483" s="511" t="s">
        <v>58</v>
      </c>
      <c r="I483" s="519" t="s">
        <v>47</v>
      </c>
      <c r="J483" s="1578" t="s">
        <v>2661</v>
      </c>
      <c r="K483" s="512"/>
      <c r="L483" s="530">
        <v>43556</v>
      </c>
      <c r="M483" s="530"/>
      <c r="N483" s="530"/>
      <c r="O483" s="530">
        <v>43633</v>
      </c>
      <c r="P483" s="516">
        <v>5</v>
      </c>
      <c r="Q483" s="516">
        <v>5</v>
      </c>
      <c r="R483" s="599">
        <v>165000</v>
      </c>
      <c r="S483" s="523" t="s">
        <v>1937</v>
      </c>
      <c r="T483" s="515" t="s">
        <v>38</v>
      </c>
      <c r="U483" s="515"/>
      <c r="V483" s="515"/>
      <c r="W483" s="519" t="s">
        <v>2425</v>
      </c>
      <c r="X483" s="120"/>
      <c r="Y483" s="120"/>
      <c r="Z483" s="120"/>
      <c r="AA483" s="120"/>
      <c r="AB483" s="120"/>
      <c r="AC483" s="120"/>
      <c r="AD483" s="336"/>
      <c r="AE483" s="186"/>
      <c r="AF483"/>
    </row>
    <row r="484" spans="1:32" s="1" customFormat="1" ht="101.5">
      <c r="A484" s="2756"/>
      <c r="B484" s="147" t="s">
        <v>44</v>
      </c>
      <c r="C484" s="4" t="s">
        <v>2662</v>
      </c>
      <c r="D484" s="32" t="s">
        <v>32</v>
      </c>
      <c r="E484" s="32"/>
      <c r="F484" s="32"/>
      <c r="G484" s="32"/>
      <c r="H484" s="5" t="s">
        <v>33</v>
      </c>
      <c r="I484" s="12" t="s">
        <v>34</v>
      </c>
      <c r="J484" s="16" t="s">
        <v>2663</v>
      </c>
      <c r="K484" s="16"/>
      <c r="L484" s="16"/>
      <c r="M484" s="182">
        <v>43191</v>
      </c>
      <c r="N484" s="182"/>
      <c r="O484" s="77">
        <v>43636</v>
      </c>
      <c r="P484" s="78">
        <v>12</v>
      </c>
      <c r="Q484" s="78">
        <v>12</v>
      </c>
      <c r="R484" s="18">
        <v>127125</v>
      </c>
      <c r="S484" s="182" t="s">
        <v>529</v>
      </c>
      <c r="T484" s="12" t="s">
        <v>38</v>
      </c>
      <c r="U484" s="4"/>
      <c r="V484" s="4"/>
      <c r="W484" s="5" t="s">
        <v>2664</v>
      </c>
      <c r="X484" s="5" t="s">
        <v>413</v>
      </c>
      <c r="Y484" s="5" t="s">
        <v>40</v>
      </c>
      <c r="Z484" s="5"/>
      <c r="AA484" s="27"/>
      <c r="AB484" s="45">
        <v>43696</v>
      </c>
      <c r="AC484" s="33" t="s">
        <v>2665</v>
      </c>
      <c r="AD484" s="147"/>
      <c r="AE484" s="164">
        <v>42375</v>
      </c>
      <c r="AF484"/>
    </row>
    <row r="485" spans="1:32" s="1" customFormat="1" ht="57.65" customHeight="1">
      <c r="A485" s="1191"/>
      <c r="B485" s="147" t="s">
        <v>44</v>
      </c>
      <c r="C485" s="4" t="s">
        <v>526</v>
      </c>
      <c r="D485" s="118" t="s">
        <v>32</v>
      </c>
      <c r="E485" s="118"/>
      <c r="F485" s="118"/>
      <c r="G485" s="118"/>
      <c r="H485" s="5" t="s">
        <v>1770</v>
      </c>
      <c r="I485" s="12" t="s">
        <v>47</v>
      </c>
      <c r="J485" s="16" t="s">
        <v>2099</v>
      </c>
      <c r="K485" s="16"/>
      <c r="L485" s="16"/>
      <c r="M485" s="182">
        <v>43586</v>
      </c>
      <c r="N485" s="182"/>
      <c r="O485" s="182">
        <v>43638</v>
      </c>
      <c r="P485" s="12">
        <v>12</v>
      </c>
      <c r="Q485" s="7" t="s">
        <v>50</v>
      </c>
      <c r="R485" s="18">
        <v>7400</v>
      </c>
      <c r="S485" s="5" t="s">
        <v>84</v>
      </c>
      <c r="T485" s="12" t="s">
        <v>38</v>
      </c>
      <c r="U485" s="4"/>
      <c r="V485" s="4"/>
      <c r="W485" s="12" t="s">
        <v>1652</v>
      </c>
      <c r="X485" s="46" t="s">
        <v>1633</v>
      </c>
      <c r="Y485" s="5" t="s">
        <v>40</v>
      </c>
      <c r="Z485" s="5"/>
      <c r="AA485" s="26"/>
      <c r="AB485" s="45">
        <v>43626</v>
      </c>
      <c r="AC485" s="8" t="s">
        <v>2666</v>
      </c>
      <c r="AD485" s="1126"/>
      <c r="AE485" s="224"/>
      <c r="AF485" s="360"/>
    </row>
    <row r="486" spans="1:32" s="56" customFormat="1" ht="37.5">
      <c r="A486" s="1119"/>
      <c r="B486" s="958" t="s">
        <v>56</v>
      </c>
      <c r="C486" s="510" t="s">
        <v>2667</v>
      </c>
      <c r="D486" s="611" t="s">
        <v>57</v>
      </c>
      <c r="E486" s="611"/>
      <c r="F486" s="611"/>
      <c r="G486" s="611"/>
      <c r="H486" s="511" t="s">
        <v>58</v>
      </c>
      <c r="I486" s="510" t="s">
        <v>47</v>
      </c>
      <c r="J486" s="1580" t="s">
        <v>2668</v>
      </c>
      <c r="K486" s="533"/>
      <c r="L486" s="618">
        <v>43528</v>
      </c>
      <c r="M486" s="618"/>
      <c r="N486" s="618"/>
      <c r="O486" s="618">
        <v>43640</v>
      </c>
      <c r="P486" s="535">
        <v>5</v>
      </c>
      <c r="Q486" s="535">
        <v>5</v>
      </c>
      <c r="R486" s="599">
        <v>1560000</v>
      </c>
      <c r="S486" s="533" t="s">
        <v>1937</v>
      </c>
      <c r="T486" s="615" t="s">
        <v>38</v>
      </c>
      <c r="U486" s="615"/>
      <c r="V486" s="615"/>
      <c r="W486" s="510" t="s">
        <v>2669</v>
      </c>
      <c r="X486" s="120"/>
      <c r="Y486" s="120"/>
      <c r="Z486" s="120"/>
      <c r="AA486" s="120"/>
      <c r="AB486" s="120"/>
      <c r="AC486" s="120"/>
      <c r="AD486" s="336"/>
      <c r="AE486" s="186"/>
      <c r="AF486"/>
    </row>
    <row r="487" spans="1:32" s="56" customFormat="1" ht="72.5">
      <c r="A487" s="1184"/>
      <c r="B487" s="147" t="s">
        <v>44</v>
      </c>
      <c r="C487" s="4" t="s">
        <v>2670</v>
      </c>
      <c r="D487" s="118" t="s">
        <v>32</v>
      </c>
      <c r="E487" s="118"/>
      <c r="F487" s="118"/>
      <c r="G487" s="118"/>
      <c r="H487" s="5" t="s">
        <v>2471</v>
      </c>
      <c r="I487" s="5" t="s">
        <v>34</v>
      </c>
      <c r="J487" s="16" t="s">
        <v>1658</v>
      </c>
      <c r="K487" s="16"/>
      <c r="L487" s="16"/>
      <c r="M487" s="199">
        <v>43435</v>
      </c>
      <c r="N487" s="199"/>
      <c r="O487" s="182">
        <v>43647</v>
      </c>
      <c r="P487" s="12">
        <v>72</v>
      </c>
      <c r="Q487" s="152" t="s">
        <v>2671</v>
      </c>
      <c r="R487" s="18">
        <v>11400</v>
      </c>
      <c r="S487" s="31" t="s">
        <v>130</v>
      </c>
      <c r="T487" s="11" t="s">
        <v>38</v>
      </c>
      <c r="U487" s="4"/>
      <c r="V487" s="4"/>
      <c r="W487" s="5" t="s">
        <v>2672</v>
      </c>
      <c r="X487" s="2751" t="s">
        <v>94</v>
      </c>
      <c r="Y487" s="5" t="s">
        <v>40</v>
      </c>
      <c r="Z487" s="5"/>
      <c r="AA487" s="27"/>
      <c r="AB487" s="45">
        <v>43566</v>
      </c>
      <c r="AC487" s="84" t="s">
        <v>2673</v>
      </c>
      <c r="AD487" s="147"/>
      <c r="AE487" s="164">
        <v>1900</v>
      </c>
      <c r="AF487"/>
    </row>
    <row r="488" spans="1:32" s="56" customFormat="1" ht="29.15" customHeight="1">
      <c r="A488" s="1184"/>
      <c r="B488" s="147" t="s">
        <v>44</v>
      </c>
      <c r="C488" s="4"/>
      <c r="D488" s="31" t="s">
        <v>57</v>
      </c>
      <c r="E488" s="31"/>
      <c r="F488" s="31"/>
      <c r="G488" s="31"/>
      <c r="H488" s="5" t="s">
        <v>2674</v>
      </c>
      <c r="I488" s="5" t="s">
        <v>47</v>
      </c>
      <c r="J488" s="16" t="s">
        <v>2675</v>
      </c>
      <c r="K488" s="16"/>
      <c r="L488" s="16"/>
      <c r="M488" s="182">
        <v>43556</v>
      </c>
      <c r="N488" s="182"/>
      <c r="O488" s="182">
        <v>43647</v>
      </c>
      <c r="P488" s="12">
        <v>9</v>
      </c>
      <c r="Q488" s="7" t="s">
        <v>2676</v>
      </c>
      <c r="R488" s="41">
        <v>176514</v>
      </c>
      <c r="S488" s="5" t="s">
        <v>84</v>
      </c>
      <c r="T488" s="5" t="s">
        <v>38</v>
      </c>
      <c r="U488" s="4"/>
      <c r="V488" s="4"/>
      <c r="W488" s="5" t="s">
        <v>2677</v>
      </c>
      <c r="X488" s="5" t="s">
        <v>543</v>
      </c>
      <c r="Y488" s="5" t="s">
        <v>40</v>
      </c>
      <c r="Z488" s="5"/>
      <c r="AA488" s="5"/>
      <c r="AB488" s="199">
        <v>43846</v>
      </c>
      <c r="AC488" s="84" t="s">
        <v>2678</v>
      </c>
      <c r="AD488" s="4"/>
      <c r="AE488" s="224"/>
      <c r="AF488"/>
    </row>
    <row r="489" spans="1:32" ht="43.4" customHeight="1">
      <c r="A489" s="1119"/>
      <c r="B489" s="958" t="s">
        <v>56</v>
      </c>
      <c r="C489" s="510"/>
      <c r="D489" s="611" t="s">
        <v>32</v>
      </c>
      <c r="E489" s="611"/>
      <c r="F489" s="611"/>
      <c r="G489" s="611"/>
      <c r="H489" s="511" t="s">
        <v>308</v>
      </c>
      <c r="I489" s="519" t="s">
        <v>47</v>
      </c>
      <c r="J489" s="1578" t="s">
        <v>2679</v>
      </c>
      <c r="K489" s="512"/>
      <c r="L489" s="602">
        <v>43282</v>
      </c>
      <c r="M489" s="602"/>
      <c r="N489" s="602"/>
      <c r="O489" s="597">
        <v>43647</v>
      </c>
      <c r="P489" s="516" t="s">
        <v>60</v>
      </c>
      <c r="Q489" s="516"/>
      <c r="R489" s="599">
        <v>9000</v>
      </c>
      <c r="S489" s="523" t="s">
        <v>84</v>
      </c>
      <c r="T489" s="515" t="s">
        <v>38</v>
      </c>
      <c r="U489" s="515"/>
      <c r="V489" s="515"/>
      <c r="W489" s="519" t="s">
        <v>714</v>
      </c>
      <c r="X489" s="120"/>
      <c r="Y489" s="120"/>
      <c r="Z489" s="120"/>
      <c r="AA489" s="120"/>
      <c r="AB489" s="120"/>
      <c r="AC489" s="120"/>
      <c r="AD489" s="336"/>
      <c r="AE489" s="186"/>
    </row>
    <row r="490" spans="1:32" ht="25">
      <c r="A490" s="1119"/>
      <c r="B490" s="958" t="s">
        <v>56</v>
      </c>
      <c r="C490" s="510" t="s">
        <v>2680</v>
      </c>
      <c r="D490" s="611" t="s">
        <v>32</v>
      </c>
      <c r="E490" s="611"/>
      <c r="F490" s="611"/>
      <c r="G490" s="611"/>
      <c r="H490" s="511" t="s">
        <v>308</v>
      </c>
      <c r="I490" s="519" t="s">
        <v>47</v>
      </c>
      <c r="J490" s="1578" t="s">
        <v>2681</v>
      </c>
      <c r="K490" s="512"/>
      <c r="L490" s="602">
        <v>43497</v>
      </c>
      <c r="M490" s="602"/>
      <c r="N490" s="602"/>
      <c r="O490" s="597">
        <v>43647</v>
      </c>
      <c r="P490" s="516" t="s">
        <v>60</v>
      </c>
      <c r="Q490" s="1009" t="s">
        <v>60</v>
      </c>
      <c r="R490" s="599">
        <v>85000</v>
      </c>
      <c r="S490" s="1043" t="s">
        <v>84</v>
      </c>
      <c r="T490" s="515" t="s">
        <v>38</v>
      </c>
      <c r="U490" s="515"/>
      <c r="V490" s="515"/>
      <c r="W490" s="519" t="s">
        <v>714</v>
      </c>
      <c r="X490" s="120"/>
      <c r="Y490" s="120"/>
      <c r="AA490" s="120"/>
      <c r="AB490" s="120"/>
      <c r="AC490" s="120"/>
      <c r="AD490" s="336"/>
      <c r="AE490" s="186"/>
      <c r="AF490" s="462"/>
    </row>
    <row r="491" spans="1:32" ht="25">
      <c r="A491" s="1119"/>
      <c r="B491" s="958" t="s">
        <v>56</v>
      </c>
      <c r="C491" s="510" t="s">
        <v>2682</v>
      </c>
      <c r="D491" s="611" t="s">
        <v>32</v>
      </c>
      <c r="E491" s="611"/>
      <c r="F491" s="611"/>
      <c r="G491" s="611"/>
      <c r="H491" s="511" t="s">
        <v>308</v>
      </c>
      <c r="I491" s="519" t="s">
        <v>47</v>
      </c>
      <c r="J491" s="1578" t="s">
        <v>2683</v>
      </c>
      <c r="K491" s="512"/>
      <c r="L491" s="602">
        <v>43467</v>
      </c>
      <c r="M491" s="602"/>
      <c r="N491" s="602"/>
      <c r="O491" s="597">
        <v>43647</v>
      </c>
      <c r="P491" s="516" t="s">
        <v>60</v>
      </c>
      <c r="Q491" s="1009" t="s">
        <v>60</v>
      </c>
      <c r="R491" s="599">
        <v>18000</v>
      </c>
      <c r="S491" s="1043" t="s">
        <v>84</v>
      </c>
      <c r="T491" s="515" t="s">
        <v>38</v>
      </c>
      <c r="U491" s="515"/>
      <c r="V491" s="515"/>
      <c r="W491" s="519" t="s">
        <v>714</v>
      </c>
      <c r="X491" s="120"/>
      <c r="Y491" s="120"/>
      <c r="Z491" s="120"/>
      <c r="AA491" s="186"/>
      <c r="AB491" s="186"/>
      <c r="AC491" s="120"/>
      <c r="AD491" s="336"/>
      <c r="AE491" s="186"/>
    </row>
    <row r="492" spans="1:32" ht="173.15" customHeight="1">
      <c r="A492" s="1119"/>
      <c r="B492" s="958" t="s">
        <v>56</v>
      </c>
      <c r="C492" s="510" t="s">
        <v>991</v>
      </c>
      <c r="D492" s="611" t="s">
        <v>32</v>
      </c>
      <c r="E492" s="611"/>
      <c r="F492" s="611"/>
      <c r="G492" s="611"/>
      <c r="H492" s="511" t="s">
        <v>308</v>
      </c>
      <c r="I492" s="519" t="s">
        <v>47</v>
      </c>
      <c r="J492" s="1578" t="s">
        <v>2684</v>
      </c>
      <c r="K492" s="512"/>
      <c r="L492" s="530">
        <v>43584</v>
      </c>
      <c r="M492" s="530"/>
      <c r="N492" s="530"/>
      <c r="O492" s="530">
        <v>43647</v>
      </c>
      <c r="P492" s="516">
        <v>4</v>
      </c>
      <c r="Q492" s="516">
        <v>4</v>
      </c>
      <c r="R492" s="599">
        <v>254000</v>
      </c>
      <c r="S492" s="523" t="s">
        <v>60</v>
      </c>
      <c r="T492" s="515" t="s">
        <v>38</v>
      </c>
      <c r="U492" s="515"/>
      <c r="V492" s="515"/>
      <c r="W492" s="519" t="s">
        <v>2433</v>
      </c>
      <c r="X492" s="120"/>
      <c r="Y492" s="120"/>
      <c r="Z492" s="120"/>
      <c r="AA492" s="120"/>
      <c r="AB492" s="120"/>
      <c r="AC492" s="120"/>
      <c r="AD492" s="336"/>
      <c r="AE492" s="186"/>
    </row>
    <row r="493" spans="1:32" s="1" customFormat="1" ht="29.15" customHeight="1">
      <c r="A493" s="1119"/>
      <c r="B493" s="958" t="s">
        <v>56</v>
      </c>
      <c r="C493" s="510" t="s">
        <v>991</v>
      </c>
      <c r="D493" s="611" t="s">
        <v>32</v>
      </c>
      <c r="E493" s="611"/>
      <c r="F493" s="611"/>
      <c r="G493" s="611"/>
      <c r="H493" s="511" t="s">
        <v>308</v>
      </c>
      <c r="I493" s="519" t="s">
        <v>47</v>
      </c>
      <c r="J493" s="1578" t="s">
        <v>2685</v>
      </c>
      <c r="K493" s="512"/>
      <c r="L493" s="618">
        <v>43556</v>
      </c>
      <c r="M493" s="618"/>
      <c r="N493" s="618"/>
      <c r="O493" s="530">
        <v>43647</v>
      </c>
      <c r="P493" s="613">
        <v>7</v>
      </c>
      <c r="Q493" s="516">
        <v>7</v>
      </c>
      <c r="R493" s="599">
        <v>550000</v>
      </c>
      <c r="S493" s="1043" t="s">
        <v>60</v>
      </c>
      <c r="T493" s="515" t="s">
        <v>70</v>
      </c>
      <c r="U493" s="515"/>
      <c r="V493" s="515"/>
      <c r="W493" s="519" t="s">
        <v>2433</v>
      </c>
      <c r="X493" s="120"/>
      <c r="Y493" s="120"/>
      <c r="Z493" s="120"/>
      <c r="AA493" s="120"/>
      <c r="AB493" s="120"/>
      <c r="AC493" s="120"/>
      <c r="AD493" s="336"/>
      <c r="AE493" s="186"/>
      <c r="AF493"/>
    </row>
    <row r="494" spans="1:32" s="56" customFormat="1" ht="101.15" customHeight="1">
      <c r="A494" s="1119"/>
      <c r="B494" s="958" t="s">
        <v>56</v>
      </c>
      <c r="C494" s="510" t="s">
        <v>2686</v>
      </c>
      <c r="D494" s="611" t="s">
        <v>32</v>
      </c>
      <c r="E494" s="611"/>
      <c r="F494" s="611"/>
      <c r="G494" s="611"/>
      <c r="H494" s="511" t="s">
        <v>308</v>
      </c>
      <c r="I494" s="519" t="s">
        <v>47</v>
      </c>
      <c r="J494" s="1578" t="s">
        <v>2687</v>
      </c>
      <c r="K494" s="512"/>
      <c r="L494" s="530">
        <v>43556</v>
      </c>
      <c r="M494" s="530"/>
      <c r="N494" s="530"/>
      <c r="O494" s="530">
        <v>43647</v>
      </c>
      <c r="P494" s="516" t="s">
        <v>60</v>
      </c>
      <c r="Q494" s="1009" t="s">
        <v>45</v>
      </c>
      <c r="R494" s="599">
        <v>120000</v>
      </c>
      <c r="S494" s="1043" t="s">
        <v>60</v>
      </c>
      <c r="T494" s="1055" t="s">
        <v>38</v>
      </c>
      <c r="U494" s="515"/>
      <c r="V494" s="515"/>
      <c r="W494" s="519" t="s">
        <v>2688</v>
      </c>
      <c r="X494" s="120"/>
      <c r="Y494" s="120"/>
      <c r="Z494" s="120"/>
      <c r="AA494" s="186"/>
      <c r="AB494" s="186"/>
      <c r="AC494" s="120"/>
      <c r="AD494" s="336"/>
      <c r="AE494" s="186"/>
      <c r="AF494" s="360"/>
    </row>
    <row r="495" spans="1:32" s="1" customFormat="1" ht="43.4" customHeight="1">
      <c r="A495" s="1119"/>
      <c r="B495" s="958" t="s">
        <v>56</v>
      </c>
      <c r="C495" s="1672" t="s">
        <v>991</v>
      </c>
      <c r="D495" s="511" t="s">
        <v>32</v>
      </c>
      <c r="E495" s="511"/>
      <c r="F495" s="511"/>
      <c r="G495" s="511"/>
      <c r="H495" s="511" t="s">
        <v>308</v>
      </c>
      <c r="I495" s="519" t="s">
        <v>47</v>
      </c>
      <c r="J495" s="1578" t="s">
        <v>2689</v>
      </c>
      <c r="K495" s="512"/>
      <c r="L495" s="530">
        <v>43598</v>
      </c>
      <c r="M495" s="530"/>
      <c r="N495" s="530"/>
      <c r="O495" s="530">
        <v>43647</v>
      </c>
      <c r="P495" s="516">
        <v>1</v>
      </c>
      <c r="Q495" s="516">
        <v>1</v>
      </c>
      <c r="R495" s="599" t="s">
        <v>60</v>
      </c>
      <c r="S495" s="523" t="s">
        <v>1189</v>
      </c>
      <c r="T495" s="661" t="s">
        <v>38</v>
      </c>
      <c r="U495" s="515"/>
      <c r="V495" s="515"/>
      <c r="W495" s="519" t="s">
        <v>2690</v>
      </c>
      <c r="X495" s="120"/>
      <c r="Y495" s="120"/>
      <c r="Z495" s="120"/>
      <c r="AA495" s="120"/>
      <c r="AB495" s="120"/>
      <c r="AC495" s="120"/>
      <c r="AD495" s="120"/>
      <c r="AE495" s="186"/>
      <c r="AF495"/>
    </row>
    <row r="496" spans="1:32" s="1" customFormat="1" ht="101.15" customHeight="1">
      <c r="A496" s="1119"/>
      <c r="B496" s="958" t="s">
        <v>56</v>
      </c>
      <c r="C496" s="966" t="s">
        <v>991</v>
      </c>
      <c r="D496" s="511" t="s">
        <v>32</v>
      </c>
      <c r="E496" s="511"/>
      <c r="F496" s="511"/>
      <c r="G496" s="511"/>
      <c r="H496" s="511" t="s">
        <v>308</v>
      </c>
      <c r="I496" s="519" t="s">
        <v>47</v>
      </c>
      <c r="J496" s="1578" t="s">
        <v>2691</v>
      </c>
      <c r="K496" s="512"/>
      <c r="L496" s="530">
        <v>43586</v>
      </c>
      <c r="M496" s="530"/>
      <c r="N496" s="530"/>
      <c r="O496" s="530">
        <v>43647</v>
      </c>
      <c r="P496" s="516" t="s">
        <v>60</v>
      </c>
      <c r="Q496" s="516" t="s">
        <v>60</v>
      </c>
      <c r="R496" s="599">
        <v>30000</v>
      </c>
      <c r="S496" s="523" t="s">
        <v>60</v>
      </c>
      <c r="T496" s="1055" t="s">
        <v>38</v>
      </c>
      <c r="U496" s="515"/>
      <c r="V496" s="515"/>
      <c r="W496" s="519" t="s">
        <v>2688</v>
      </c>
      <c r="X496" s="120"/>
      <c r="Y496" s="120"/>
      <c r="Z496" s="120"/>
      <c r="AA496" s="120"/>
      <c r="AB496" s="120"/>
      <c r="AC496" s="120"/>
      <c r="AD496"/>
      <c r="AE496" s="186"/>
      <c r="AF496"/>
    </row>
    <row r="497" spans="1:32" s="1" customFormat="1" ht="75">
      <c r="A497" s="1119"/>
      <c r="B497" s="958" t="s">
        <v>56</v>
      </c>
      <c r="C497" s="966" t="s">
        <v>2692</v>
      </c>
      <c r="D497" s="511" t="s">
        <v>32</v>
      </c>
      <c r="E497" s="511"/>
      <c r="F497" s="511"/>
      <c r="G497" s="511"/>
      <c r="H497" s="511" t="s">
        <v>308</v>
      </c>
      <c r="I497" s="519" t="s">
        <v>47</v>
      </c>
      <c r="J497" s="1578" t="s">
        <v>2693</v>
      </c>
      <c r="K497" s="512"/>
      <c r="L497" s="530">
        <v>43563</v>
      </c>
      <c r="M497" s="530"/>
      <c r="N497" s="530"/>
      <c r="O497" s="530">
        <v>43647</v>
      </c>
      <c r="P497" s="516">
        <v>3</v>
      </c>
      <c r="Q497" s="516">
        <v>3</v>
      </c>
      <c r="R497" s="599">
        <v>181000</v>
      </c>
      <c r="S497" s="523" t="s">
        <v>2622</v>
      </c>
      <c r="T497" s="1055" t="s">
        <v>38</v>
      </c>
      <c r="U497" s="515"/>
      <c r="V497" s="515"/>
      <c r="W497" s="519" t="s">
        <v>2433</v>
      </c>
      <c r="X497" s="120"/>
      <c r="Y497" s="120"/>
      <c r="Z497" s="120"/>
      <c r="AA497" s="120"/>
      <c r="AB497" s="120"/>
      <c r="AC497" s="120"/>
      <c r="AD497"/>
      <c r="AE497" s="186"/>
      <c r="AF497" s="56"/>
    </row>
    <row r="498" spans="1:32" s="1" customFormat="1" ht="14.9" customHeight="1">
      <c r="A498" s="1119"/>
      <c r="B498" s="958" t="s">
        <v>56</v>
      </c>
      <c r="C498" s="966" t="s">
        <v>2694</v>
      </c>
      <c r="D498" s="511" t="s">
        <v>32</v>
      </c>
      <c r="E498" s="511"/>
      <c r="F498" s="511"/>
      <c r="G498" s="511"/>
      <c r="H498" s="511" t="s">
        <v>308</v>
      </c>
      <c r="I498" s="519" t="s">
        <v>47</v>
      </c>
      <c r="J498" s="1578" t="s">
        <v>2695</v>
      </c>
      <c r="K498" s="512"/>
      <c r="L498" s="530">
        <v>43556</v>
      </c>
      <c r="M498" s="530"/>
      <c r="N498" s="530"/>
      <c r="O498" s="530">
        <v>43647</v>
      </c>
      <c r="P498" s="516">
        <v>4</v>
      </c>
      <c r="Q498" s="516">
        <v>4</v>
      </c>
      <c r="R498" s="599">
        <v>1400000</v>
      </c>
      <c r="S498" s="523" t="s">
        <v>1189</v>
      </c>
      <c r="T498" s="1055" t="s">
        <v>38</v>
      </c>
      <c r="U498" s="515"/>
      <c r="V498" s="515"/>
      <c r="W498" s="519" t="s">
        <v>2430</v>
      </c>
      <c r="X498" s="120"/>
      <c r="Y498" s="120"/>
      <c r="Z498" s="120"/>
      <c r="AA498" s="120"/>
      <c r="AB498" s="120"/>
      <c r="AC498" s="120"/>
      <c r="AD498"/>
      <c r="AE498" s="186"/>
    </row>
    <row r="499" spans="1:32" s="1" customFormat="1" ht="43.4" customHeight="1">
      <c r="A499" s="1119"/>
      <c r="B499" s="958" t="s">
        <v>56</v>
      </c>
      <c r="C499" s="966" t="s">
        <v>2696</v>
      </c>
      <c r="D499" s="511" t="s">
        <v>32</v>
      </c>
      <c r="E499" s="511"/>
      <c r="F499" s="511"/>
      <c r="G499" s="511"/>
      <c r="H499" s="511" t="s">
        <v>308</v>
      </c>
      <c r="I499" s="519" t="s">
        <v>47</v>
      </c>
      <c r="J499" s="1578" t="s">
        <v>2697</v>
      </c>
      <c r="K499" s="512"/>
      <c r="L499" s="530">
        <v>43598</v>
      </c>
      <c r="M499" s="530"/>
      <c r="N499" s="530"/>
      <c r="O499" s="530">
        <v>43647</v>
      </c>
      <c r="P499" s="516">
        <v>1</v>
      </c>
      <c r="Q499" s="516">
        <v>1</v>
      </c>
      <c r="R499" s="599">
        <v>100000</v>
      </c>
      <c r="S499" s="523" t="s">
        <v>2110</v>
      </c>
      <c r="T499" s="1055" t="s">
        <v>38</v>
      </c>
      <c r="U499" s="515"/>
      <c r="V499" s="515"/>
      <c r="W499" s="519" t="s">
        <v>2690</v>
      </c>
      <c r="X499" s="120"/>
      <c r="Y499" s="120"/>
      <c r="Z499" s="120"/>
      <c r="AA499" s="120"/>
      <c r="AB499" s="120"/>
      <c r="AC499" s="120"/>
      <c r="AD499"/>
      <c r="AE499" s="186"/>
      <c r="AF499" s="3"/>
    </row>
    <row r="500" spans="1:32" s="1" customFormat="1" ht="29.15" customHeight="1">
      <c r="A500" s="1119"/>
      <c r="B500" s="958" t="s">
        <v>56</v>
      </c>
      <c r="C500" s="966" t="s">
        <v>2698</v>
      </c>
      <c r="D500" s="511" t="s">
        <v>122</v>
      </c>
      <c r="E500" s="511"/>
      <c r="F500" s="511"/>
      <c r="G500" s="511"/>
      <c r="H500" s="511" t="s">
        <v>308</v>
      </c>
      <c r="I500" s="519" t="s">
        <v>47</v>
      </c>
      <c r="J500" s="1578" t="s">
        <v>2699</v>
      </c>
      <c r="K500" s="512"/>
      <c r="L500" s="530">
        <v>43521</v>
      </c>
      <c r="M500" s="530"/>
      <c r="N500" s="530"/>
      <c r="O500" s="530">
        <v>43647</v>
      </c>
      <c r="P500" s="516" t="s">
        <v>60</v>
      </c>
      <c r="Q500" s="516" t="s">
        <v>60</v>
      </c>
      <c r="R500" s="599">
        <v>410000</v>
      </c>
      <c r="S500" s="523" t="s">
        <v>2622</v>
      </c>
      <c r="T500" s="1055" t="s">
        <v>62</v>
      </c>
      <c r="U500" s="515"/>
      <c r="V500" s="515"/>
      <c r="W500" s="533" t="s">
        <v>2408</v>
      </c>
      <c r="X500" s="120"/>
      <c r="Y500" s="120"/>
      <c r="Z500" s="120"/>
      <c r="AA500" s="120"/>
      <c r="AB500" s="120"/>
      <c r="AC500" s="120"/>
      <c r="AD500"/>
      <c r="AE500" s="186"/>
      <c r="AF500"/>
    </row>
    <row r="501" spans="1:32" s="1" customFormat="1" ht="72" customHeight="1">
      <c r="A501" s="1119"/>
      <c r="B501" s="958" t="s">
        <v>56</v>
      </c>
      <c r="C501" s="966" t="s">
        <v>2700</v>
      </c>
      <c r="D501" s="511" t="s">
        <v>57</v>
      </c>
      <c r="E501" s="511"/>
      <c r="F501" s="511"/>
      <c r="G501" s="511"/>
      <c r="H501" s="511" t="s">
        <v>58</v>
      </c>
      <c r="I501" s="519" t="s">
        <v>47</v>
      </c>
      <c r="J501" s="1578" t="s">
        <v>2701</v>
      </c>
      <c r="K501" s="512"/>
      <c r="L501" s="530">
        <v>43598</v>
      </c>
      <c r="M501" s="530"/>
      <c r="N501" s="530"/>
      <c r="O501" s="530">
        <v>43647</v>
      </c>
      <c r="P501" s="516">
        <v>1</v>
      </c>
      <c r="Q501" s="516">
        <v>1</v>
      </c>
      <c r="R501" s="599">
        <v>1786377</v>
      </c>
      <c r="S501" s="523" t="s">
        <v>1937</v>
      </c>
      <c r="T501" s="1055" t="s">
        <v>310</v>
      </c>
      <c r="U501" s="515"/>
      <c r="V501" s="515"/>
      <c r="W501" s="533" t="s">
        <v>2417</v>
      </c>
      <c r="X501" s="120"/>
      <c r="Y501" s="120"/>
      <c r="Z501" s="120"/>
      <c r="AA501" s="120"/>
      <c r="AB501" s="120"/>
      <c r="AC501" s="120"/>
      <c r="AD501"/>
      <c r="AE501" s="186"/>
    </row>
    <row r="502" spans="1:32" s="1" customFormat="1" ht="62.5">
      <c r="A502" s="1119"/>
      <c r="B502" s="958" t="s">
        <v>56</v>
      </c>
      <c r="C502" s="966" t="s">
        <v>60</v>
      </c>
      <c r="D502" s="511" t="s">
        <v>122</v>
      </c>
      <c r="E502" s="511"/>
      <c r="F502" s="511"/>
      <c r="G502" s="511"/>
      <c r="H502" s="511" t="s">
        <v>308</v>
      </c>
      <c r="I502" s="519" t="s">
        <v>47</v>
      </c>
      <c r="J502" s="1578" t="s">
        <v>2702</v>
      </c>
      <c r="K502" s="512"/>
      <c r="L502" s="530" t="s">
        <v>60</v>
      </c>
      <c r="M502" s="530"/>
      <c r="N502" s="530"/>
      <c r="O502" s="530">
        <v>43647</v>
      </c>
      <c r="P502" s="516" t="s">
        <v>60</v>
      </c>
      <c r="Q502" s="516" t="s">
        <v>60</v>
      </c>
      <c r="R502" s="599">
        <v>4000000</v>
      </c>
      <c r="S502" s="523" t="s">
        <v>60</v>
      </c>
      <c r="T502" s="1055" t="s">
        <v>310</v>
      </c>
      <c r="U502" s="515"/>
      <c r="V502" s="515"/>
      <c r="W502" s="533" t="s">
        <v>2408</v>
      </c>
      <c r="X502"/>
      <c r="Y502" s="120"/>
      <c r="Z502" s="120"/>
      <c r="AA502" s="120"/>
      <c r="AB502" s="120"/>
      <c r="AC502" s="120"/>
      <c r="AD502"/>
      <c r="AE502" s="186"/>
      <c r="AF502" s="35"/>
    </row>
    <row r="503" spans="1:32" s="1" customFormat="1" ht="43.4" customHeight="1">
      <c r="A503" s="1648">
        <v>44974</v>
      </c>
      <c r="B503" s="1569" t="s">
        <v>1168</v>
      </c>
      <c r="C503" s="1667" t="s">
        <v>2703</v>
      </c>
      <c r="D503" s="1664" t="s">
        <v>1254</v>
      </c>
      <c r="E503" s="1655" t="s">
        <v>1168</v>
      </c>
      <c r="F503" s="1655" t="s">
        <v>1170</v>
      </c>
      <c r="G503" s="1655" t="s">
        <v>1170</v>
      </c>
      <c r="H503" s="1655" t="s">
        <v>1170</v>
      </c>
      <c r="I503" s="1655" t="s">
        <v>1170</v>
      </c>
      <c r="J503" s="1698" t="s">
        <v>2704</v>
      </c>
      <c r="K503" s="1664" t="s">
        <v>2705</v>
      </c>
      <c r="L503" s="1655" t="s">
        <v>1170</v>
      </c>
      <c r="M503" s="1655" t="s">
        <v>1170</v>
      </c>
      <c r="N503" s="1655" t="s">
        <v>1170</v>
      </c>
      <c r="O503" s="1755">
        <v>43647</v>
      </c>
      <c r="P503" s="1755">
        <v>45107</v>
      </c>
      <c r="Q503" s="1755">
        <v>45107</v>
      </c>
      <c r="R503" s="1805">
        <v>450000</v>
      </c>
      <c r="S503" s="1664" t="s">
        <v>1346</v>
      </c>
      <c r="T503" s="1842" t="s">
        <v>1170</v>
      </c>
      <c r="U503" s="1655" t="s">
        <v>1170</v>
      </c>
      <c r="V503" s="1655"/>
      <c r="W503" s="1664" t="s">
        <v>2583</v>
      </c>
      <c r="X503" s="1664" t="s">
        <v>1175</v>
      </c>
      <c r="Y503" s="1664" t="s">
        <v>251</v>
      </c>
      <c r="Z503" s="1655" t="s">
        <v>1170</v>
      </c>
      <c r="AA503" s="1655" t="s">
        <v>1170</v>
      </c>
      <c r="AB503" s="1655" t="s">
        <v>1170</v>
      </c>
      <c r="AC503" s="1698" t="s">
        <v>2706</v>
      </c>
      <c r="AD503" s="1657" t="s">
        <v>1170</v>
      </c>
      <c r="AE503" s="1934">
        <v>450000</v>
      </c>
      <c r="AF503"/>
    </row>
    <row r="504" spans="1:32" s="1" customFormat="1" ht="14.9" customHeight="1">
      <c r="A504" s="1184"/>
      <c r="B504" s="147" t="s">
        <v>44</v>
      </c>
      <c r="C504" s="72" t="s">
        <v>2707</v>
      </c>
      <c r="D504" s="9" t="s">
        <v>32</v>
      </c>
      <c r="E504" s="9"/>
      <c r="F504" s="9"/>
      <c r="G504" s="9"/>
      <c r="H504" s="5" t="s">
        <v>33</v>
      </c>
      <c r="I504" s="5" t="s">
        <v>47</v>
      </c>
      <c r="J504" s="16" t="s">
        <v>1666</v>
      </c>
      <c r="K504" s="8"/>
      <c r="L504" s="8"/>
      <c r="M504" s="14">
        <v>43466</v>
      </c>
      <c r="N504" s="14"/>
      <c r="O504" s="14">
        <v>43650</v>
      </c>
      <c r="P504" s="12">
        <v>48</v>
      </c>
      <c r="Q504" s="5" t="s">
        <v>2708</v>
      </c>
      <c r="R504" s="18">
        <v>3916.3</v>
      </c>
      <c r="S504" s="5" t="s">
        <v>84</v>
      </c>
      <c r="T504" s="161" t="s">
        <v>38</v>
      </c>
      <c r="U504" s="4"/>
      <c r="V504" s="4"/>
      <c r="W504" s="5" t="s">
        <v>1667</v>
      </c>
      <c r="X504" s="5" t="s">
        <v>413</v>
      </c>
      <c r="Y504" s="5" t="s">
        <v>40</v>
      </c>
      <c r="Z504" s="5"/>
      <c r="AA504" s="5"/>
      <c r="AB504" s="199">
        <v>43696</v>
      </c>
      <c r="AC504" s="33" t="s">
        <v>2612</v>
      </c>
      <c r="AE504" s="164"/>
      <c r="AF504"/>
    </row>
    <row r="505" spans="1:32" s="1" customFormat="1" ht="37.5">
      <c r="A505" s="1119"/>
      <c r="B505" s="958" t="s">
        <v>56</v>
      </c>
      <c r="C505" s="966" t="s">
        <v>2709</v>
      </c>
      <c r="D505" s="511" t="s">
        <v>57</v>
      </c>
      <c r="E505" s="511"/>
      <c r="F505" s="511"/>
      <c r="G505" s="511"/>
      <c r="H505" s="511" t="s">
        <v>58</v>
      </c>
      <c r="I505" s="519" t="s">
        <v>47</v>
      </c>
      <c r="J505" s="1578" t="s">
        <v>2710</v>
      </c>
      <c r="K505" s="512"/>
      <c r="L505" s="530">
        <v>43647</v>
      </c>
      <c r="M505" s="530"/>
      <c r="N505" s="530"/>
      <c r="O505" s="530">
        <v>43654</v>
      </c>
      <c r="P505" s="516">
        <v>1</v>
      </c>
      <c r="Q505" s="516">
        <v>1</v>
      </c>
      <c r="R505" s="599">
        <v>500000</v>
      </c>
      <c r="S505" s="523" t="s">
        <v>1937</v>
      </c>
      <c r="T505" s="1055" t="s">
        <v>62</v>
      </c>
      <c r="U505" s="515"/>
      <c r="V505" s="515"/>
      <c r="W505" s="533" t="s">
        <v>2417</v>
      </c>
      <c r="X505" s="120"/>
      <c r="Y505" s="120"/>
      <c r="Z505" s="120"/>
      <c r="AA505" s="120"/>
      <c r="AB505" s="120"/>
      <c r="AC505" s="120"/>
      <c r="AD505"/>
      <c r="AE505" s="186"/>
    </row>
    <row r="506" spans="1:32" s="1" customFormat="1" ht="37.5">
      <c r="A506" s="1119"/>
      <c r="B506" s="958" t="s">
        <v>56</v>
      </c>
      <c r="C506" s="966" t="s">
        <v>2711</v>
      </c>
      <c r="D506" s="511" t="s">
        <v>57</v>
      </c>
      <c r="E506" s="511"/>
      <c r="F506" s="511"/>
      <c r="G506" s="511"/>
      <c r="H506" s="511" t="s">
        <v>58</v>
      </c>
      <c r="I506" s="519" t="s">
        <v>47</v>
      </c>
      <c r="J506" s="1578" t="s">
        <v>2712</v>
      </c>
      <c r="K506" s="512"/>
      <c r="L506" s="530">
        <v>43626</v>
      </c>
      <c r="M506" s="530"/>
      <c r="N506" s="530"/>
      <c r="O506" s="530">
        <v>43661</v>
      </c>
      <c r="P506" s="516">
        <v>1</v>
      </c>
      <c r="Q506" s="516">
        <v>1</v>
      </c>
      <c r="R506" s="599">
        <v>300000</v>
      </c>
      <c r="S506" s="523" t="s">
        <v>1937</v>
      </c>
      <c r="T506" s="1055" t="s">
        <v>62</v>
      </c>
      <c r="U506" s="515"/>
      <c r="V506" s="515"/>
      <c r="W506" s="533" t="s">
        <v>2417</v>
      </c>
      <c r="X506" s="120"/>
      <c r="Y506" s="120"/>
      <c r="Z506" s="120"/>
      <c r="AA506" s="120"/>
      <c r="AB506" s="120"/>
      <c r="AC506" s="120"/>
      <c r="AD506"/>
      <c r="AE506" s="186"/>
      <c r="AF506" s="56"/>
    </row>
    <row r="507" spans="1:32" s="1" customFormat="1" ht="57.65" customHeight="1">
      <c r="A507" s="1184"/>
      <c r="B507" s="147" t="s">
        <v>44</v>
      </c>
      <c r="C507" s="1668"/>
      <c r="D507" s="5" t="s">
        <v>32</v>
      </c>
      <c r="E507" s="5"/>
      <c r="F507" s="5"/>
      <c r="G507" s="5"/>
      <c r="H507" s="5" t="s">
        <v>127</v>
      </c>
      <c r="I507" s="5" t="s">
        <v>47</v>
      </c>
      <c r="J507" s="16" t="s">
        <v>2713</v>
      </c>
      <c r="K507" s="8"/>
      <c r="L507" s="8"/>
      <c r="M507" s="199">
        <v>43552</v>
      </c>
      <c r="N507" s="199"/>
      <c r="O507" s="199">
        <v>43662</v>
      </c>
      <c r="P507" s="12">
        <v>24</v>
      </c>
      <c r="Q507" s="12" t="s">
        <v>1345</v>
      </c>
      <c r="R507" s="112">
        <v>280000</v>
      </c>
      <c r="S507" s="5" t="s">
        <v>84</v>
      </c>
      <c r="T507" s="161" t="s">
        <v>45</v>
      </c>
      <c r="U507" s="4"/>
      <c r="V507" s="4"/>
      <c r="W507" s="5" t="s">
        <v>137</v>
      </c>
      <c r="X507" s="5" t="s">
        <v>2179</v>
      </c>
      <c r="Y507" s="5" t="s">
        <v>40</v>
      </c>
      <c r="Z507" s="5"/>
      <c r="AA507" s="5"/>
      <c r="AB507" s="2801">
        <v>43768</v>
      </c>
      <c r="AC507" s="8" t="s">
        <v>2714</v>
      </c>
      <c r="AE507" s="164"/>
      <c r="AF507" s="56"/>
    </row>
    <row r="508" spans="1:32" s="1" customFormat="1" ht="29.15" customHeight="1">
      <c r="A508" s="1119"/>
      <c r="B508" s="958" t="s">
        <v>56</v>
      </c>
      <c r="C508" s="966" t="s">
        <v>2715</v>
      </c>
      <c r="D508" s="511" t="s">
        <v>57</v>
      </c>
      <c r="E508" s="511"/>
      <c r="F508" s="511"/>
      <c r="G508" s="511"/>
      <c r="H508" s="511" t="s">
        <v>58</v>
      </c>
      <c r="I508" s="519" t="s">
        <v>47</v>
      </c>
      <c r="J508" s="1578" t="s">
        <v>2716</v>
      </c>
      <c r="K508" s="512"/>
      <c r="L508" s="530">
        <v>43525</v>
      </c>
      <c r="M508" s="530"/>
      <c r="N508" s="530"/>
      <c r="O508" s="530">
        <v>43665</v>
      </c>
      <c r="P508" s="516">
        <v>1</v>
      </c>
      <c r="Q508" s="516">
        <v>1</v>
      </c>
      <c r="R508" s="599">
        <v>3120</v>
      </c>
      <c r="S508" s="523" t="s">
        <v>37</v>
      </c>
      <c r="T508" s="1055" t="s">
        <v>38</v>
      </c>
      <c r="U508" s="515"/>
      <c r="V508" s="515"/>
      <c r="W508" s="519" t="s">
        <v>1637</v>
      </c>
      <c r="X508" s="120"/>
      <c r="Y508" s="120"/>
      <c r="Z508" s="120"/>
      <c r="AA508" s="120"/>
      <c r="AB508" s="120"/>
      <c r="AC508" s="120"/>
      <c r="AD508"/>
      <c r="AE508" s="186"/>
    </row>
    <row r="509" spans="1:32" s="1" customFormat="1" ht="62.5">
      <c r="A509" s="1119"/>
      <c r="B509" s="958" t="s">
        <v>56</v>
      </c>
      <c r="C509" s="966" t="s">
        <v>2717</v>
      </c>
      <c r="D509" s="511" t="s">
        <v>57</v>
      </c>
      <c r="E509" s="511"/>
      <c r="F509" s="511"/>
      <c r="G509" s="511"/>
      <c r="H509" s="511" t="s">
        <v>58</v>
      </c>
      <c r="I509" s="519" t="s">
        <v>47</v>
      </c>
      <c r="J509" s="1578" t="s">
        <v>2718</v>
      </c>
      <c r="K509" s="512"/>
      <c r="L509" s="530">
        <v>43551</v>
      </c>
      <c r="M509" s="530"/>
      <c r="N509" s="530"/>
      <c r="O509" s="530">
        <v>43666</v>
      </c>
      <c r="P509" s="516" t="s">
        <v>60</v>
      </c>
      <c r="Q509" s="516" t="s">
        <v>45</v>
      </c>
      <c r="R509" s="599">
        <v>193900</v>
      </c>
      <c r="S509" s="523" t="s">
        <v>1937</v>
      </c>
      <c r="T509" s="1055" t="s">
        <v>38</v>
      </c>
      <c r="U509" s="515"/>
      <c r="V509" s="515"/>
      <c r="W509" s="519" t="s">
        <v>2719</v>
      </c>
      <c r="X509" s="120"/>
      <c r="Y509" s="120"/>
      <c r="Z509" s="120"/>
      <c r="AA509" s="120"/>
      <c r="AB509" s="120"/>
      <c r="AC509" s="120"/>
      <c r="AD509"/>
      <c r="AE509" s="186"/>
    </row>
    <row r="510" spans="1:32" s="1" customFormat="1" ht="57.65" customHeight="1">
      <c r="A510" s="1119"/>
      <c r="B510" s="958" t="s">
        <v>56</v>
      </c>
      <c r="C510" s="966" t="s">
        <v>2720</v>
      </c>
      <c r="D510" s="511" t="s">
        <v>57</v>
      </c>
      <c r="E510" s="511"/>
      <c r="F510" s="511"/>
      <c r="G510" s="511"/>
      <c r="H510" s="511" t="s">
        <v>58</v>
      </c>
      <c r="I510" s="519" t="s">
        <v>47</v>
      </c>
      <c r="J510" s="1578" t="s">
        <v>2721</v>
      </c>
      <c r="K510" s="512"/>
      <c r="L510" s="530">
        <v>43633</v>
      </c>
      <c r="M510" s="530"/>
      <c r="N510" s="530"/>
      <c r="O510" s="530">
        <v>43666</v>
      </c>
      <c r="P510" s="530" t="s">
        <v>991</v>
      </c>
      <c r="Q510" s="530" t="s">
        <v>991</v>
      </c>
      <c r="R510" s="599">
        <v>40000</v>
      </c>
      <c r="S510" s="523" t="s">
        <v>1937</v>
      </c>
      <c r="T510" s="1055" t="s">
        <v>2455</v>
      </c>
      <c r="U510" s="515"/>
      <c r="V510" s="515"/>
      <c r="W510" s="533" t="s">
        <v>2417</v>
      </c>
      <c r="X510" s="120"/>
      <c r="Y510" s="120"/>
      <c r="Z510" s="120"/>
      <c r="AA510" s="120"/>
      <c r="AB510" s="120"/>
      <c r="AC510" s="120"/>
      <c r="AD510"/>
      <c r="AE510" s="186"/>
    </row>
    <row r="511" spans="1:32" s="1" customFormat="1" ht="43.4" customHeight="1">
      <c r="A511" s="1119"/>
      <c r="B511" s="958" t="s">
        <v>56</v>
      </c>
      <c r="C511" s="966" t="s">
        <v>2722</v>
      </c>
      <c r="D511" s="511" t="s">
        <v>32</v>
      </c>
      <c r="E511" s="511"/>
      <c r="F511" s="511"/>
      <c r="G511" s="511"/>
      <c r="H511" s="511" t="s">
        <v>308</v>
      </c>
      <c r="I511" s="519" t="s">
        <v>47</v>
      </c>
      <c r="J511" s="1578" t="s">
        <v>2723</v>
      </c>
      <c r="K511" s="512"/>
      <c r="L511" s="530">
        <v>43586</v>
      </c>
      <c r="M511" s="530"/>
      <c r="N511" s="530"/>
      <c r="O511" s="530">
        <v>43668</v>
      </c>
      <c r="P511" s="516">
        <v>1</v>
      </c>
      <c r="Q511" s="516">
        <v>1</v>
      </c>
      <c r="R511" s="599">
        <f>134000+116000+120000</f>
        <v>370000</v>
      </c>
      <c r="S511" s="523" t="s">
        <v>2110</v>
      </c>
      <c r="T511" s="1055" t="s">
        <v>70</v>
      </c>
      <c r="U511" s="515"/>
      <c r="V511" s="515"/>
      <c r="W511" s="519" t="s">
        <v>2724</v>
      </c>
      <c r="X511" s="120"/>
      <c r="Y511" s="120"/>
      <c r="Z511" s="120"/>
      <c r="AA511" s="120"/>
      <c r="AB511" s="120"/>
      <c r="AC511" s="120"/>
      <c r="AD511"/>
      <c r="AE511" s="186"/>
      <c r="AF511" s="56"/>
    </row>
    <row r="512" spans="1:32" s="1" customFormat="1" ht="43.4" customHeight="1">
      <c r="A512" s="1119"/>
      <c r="B512" s="958" t="s">
        <v>56</v>
      </c>
      <c r="C512" s="966" t="s">
        <v>2725</v>
      </c>
      <c r="D512" s="511" t="s">
        <v>57</v>
      </c>
      <c r="E512" s="511"/>
      <c r="F512" s="511"/>
      <c r="G512" s="511"/>
      <c r="H512" s="511" t="s">
        <v>58</v>
      </c>
      <c r="I512" s="519" t="s">
        <v>47</v>
      </c>
      <c r="J512" s="1578" t="s">
        <v>2726</v>
      </c>
      <c r="K512" s="512"/>
      <c r="L512" s="530">
        <v>43592</v>
      </c>
      <c r="M512" s="530"/>
      <c r="N512" s="530"/>
      <c r="O512" s="530">
        <v>43668</v>
      </c>
      <c r="P512" s="516">
        <v>2</v>
      </c>
      <c r="Q512" s="516">
        <v>2</v>
      </c>
      <c r="R512" s="599">
        <v>509285</v>
      </c>
      <c r="S512" s="523" t="s">
        <v>1937</v>
      </c>
      <c r="T512" s="1055" t="s">
        <v>38</v>
      </c>
      <c r="U512" s="515"/>
      <c r="V512" s="515"/>
      <c r="W512" s="519" t="s">
        <v>2008</v>
      </c>
      <c r="X512" s="120"/>
      <c r="Y512" s="120"/>
      <c r="Z512" s="120"/>
      <c r="AA512" s="120"/>
      <c r="AB512" s="120"/>
      <c r="AC512" s="120"/>
      <c r="AD512"/>
      <c r="AE512" s="186"/>
      <c r="AF512" s="56"/>
    </row>
    <row r="513" spans="1:32" s="1" customFormat="1" ht="25">
      <c r="A513" s="1119"/>
      <c r="B513" s="958" t="s">
        <v>56</v>
      </c>
      <c r="C513" s="966" t="s">
        <v>2727</v>
      </c>
      <c r="D513" s="511" t="s">
        <v>122</v>
      </c>
      <c r="E513" s="511"/>
      <c r="F513" s="511"/>
      <c r="G513" s="511"/>
      <c r="H513" s="511" t="s">
        <v>308</v>
      </c>
      <c r="I513" s="519" t="s">
        <v>47</v>
      </c>
      <c r="J513" s="1578" t="s">
        <v>2728</v>
      </c>
      <c r="K513" s="512"/>
      <c r="L513" s="618">
        <v>43586</v>
      </c>
      <c r="M513" s="618"/>
      <c r="N513" s="618"/>
      <c r="O513" s="530">
        <v>43668</v>
      </c>
      <c r="P513" s="516">
        <v>1</v>
      </c>
      <c r="Q513" s="516">
        <v>1</v>
      </c>
      <c r="R513" s="599">
        <v>46000</v>
      </c>
      <c r="S513" s="523" t="s">
        <v>60</v>
      </c>
      <c r="T513" s="1055" t="s">
        <v>62</v>
      </c>
      <c r="U513" s="515"/>
      <c r="V513" s="515"/>
      <c r="W513" s="533" t="s">
        <v>2408</v>
      </c>
      <c r="X513" s="120"/>
      <c r="Y513" s="120"/>
      <c r="Z513" s="120"/>
      <c r="AA513" s="120"/>
      <c r="AB513" s="120"/>
      <c r="AC513" s="120"/>
      <c r="AD513"/>
      <c r="AE513" s="186"/>
      <c r="AF513" s="56"/>
    </row>
    <row r="514" spans="1:32" s="1" customFormat="1" ht="57.65" customHeight="1">
      <c r="A514" s="1119"/>
      <c r="B514" s="958" t="s">
        <v>56</v>
      </c>
      <c r="C514" s="966" t="s">
        <v>2729</v>
      </c>
      <c r="D514" s="511" t="s">
        <v>57</v>
      </c>
      <c r="E514" s="511"/>
      <c r="F514" s="511"/>
      <c r="G514" s="511"/>
      <c r="H514" s="511" t="s">
        <v>58</v>
      </c>
      <c r="I514" s="519" t="s">
        <v>47</v>
      </c>
      <c r="J514" s="1578" t="s">
        <v>2730</v>
      </c>
      <c r="K514" s="512"/>
      <c r="L514" s="530">
        <v>43647</v>
      </c>
      <c r="M514" s="530"/>
      <c r="N514" s="530"/>
      <c r="O514" s="530">
        <v>43668</v>
      </c>
      <c r="P514" s="516">
        <v>1</v>
      </c>
      <c r="Q514" s="516">
        <v>1</v>
      </c>
      <c r="R514" s="599">
        <v>450000</v>
      </c>
      <c r="S514" s="523" t="s">
        <v>1937</v>
      </c>
      <c r="T514" s="1055" t="s">
        <v>62</v>
      </c>
      <c r="U514" s="515"/>
      <c r="V514" s="515"/>
      <c r="W514" s="533" t="s">
        <v>2417</v>
      </c>
      <c r="X514" s="120"/>
      <c r="Y514" s="120"/>
      <c r="Z514" s="120"/>
      <c r="AA514" s="120"/>
      <c r="AB514" s="120"/>
      <c r="AC514" s="120"/>
      <c r="AD514"/>
      <c r="AE514" s="186"/>
      <c r="AF514"/>
    </row>
    <row r="515" spans="1:32" s="1" customFormat="1" ht="37.5">
      <c r="A515" s="1119"/>
      <c r="B515" s="958" t="s">
        <v>56</v>
      </c>
      <c r="C515" s="966" t="s">
        <v>2731</v>
      </c>
      <c r="D515" s="511" t="s">
        <v>32</v>
      </c>
      <c r="E515" s="511"/>
      <c r="F515" s="511"/>
      <c r="G515" s="511"/>
      <c r="H515" s="511" t="s">
        <v>308</v>
      </c>
      <c r="I515" s="519" t="s">
        <v>47</v>
      </c>
      <c r="J515" s="1578" t="s">
        <v>2732</v>
      </c>
      <c r="K515" s="512"/>
      <c r="L515" s="530">
        <v>43586</v>
      </c>
      <c r="M515" s="530"/>
      <c r="N515" s="530"/>
      <c r="O515" s="530">
        <v>43675</v>
      </c>
      <c r="P515" s="516">
        <v>1</v>
      </c>
      <c r="Q515" s="516">
        <v>1</v>
      </c>
      <c r="R515" s="599">
        <v>85000</v>
      </c>
      <c r="S515" s="523" t="s">
        <v>2110</v>
      </c>
      <c r="T515" s="1055" t="s">
        <v>38</v>
      </c>
      <c r="U515" s="515"/>
      <c r="V515" s="515"/>
      <c r="W515" s="519" t="s">
        <v>2433</v>
      </c>
      <c r="X515" s="120"/>
      <c r="Y515" s="120"/>
      <c r="Z515" s="120"/>
      <c r="AA515" s="120"/>
      <c r="AB515" s="120"/>
      <c r="AC515" s="120"/>
      <c r="AD515"/>
      <c r="AE515" s="186"/>
      <c r="AF515"/>
    </row>
    <row r="516" spans="1:32" s="1" customFormat="1" ht="37.5">
      <c r="A516" s="1119"/>
      <c r="B516" s="958" t="s">
        <v>56</v>
      </c>
      <c r="C516" s="966" t="s">
        <v>2733</v>
      </c>
      <c r="D516" s="511" t="s">
        <v>57</v>
      </c>
      <c r="E516" s="511"/>
      <c r="F516" s="511"/>
      <c r="G516" s="511"/>
      <c r="H516" s="511" t="s">
        <v>58</v>
      </c>
      <c r="I516" s="510" t="s">
        <v>47</v>
      </c>
      <c r="J516" s="1580" t="s">
        <v>2734</v>
      </c>
      <c r="K516" s="533"/>
      <c r="L516" s="530">
        <v>43633</v>
      </c>
      <c r="M516" s="530"/>
      <c r="N516" s="530"/>
      <c r="O516" s="530">
        <v>43675</v>
      </c>
      <c r="P516" s="516">
        <v>5</v>
      </c>
      <c r="Q516" s="516">
        <v>5</v>
      </c>
      <c r="R516" s="599">
        <v>700000</v>
      </c>
      <c r="S516" s="523" t="s">
        <v>1937</v>
      </c>
      <c r="T516" s="1055" t="s">
        <v>310</v>
      </c>
      <c r="U516" s="515"/>
      <c r="V516" s="515"/>
      <c r="W516" s="533" t="s">
        <v>2417</v>
      </c>
      <c r="X516" s="120"/>
      <c r="Y516" s="120"/>
      <c r="Z516" s="120"/>
      <c r="AA516" s="120"/>
      <c r="AB516" s="120"/>
      <c r="AC516" s="120"/>
      <c r="AD516"/>
      <c r="AE516" s="186"/>
      <c r="AF516"/>
    </row>
    <row r="517" spans="1:32" s="1" customFormat="1" ht="72.5">
      <c r="A517" s="1184"/>
      <c r="B517" s="147" t="s">
        <v>44</v>
      </c>
      <c r="C517" s="72" t="s">
        <v>2735</v>
      </c>
      <c r="D517" s="8" t="s">
        <v>32</v>
      </c>
      <c r="E517" s="8"/>
      <c r="F517" s="8"/>
      <c r="G517" s="8"/>
      <c r="H517" s="5" t="s">
        <v>323</v>
      </c>
      <c r="I517" s="5" t="s">
        <v>47</v>
      </c>
      <c r="J517" s="16" t="s">
        <v>324</v>
      </c>
      <c r="K517" s="8"/>
      <c r="L517" s="8"/>
      <c r="M517" s="199">
        <v>43166</v>
      </c>
      <c r="N517" s="199"/>
      <c r="O517" s="199">
        <v>43678</v>
      </c>
      <c r="P517" s="5">
        <v>48</v>
      </c>
      <c r="Q517" s="7" t="s">
        <v>215</v>
      </c>
      <c r="R517" s="18">
        <v>252000</v>
      </c>
      <c r="S517" s="5" t="s">
        <v>91</v>
      </c>
      <c r="T517" s="163" t="s">
        <v>38</v>
      </c>
      <c r="U517" s="4"/>
      <c r="V517" s="4"/>
      <c r="W517" s="5" t="s">
        <v>2736</v>
      </c>
      <c r="X517" s="5" t="s">
        <v>1633</v>
      </c>
      <c r="Y517" s="5" t="s">
        <v>40</v>
      </c>
      <c r="Z517" s="5"/>
      <c r="AA517" s="5"/>
      <c r="AB517" s="199">
        <v>43679</v>
      </c>
      <c r="AC517" s="36" t="s">
        <v>2737</v>
      </c>
      <c r="AE517" s="164">
        <v>63000</v>
      </c>
      <c r="AF517"/>
    </row>
    <row r="518" spans="1:32" s="1" customFormat="1" ht="57.65" customHeight="1">
      <c r="A518" s="1184"/>
      <c r="B518" s="147" t="s">
        <v>44</v>
      </c>
      <c r="C518" s="72" t="s">
        <v>2738</v>
      </c>
      <c r="D518" s="8" t="s">
        <v>32</v>
      </c>
      <c r="E518" s="8"/>
      <c r="F518" s="8"/>
      <c r="G518" s="8"/>
      <c r="H518" s="5" t="s">
        <v>2157</v>
      </c>
      <c r="I518" s="5" t="s">
        <v>47</v>
      </c>
      <c r="J518" s="16" t="s">
        <v>2158</v>
      </c>
      <c r="K518" s="16"/>
      <c r="L518" s="16"/>
      <c r="M518" s="182">
        <v>43405</v>
      </c>
      <c r="N518" s="182"/>
      <c r="O518" s="182">
        <v>43678</v>
      </c>
      <c r="P518" s="12">
        <v>36</v>
      </c>
      <c r="Q518" s="5">
        <v>36</v>
      </c>
      <c r="R518" s="18">
        <v>179938.85</v>
      </c>
      <c r="S518" s="5" t="s">
        <v>2110</v>
      </c>
      <c r="T518" s="27" t="s">
        <v>612</v>
      </c>
      <c r="U518" s="4"/>
      <c r="V518" s="4"/>
      <c r="W518" s="5" t="s">
        <v>2159</v>
      </c>
      <c r="X518" s="5" t="s">
        <v>715</v>
      </c>
      <c r="Y518" s="5" t="s">
        <v>40</v>
      </c>
      <c r="Z518" s="5"/>
      <c r="AA518" s="8"/>
      <c r="AB518" s="199">
        <v>43691</v>
      </c>
      <c r="AC518" s="8" t="s">
        <v>2739</v>
      </c>
      <c r="AD518"/>
      <c r="AE518" s="228">
        <f>R518/3</f>
        <v>59979.616666666669</v>
      </c>
    </row>
    <row r="519" spans="1:32" s="1" customFormat="1" ht="57.65" customHeight="1">
      <c r="A519" s="1184"/>
      <c r="B519" s="147" t="s">
        <v>44</v>
      </c>
      <c r="C519" s="72" t="s">
        <v>2740</v>
      </c>
      <c r="D519" s="5" t="s">
        <v>32</v>
      </c>
      <c r="E519" s="5"/>
      <c r="F519" s="5"/>
      <c r="G519" s="5"/>
      <c r="H519" s="5" t="s">
        <v>33</v>
      </c>
      <c r="I519" s="5" t="s">
        <v>47</v>
      </c>
      <c r="J519" s="16" t="s">
        <v>1592</v>
      </c>
      <c r="K519" s="16"/>
      <c r="L519" s="16"/>
      <c r="M519" s="182">
        <v>43466</v>
      </c>
      <c r="N519" s="182"/>
      <c r="O519" s="182">
        <v>43678</v>
      </c>
      <c r="P519" s="12">
        <v>12</v>
      </c>
      <c r="Q519" s="12">
        <v>12</v>
      </c>
      <c r="R519" s="18">
        <v>9470</v>
      </c>
      <c r="S519" s="5" t="s">
        <v>176</v>
      </c>
      <c r="T519" s="26" t="s">
        <v>38</v>
      </c>
      <c r="U519" s="4"/>
      <c r="V519" s="4"/>
      <c r="W519" s="5" t="s">
        <v>2741</v>
      </c>
      <c r="X519" s="5" t="s">
        <v>1633</v>
      </c>
      <c r="Y519" s="5" t="s">
        <v>40</v>
      </c>
      <c r="Z519" s="5"/>
      <c r="AA519" s="5"/>
      <c r="AB519" s="199">
        <v>43789</v>
      </c>
      <c r="AC519" s="36" t="s">
        <v>1990</v>
      </c>
      <c r="AE519" s="224">
        <v>10000</v>
      </c>
      <c r="AF519" s="56"/>
    </row>
    <row r="520" spans="1:32" s="1" customFormat="1" ht="43.4" customHeight="1">
      <c r="A520" s="1184"/>
      <c r="B520" s="147" t="s">
        <v>44</v>
      </c>
      <c r="C520" s="72" t="s">
        <v>2742</v>
      </c>
      <c r="D520" s="8" t="s">
        <v>32</v>
      </c>
      <c r="E520" s="8"/>
      <c r="F520" s="8"/>
      <c r="G520" s="8"/>
      <c r="H520" s="5" t="s">
        <v>1965</v>
      </c>
      <c r="I520" s="5" t="s">
        <v>246</v>
      </c>
      <c r="J520" s="16" t="s">
        <v>319</v>
      </c>
      <c r="K520" s="8"/>
      <c r="L520" s="8"/>
      <c r="M520" s="199">
        <v>43479</v>
      </c>
      <c r="N520" s="199"/>
      <c r="O520" s="14">
        <v>43678</v>
      </c>
      <c r="P520" s="5">
        <v>24</v>
      </c>
      <c r="Q520" s="7" t="s">
        <v>1345</v>
      </c>
      <c r="R520" s="18">
        <v>67000</v>
      </c>
      <c r="S520" s="5" t="s">
        <v>84</v>
      </c>
      <c r="T520" s="163" t="s">
        <v>38</v>
      </c>
      <c r="U520" s="4"/>
      <c r="V520" s="4"/>
      <c r="W520" s="5" t="s">
        <v>2743</v>
      </c>
      <c r="X520" s="5" t="s">
        <v>1633</v>
      </c>
      <c r="Y520" s="5" t="s">
        <v>40</v>
      </c>
      <c r="Z520" s="5"/>
      <c r="AA520" s="5"/>
      <c r="AB520" s="7" t="s">
        <v>2744</v>
      </c>
      <c r="AC520" s="8" t="s">
        <v>2745</v>
      </c>
      <c r="AE520" s="164">
        <v>16000</v>
      </c>
    </row>
    <row r="521" spans="1:32" s="1" customFormat="1" ht="43.4" customHeight="1">
      <c r="A521" s="1184"/>
      <c r="B521" s="147" t="s">
        <v>44</v>
      </c>
      <c r="C521" s="72" t="s">
        <v>45</v>
      </c>
      <c r="D521" s="9" t="s">
        <v>32</v>
      </c>
      <c r="E521" s="9"/>
      <c r="F521" s="9"/>
      <c r="G521" s="9"/>
      <c r="H521" s="5" t="s">
        <v>127</v>
      </c>
      <c r="I521" s="5" t="s">
        <v>47</v>
      </c>
      <c r="J521" s="16" t="s">
        <v>2746</v>
      </c>
      <c r="K521" s="8"/>
      <c r="L521" s="8"/>
      <c r="M521" s="199">
        <v>43535</v>
      </c>
      <c r="N521" s="199"/>
      <c r="O521" s="199">
        <v>43678</v>
      </c>
      <c r="P521" s="5">
        <v>24</v>
      </c>
      <c r="Q521" s="5">
        <v>24</v>
      </c>
      <c r="R521" s="41">
        <v>0</v>
      </c>
      <c r="S521" s="5" t="s">
        <v>529</v>
      </c>
      <c r="T521" s="163" t="s">
        <v>38</v>
      </c>
      <c r="U521" s="4"/>
      <c r="V521" s="4"/>
      <c r="W521" s="12" t="s">
        <v>2747</v>
      </c>
      <c r="X521" s="5" t="s">
        <v>413</v>
      </c>
      <c r="Y521" s="5" t="s">
        <v>40</v>
      </c>
      <c r="Z521" s="5"/>
      <c r="AA521" s="5"/>
      <c r="AB521" s="199">
        <v>43502</v>
      </c>
      <c r="AC521" s="36" t="s">
        <v>2748</v>
      </c>
      <c r="AE521" s="164"/>
    </row>
    <row r="522" spans="1:32" s="1" customFormat="1" ht="216" customHeight="1">
      <c r="A522" s="1184"/>
      <c r="B522" s="147" t="s">
        <v>44</v>
      </c>
      <c r="C522" s="72" t="s">
        <v>2640</v>
      </c>
      <c r="D522" s="8" t="s">
        <v>32</v>
      </c>
      <c r="E522" s="8"/>
      <c r="F522" s="8"/>
      <c r="G522" s="8"/>
      <c r="H522" s="5" t="s">
        <v>127</v>
      </c>
      <c r="I522" s="5" t="s">
        <v>47</v>
      </c>
      <c r="J522" s="16" t="s">
        <v>2749</v>
      </c>
      <c r="K522" s="8"/>
      <c r="L522" s="8"/>
      <c r="M522" s="199">
        <v>43572</v>
      </c>
      <c r="N522" s="199"/>
      <c r="O522" s="199">
        <v>43678</v>
      </c>
      <c r="P522" s="12">
        <v>12</v>
      </c>
      <c r="Q522" s="12" t="s">
        <v>418</v>
      </c>
      <c r="R522" s="18">
        <v>100000</v>
      </c>
      <c r="S522" s="12" t="s">
        <v>84</v>
      </c>
      <c r="T522" s="27" t="s">
        <v>38</v>
      </c>
      <c r="U522" s="174"/>
      <c r="V522" s="174"/>
      <c r="W522" s="5" t="s">
        <v>2750</v>
      </c>
      <c r="X522" s="5" t="s">
        <v>86</v>
      </c>
      <c r="Y522" s="5" t="s">
        <v>40</v>
      </c>
      <c r="Z522" s="5"/>
      <c r="AA522" s="5"/>
      <c r="AB522" s="2801">
        <v>43657</v>
      </c>
      <c r="AC522" s="8" t="s">
        <v>409</v>
      </c>
      <c r="AE522" s="164">
        <v>100000</v>
      </c>
    </row>
    <row r="523" spans="1:32" s="1" customFormat="1" ht="130.5">
      <c r="A523" s="1184"/>
      <c r="B523" s="147" t="s">
        <v>44</v>
      </c>
      <c r="C523" s="72"/>
      <c r="D523" s="9" t="s">
        <v>32</v>
      </c>
      <c r="E523" s="9"/>
      <c r="F523" s="9"/>
      <c r="G523" s="9"/>
      <c r="H523" s="5" t="s">
        <v>304</v>
      </c>
      <c r="I523" s="5" t="s">
        <v>47</v>
      </c>
      <c r="J523" s="16" t="s">
        <v>2751</v>
      </c>
      <c r="K523" s="8"/>
      <c r="L523" s="8"/>
      <c r="M523" s="14">
        <v>43678</v>
      </c>
      <c r="N523" s="14"/>
      <c r="O523" s="14">
        <v>43678</v>
      </c>
      <c r="P523" s="12">
        <v>12</v>
      </c>
      <c r="Q523" s="5">
        <v>12</v>
      </c>
      <c r="R523" s="18">
        <v>1300</v>
      </c>
      <c r="S523" s="5" t="s">
        <v>37</v>
      </c>
      <c r="T523" s="26" t="s">
        <v>38</v>
      </c>
      <c r="U523" s="4"/>
      <c r="V523" s="4"/>
      <c r="W523" s="12" t="s">
        <v>2752</v>
      </c>
      <c r="X523" s="5" t="s">
        <v>94</v>
      </c>
      <c r="Y523" s="5" t="s">
        <v>727</v>
      </c>
      <c r="Z523" s="5"/>
      <c r="AA523" s="5"/>
      <c r="AB523" s="199">
        <v>43735</v>
      </c>
      <c r="AC523" s="8" t="s">
        <v>2753</v>
      </c>
      <c r="AE523" s="164">
        <v>1300</v>
      </c>
    </row>
    <row r="524" spans="1:32" s="1" customFormat="1" ht="29.15" customHeight="1">
      <c r="A524" s="1119"/>
      <c r="B524" s="958" t="s">
        <v>56</v>
      </c>
      <c r="C524" s="966" t="s">
        <v>2754</v>
      </c>
      <c r="D524" s="511" t="s">
        <v>32</v>
      </c>
      <c r="E524" s="511"/>
      <c r="F524" s="511"/>
      <c r="G524" s="511"/>
      <c r="H524" s="511" t="s">
        <v>308</v>
      </c>
      <c r="I524" s="519" t="s">
        <v>47</v>
      </c>
      <c r="J524" s="1578" t="s">
        <v>2755</v>
      </c>
      <c r="K524" s="512"/>
      <c r="L524" s="530">
        <v>43466</v>
      </c>
      <c r="M524" s="530"/>
      <c r="N524" s="530"/>
      <c r="O524" s="530">
        <v>43678</v>
      </c>
      <c r="P524" s="516">
        <v>48</v>
      </c>
      <c r="Q524" s="516" t="s">
        <v>2756</v>
      </c>
      <c r="R524" s="599" t="s">
        <v>2757</v>
      </c>
      <c r="S524" s="523" t="s">
        <v>176</v>
      </c>
      <c r="T524" s="1055" t="s">
        <v>38</v>
      </c>
      <c r="U524" s="515"/>
      <c r="V524" s="515"/>
      <c r="W524" s="519" t="s">
        <v>714</v>
      </c>
      <c r="X524" s="120"/>
      <c r="Y524" s="120"/>
      <c r="Z524" s="120"/>
      <c r="AA524" s="120"/>
      <c r="AB524" s="120"/>
      <c r="AC524" s="120"/>
      <c r="AD524"/>
      <c r="AE524" s="186"/>
    </row>
    <row r="525" spans="1:32" s="1" customFormat="1" ht="37.5">
      <c r="A525" s="1119"/>
      <c r="B525" s="958" t="s">
        <v>56</v>
      </c>
      <c r="C525" s="966" t="s">
        <v>2758</v>
      </c>
      <c r="D525" s="511" t="s">
        <v>57</v>
      </c>
      <c r="E525" s="511"/>
      <c r="F525" s="511"/>
      <c r="G525" s="511"/>
      <c r="H525" s="511" t="s">
        <v>58</v>
      </c>
      <c r="I525" s="519" t="s">
        <v>47</v>
      </c>
      <c r="J525" s="1578" t="s">
        <v>2759</v>
      </c>
      <c r="K525" s="512"/>
      <c r="L525" s="530">
        <v>43598</v>
      </c>
      <c r="M525" s="530"/>
      <c r="N525" s="530"/>
      <c r="O525" s="530">
        <v>43678</v>
      </c>
      <c r="P525" s="516">
        <v>1</v>
      </c>
      <c r="Q525" s="516">
        <v>1</v>
      </c>
      <c r="R525" s="599">
        <f>225569+100000</f>
        <v>325569</v>
      </c>
      <c r="S525" s="533" t="s">
        <v>1937</v>
      </c>
      <c r="T525" s="1055" t="s">
        <v>62</v>
      </c>
      <c r="U525" s="515"/>
      <c r="V525" s="515"/>
      <c r="W525" s="533" t="s">
        <v>2417</v>
      </c>
      <c r="X525" s="120"/>
      <c r="Y525" s="120"/>
      <c r="Z525" s="120"/>
      <c r="AA525" s="120"/>
      <c r="AB525" s="120"/>
      <c r="AC525" s="120"/>
      <c r="AD525"/>
      <c r="AE525" s="186"/>
    </row>
    <row r="526" spans="1:32" s="1" customFormat="1" ht="37.5">
      <c r="A526" s="1119"/>
      <c r="B526" s="958" t="s">
        <v>56</v>
      </c>
      <c r="C526" s="966" t="s">
        <v>991</v>
      </c>
      <c r="D526" s="511" t="s">
        <v>57</v>
      </c>
      <c r="E526" s="511"/>
      <c r="F526" s="511"/>
      <c r="G526" s="511"/>
      <c r="H526" s="511" t="s">
        <v>58</v>
      </c>
      <c r="I526" s="519" t="s">
        <v>47</v>
      </c>
      <c r="J526" s="1578" t="s">
        <v>2760</v>
      </c>
      <c r="K526" s="512"/>
      <c r="L526" s="530">
        <v>43556</v>
      </c>
      <c r="M526" s="530"/>
      <c r="N526" s="530"/>
      <c r="O526" s="530">
        <v>43678</v>
      </c>
      <c r="P526" s="516" t="s">
        <v>60</v>
      </c>
      <c r="Q526" s="516" t="s">
        <v>60</v>
      </c>
      <c r="R526" s="599">
        <v>1200000</v>
      </c>
      <c r="S526" s="523" t="s">
        <v>60</v>
      </c>
      <c r="T526" s="1055" t="s">
        <v>310</v>
      </c>
      <c r="U526" s="515"/>
      <c r="V526" s="515"/>
      <c r="W526" s="533" t="s">
        <v>2417</v>
      </c>
      <c r="X526" s="120"/>
      <c r="Y526" s="120"/>
      <c r="Z526" s="120"/>
      <c r="AA526" s="120"/>
      <c r="AB526" s="120"/>
      <c r="AC526" s="120"/>
      <c r="AD526"/>
      <c r="AE526" s="186"/>
    </row>
    <row r="527" spans="1:32" s="1" customFormat="1" ht="57.65" customHeight="1">
      <c r="A527" s="1184"/>
      <c r="B527" s="147" t="s">
        <v>44</v>
      </c>
      <c r="C527" s="72" t="s">
        <v>2761</v>
      </c>
      <c r="D527" s="8" t="s">
        <v>32</v>
      </c>
      <c r="E527" s="8"/>
      <c r="F527" s="8"/>
      <c r="G527" s="8"/>
      <c r="H527" s="5" t="s">
        <v>33</v>
      </c>
      <c r="I527" s="12" t="s">
        <v>34</v>
      </c>
      <c r="J527" s="16" t="s">
        <v>2762</v>
      </c>
      <c r="K527" s="16"/>
      <c r="L527" s="16"/>
      <c r="M527" s="182">
        <v>43391</v>
      </c>
      <c r="N527" s="182"/>
      <c r="O527" s="182">
        <v>43681</v>
      </c>
      <c r="P527" s="12">
        <v>12</v>
      </c>
      <c r="Q527" s="13" t="s">
        <v>50</v>
      </c>
      <c r="R527" s="18">
        <v>42500</v>
      </c>
      <c r="S527" s="5" t="s">
        <v>130</v>
      </c>
      <c r="T527" s="27" t="s">
        <v>38</v>
      </c>
      <c r="U527" s="4"/>
      <c r="V527" s="4"/>
      <c r="W527" s="5" t="s">
        <v>2763</v>
      </c>
      <c r="X527" s="5" t="s">
        <v>86</v>
      </c>
      <c r="Y527" s="5" t="s">
        <v>40</v>
      </c>
      <c r="Z527" s="5"/>
      <c r="AA527" s="12"/>
      <c r="AB527" s="199">
        <v>43690</v>
      </c>
      <c r="AC527" s="8" t="s">
        <v>89</v>
      </c>
      <c r="AE527" s="224">
        <v>3600</v>
      </c>
    </row>
    <row r="528" spans="1:32" s="1" customFormat="1" ht="43.4" customHeight="1">
      <c r="A528" s="1119"/>
      <c r="B528" s="958" t="s">
        <v>56</v>
      </c>
      <c r="C528" s="966" t="s">
        <v>2764</v>
      </c>
      <c r="D528" s="511" t="s">
        <v>57</v>
      </c>
      <c r="E528" s="511"/>
      <c r="F528" s="511"/>
      <c r="G528" s="511"/>
      <c r="H528" s="511" t="s">
        <v>58</v>
      </c>
      <c r="I528" s="519" t="s">
        <v>47</v>
      </c>
      <c r="J528" s="1578" t="s">
        <v>2765</v>
      </c>
      <c r="K528" s="512"/>
      <c r="L528" s="530">
        <v>43572</v>
      </c>
      <c r="M528" s="530"/>
      <c r="N528" s="530"/>
      <c r="O528" s="530">
        <v>43682</v>
      </c>
      <c r="P528" s="516">
        <v>2</v>
      </c>
      <c r="Q528" s="516">
        <v>2</v>
      </c>
      <c r="R528" s="599">
        <v>100000</v>
      </c>
      <c r="S528" s="523" t="s">
        <v>60</v>
      </c>
      <c r="T528" s="1055" t="s">
        <v>62</v>
      </c>
      <c r="U528" s="515"/>
      <c r="V528" s="515"/>
      <c r="W528" s="533" t="s">
        <v>2417</v>
      </c>
      <c r="X528" s="120"/>
      <c r="Y528" s="120"/>
      <c r="Z528" s="120"/>
      <c r="AA528" s="120"/>
      <c r="AB528" s="120"/>
      <c r="AC528" s="120"/>
      <c r="AD528"/>
      <c r="AE528" s="186"/>
    </row>
    <row r="529" spans="1:32" s="296" customFormat="1" ht="72.5">
      <c r="A529" s="1184"/>
      <c r="B529" s="147" t="s">
        <v>44</v>
      </c>
      <c r="C529" s="72" t="s">
        <v>342</v>
      </c>
      <c r="D529" s="5" t="s">
        <v>57</v>
      </c>
      <c r="E529" s="5"/>
      <c r="F529" s="5"/>
      <c r="G529" s="5"/>
      <c r="H529" s="2751" t="s">
        <v>2766</v>
      </c>
      <c r="I529" s="2763" t="s">
        <v>47</v>
      </c>
      <c r="J529" s="16" t="s">
        <v>2767</v>
      </c>
      <c r="K529" s="16"/>
      <c r="L529" s="16"/>
      <c r="M529" s="2764">
        <v>43486</v>
      </c>
      <c r="N529" s="2764"/>
      <c r="O529" s="2764">
        <v>43689</v>
      </c>
      <c r="P529" s="2763">
        <v>36</v>
      </c>
      <c r="Q529" s="2751" t="s">
        <v>1538</v>
      </c>
      <c r="R529" s="18">
        <v>45400</v>
      </c>
      <c r="S529" s="2751" t="s">
        <v>84</v>
      </c>
      <c r="T529" s="2837" t="s">
        <v>38</v>
      </c>
      <c r="U529" s="4"/>
      <c r="V529" s="4"/>
      <c r="W529" s="2751" t="s">
        <v>2768</v>
      </c>
      <c r="X529" s="5" t="s">
        <v>543</v>
      </c>
      <c r="Y529" s="5" t="s">
        <v>40</v>
      </c>
      <c r="Z529" s="5"/>
      <c r="AA529" s="5"/>
      <c r="AB529" s="199">
        <v>43728</v>
      </c>
      <c r="AC529" s="2758" t="s">
        <v>2769</v>
      </c>
      <c r="AD529" s="1"/>
      <c r="AE529" s="2867" t="s">
        <v>45</v>
      </c>
      <c r="AF529" s="1"/>
    </row>
    <row r="530" spans="1:32" s="1" customFormat="1" ht="173.15" customHeight="1">
      <c r="A530" s="1119"/>
      <c r="B530" s="958" t="s">
        <v>56</v>
      </c>
      <c r="C530" s="966" t="s">
        <v>991</v>
      </c>
      <c r="D530" s="511" t="s">
        <v>57</v>
      </c>
      <c r="E530" s="511"/>
      <c r="F530" s="511"/>
      <c r="G530" s="511"/>
      <c r="H530" s="511" t="s">
        <v>58</v>
      </c>
      <c r="I530" s="519" t="s">
        <v>47</v>
      </c>
      <c r="J530" s="1578" t="s">
        <v>2770</v>
      </c>
      <c r="K530" s="512"/>
      <c r="L530" s="530">
        <v>43605</v>
      </c>
      <c r="M530" s="530"/>
      <c r="N530" s="530"/>
      <c r="O530" s="530">
        <v>43689</v>
      </c>
      <c r="P530" s="516">
        <v>1</v>
      </c>
      <c r="Q530" s="516">
        <v>1</v>
      </c>
      <c r="R530" s="599">
        <v>152907</v>
      </c>
      <c r="S530" s="523" t="s">
        <v>1937</v>
      </c>
      <c r="T530" s="1055" t="s">
        <v>38</v>
      </c>
      <c r="U530" s="515"/>
      <c r="V530" s="515"/>
      <c r="W530" s="519" t="s">
        <v>2771</v>
      </c>
      <c r="X530" s="120"/>
      <c r="Y530" s="120"/>
      <c r="Z530" s="120"/>
      <c r="AA530" s="120"/>
      <c r="AB530" s="120"/>
      <c r="AC530" s="120"/>
      <c r="AD530"/>
      <c r="AE530" s="186"/>
    </row>
    <row r="531" spans="1:32" s="296" customFormat="1" ht="62.5">
      <c r="A531" s="1119"/>
      <c r="B531" s="958" t="s">
        <v>56</v>
      </c>
      <c r="C531" s="966" t="s">
        <v>991</v>
      </c>
      <c r="D531" s="511" t="s">
        <v>57</v>
      </c>
      <c r="E531" s="511"/>
      <c r="F531" s="511"/>
      <c r="G531" s="511"/>
      <c r="H531" s="511" t="s">
        <v>58</v>
      </c>
      <c r="I531" s="519" t="s">
        <v>47</v>
      </c>
      <c r="J531" s="1578" t="s">
        <v>2772</v>
      </c>
      <c r="K531" s="512"/>
      <c r="L531" s="530">
        <v>43598</v>
      </c>
      <c r="M531" s="530"/>
      <c r="N531" s="530"/>
      <c r="O531" s="530">
        <v>43689</v>
      </c>
      <c r="P531" s="516">
        <v>1</v>
      </c>
      <c r="Q531" s="516">
        <v>1</v>
      </c>
      <c r="R531" s="599">
        <v>315035</v>
      </c>
      <c r="S531" s="523" t="s">
        <v>1937</v>
      </c>
      <c r="T531" s="1055" t="s">
        <v>38</v>
      </c>
      <c r="U531" s="515"/>
      <c r="V531" s="515"/>
      <c r="W531" s="519" t="s">
        <v>2771</v>
      </c>
      <c r="X531" s="120"/>
      <c r="Y531" s="120"/>
      <c r="Z531" s="120"/>
      <c r="AA531" s="120"/>
      <c r="AB531" s="120"/>
      <c r="AC531" s="120"/>
      <c r="AD531"/>
      <c r="AE531" s="186"/>
      <c r="AF531" s="1"/>
    </row>
    <row r="532" spans="1:32" s="296" customFormat="1" ht="37.5">
      <c r="A532" s="1119"/>
      <c r="B532" s="958" t="s">
        <v>56</v>
      </c>
      <c r="C532" s="966" t="s">
        <v>2773</v>
      </c>
      <c r="D532" s="511" t="s">
        <v>57</v>
      </c>
      <c r="E532" s="511"/>
      <c r="F532" s="511"/>
      <c r="G532" s="511"/>
      <c r="H532" s="511" t="s">
        <v>58</v>
      </c>
      <c r="I532" s="519" t="s">
        <v>47</v>
      </c>
      <c r="J532" s="1578" t="s">
        <v>2774</v>
      </c>
      <c r="K532" s="512"/>
      <c r="L532" s="530">
        <v>43654</v>
      </c>
      <c r="M532" s="530"/>
      <c r="N532" s="530"/>
      <c r="O532" s="530">
        <v>43689</v>
      </c>
      <c r="P532" s="516">
        <v>1</v>
      </c>
      <c r="Q532" s="516">
        <v>1</v>
      </c>
      <c r="R532" s="599">
        <v>15000</v>
      </c>
      <c r="S532" s="523" t="s">
        <v>176</v>
      </c>
      <c r="T532" s="1055" t="s">
        <v>38</v>
      </c>
      <c r="U532" s="515"/>
      <c r="V532" s="515"/>
      <c r="W532" s="519" t="s">
        <v>2775</v>
      </c>
      <c r="X532" s="120"/>
      <c r="Y532" s="120"/>
      <c r="Z532" s="120"/>
      <c r="AA532" s="120"/>
      <c r="AB532" s="120"/>
      <c r="AC532" s="120"/>
      <c r="AD532"/>
      <c r="AE532" s="186"/>
      <c r="AF532" s="1"/>
    </row>
    <row r="533" spans="1:32" s="296" customFormat="1" ht="37.5">
      <c r="A533" s="1119"/>
      <c r="B533" s="958" t="s">
        <v>56</v>
      </c>
      <c r="C533" s="966" t="s">
        <v>2776</v>
      </c>
      <c r="D533" s="511" t="s">
        <v>57</v>
      </c>
      <c r="E533" s="511"/>
      <c r="F533" s="511"/>
      <c r="G533" s="511"/>
      <c r="H533" s="511" t="s">
        <v>58</v>
      </c>
      <c r="I533" s="519" t="s">
        <v>47</v>
      </c>
      <c r="J533" s="1578" t="s">
        <v>2777</v>
      </c>
      <c r="K533" s="512"/>
      <c r="L533" s="530">
        <v>43640</v>
      </c>
      <c r="M533" s="530"/>
      <c r="N533" s="530"/>
      <c r="O533" s="530">
        <v>43689</v>
      </c>
      <c r="P533" s="516">
        <v>1</v>
      </c>
      <c r="Q533" s="516">
        <v>1</v>
      </c>
      <c r="R533" s="599">
        <v>200000</v>
      </c>
      <c r="S533" s="523" t="s">
        <v>1937</v>
      </c>
      <c r="T533" s="1055" t="s">
        <v>62</v>
      </c>
      <c r="U533" s="515"/>
      <c r="V533" s="515"/>
      <c r="W533" s="533" t="s">
        <v>2417</v>
      </c>
      <c r="X533" s="120"/>
      <c r="Y533" s="120"/>
      <c r="Z533" s="120"/>
      <c r="AA533" s="120"/>
      <c r="AB533" s="120"/>
      <c r="AC533" s="120"/>
      <c r="AD533"/>
      <c r="AE533" s="186"/>
      <c r="AF533" s="1"/>
    </row>
    <row r="534" spans="1:32" s="296" customFormat="1" ht="37.5">
      <c r="A534" s="1119"/>
      <c r="B534" s="958" t="s">
        <v>56</v>
      </c>
      <c r="C534" s="966" t="s">
        <v>2778</v>
      </c>
      <c r="D534" s="511" t="s">
        <v>57</v>
      </c>
      <c r="E534" s="511"/>
      <c r="F534" s="511"/>
      <c r="G534" s="511"/>
      <c r="H534" s="511" t="s">
        <v>58</v>
      </c>
      <c r="I534" s="519" t="s">
        <v>47</v>
      </c>
      <c r="J534" s="1578" t="s">
        <v>2779</v>
      </c>
      <c r="K534" s="512"/>
      <c r="L534" s="530">
        <v>43649</v>
      </c>
      <c r="M534" s="530"/>
      <c r="N534" s="530"/>
      <c r="O534" s="530">
        <v>43689</v>
      </c>
      <c r="P534" s="516">
        <v>1</v>
      </c>
      <c r="Q534" s="516">
        <v>1</v>
      </c>
      <c r="R534" s="599">
        <v>10000</v>
      </c>
      <c r="S534" s="523" t="s">
        <v>1937</v>
      </c>
      <c r="T534" s="1055" t="s">
        <v>2455</v>
      </c>
      <c r="U534" s="515"/>
      <c r="V534" s="515"/>
      <c r="W534" s="533" t="s">
        <v>2417</v>
      </c>
      <c r="X534" s="120"/>
      <c r="Y534" s="120"/>
      <c r="Z534" s="120"/>
      <c r="AA534" s="120"/>
      <c r="AB534" s="120"/>
      <c r="AC534" s="120"/>
      <c r="AD534"/>
      <c r="AE534" s="186"/>
      <c r="AF534" s="1"/>
    </row>
    <row r="535" spans="1:32" s="99" customFormat="1" ht="29.15" customHeight="1">
      <c r="A535" s="1119"/>
      <c r="B535" s="958" t="s">
        <v>56</v>
      </c>
      <c r="C535" s="966" t="s">
        <v>991</v>
      </c>
      <c r="D535" s="511" t="s">
        <v>57</v>
      </c>
      <c r="E535" s="511"/>
      <c r="F535" s="511"/>
      <c r="G535" s="511"/>
      <c r="H535" s="511" t="s">
        <v>58</v>
      </c>
      <c r="I535" s="519" t="s">
        <v>47</v>
      </c>
      <c r="J535" s="1578" t="s">
        <v>2780</v>
      </c>
      <c r="K535" s="512"/>
      <c r="L535" s="530">
        <v>43626</v>
      </c>
      <c r="M535" s="530"/>
      <c r="N535" s="530"/>
      <c r="O535" s="530">
        <v>43689</v>
      </c>
      <c r="P535" s="516">
        <v>1</v>
      </c>
      <c r="Q535" s="516">
        <v>1</v>
      </c>
      <c r="R535" s="599">
        <v>355000</v>
      </c>
      <c r="S535" s="523" t="s">
        <v>1189</v>
      </c>
      <c r="T535" s="1055" t="s">
        <v>62</v>
      </c>
      <c r="U535" s="515"/>
      <c r="V535" s="515"/>
      <c r="W535" s="533" t="s">
        <v>2417</v>
      </c>
      <c r="X535" s="120"/>
      <c r="Y535" s="120"/>
      <c r="Z535" s="120"/>
      <c r="AA535" s="120"/>
      <c r="AB535" s="120"/>
      <c r="AC535" s="120"/>
      <c r="AD535"/>
      <c r="AE535" s="186"/>
      <c r="AF535" s="1"/>
    </row>
    <row r="536" spans="1:32" s="1" customFormat="1" ht="57.65" customHeight="1">
      <c r="A536" s="1119"/>
      <c r="B536" s="958" t="s">
        <v>56</v>
      </c>
      <c r="C536" s="966" t="s">
        <v>2781</v>
      </c>
      <c r="D536" s="511" t="s">
        <v>32</v>
      </c>
      <c r="E536" s="511"/>
      <c r="F536" s="511"/>
      <c r="G536" s="511"/>
      <c r="H536" s="511" t="s">
        <v>308</v>
      </c>
      <c r="I536" s="519" t="s">
        <v>47</v>
      </c>
      <c r="J536" s="1578" t="s">
        <v>2782</v>
      </c>
      <c r="K536" s="512"/>
      <c r="L536" s="530">
        <v>43252</v>
      </c>
      <c r="M536" s="530"/>
      <c r="N536" s="621"/>
      <c r="O536" s="621">
        <v>43690</v>
      </c>
      <c r="P536" s="516">
        <v>15</v>
      </c>
      <c r="Q536" s="516">
        <v>15</v>
      </c>
      <c r="R536" s="599">
        <v>3600000</v>
      </c>
      <c r="S536" s="523" t="s">
        <v>176</v>
      </c>
      <c r="T536" s="1055" t="s">
        <v>38</v>
      </c>
      <c r="U536" s="515"/>
      <c r="V536" s="515"/>
      <c r="W536" s="519" t="s">
        <v>1889</v>
      </c>
      <c r="X536" s="120"/>
      <c r="Y536" s="120"/>
      <c r="Z536" s="120"/>
      <c r="AA536" s="120"/>
      <c r="AB536" s="120"/>
      <c r="AC536" s="120"/>
      <c r="AD536"/>
      <c r="AE536" s="186"/>
    </row>
    <row r="537" spans="1:32" s="1" customFormat="1" ht="29.15" customHeight="1">
      <c r="A537" s="1119"/>
      <c r="B537" s="958" t="s">
        <v>56</v>
      </c>
      <c r="C537" s="966" t="s">
        <v>2783</v>
      </c>
      <c r="D537" s="511" t="s">
        <v>122</v>
      </c>
      <c r="E537" s="511"/>
      <c r="F537" s="511"/>
      <c r="G537" s="511"/>
      <c r="H537" s="511" t="s">
        <v>308</v>
      </c>
      <c r="I537" s="519" t="s">
        <v>47</v>
      </c>
      <c r="J537" s="1578" t="s">
        <v>2784</v>
      </c>
      <c r="K537" s="512"/>
      <c r="L537" s="530">
        <v>43588</v>
      </c>
      <c r="M537" s="530"/>
      <c r="N537" s="530"/>
      <c r="O537" s="530">
        <v>43694</v>
      </c>
      <c r="P537" s="516">
        <v>1</v>
      </c>
      <c r="Q537" s="516">
        <v>1</v>
      </c>
      <c r="R537" s="599">
        <v>60000</v>
      </c>
      <c r="S537" s="523" t="s">
        <v>2110</v>
      </c>
      <c r="T537" s="1055" t="s">
        <v>62</v>
      </c>
      <c r="U537" s="515"/>
      <c r="V537" s="515"/>
      <c r="W537" s="533" t="s">
        <v>2408</v>
      </c>
      <c r="X537" s="120"/>
      <c r="Y537" s="120"/>
      <c r="Z537" s="120"/>
      <c r="AA537" s="120"/>
      <c r="AB537" s="120"/>
      <c r="AC537" s="120"/>
      <c r="AD537"/>
      <c r="AE537" s="186"/>
    </row>
    <row r="538" spans="1:32" s="1" customFormat="1" ht="43.4" customHeight="1">
      <c r="A538" s="1119"/>
      <c r="B538" s="958" t="s">
        <v>56</v>
      </c>
      <c r="C538" s="966" t="s">
        <v>2785</v>
      </c>
      <c r="D538" s="511" t="s">
        <v>57</v>
      </c>
      <c r="E538" s="511"/>
      <c r="F538" s="511"/>
      <c r="G538" s="511"/>
      <c r="H538" s="511" t="s">
        <v>58</v>
      </c>
      <c r="I538" s="519" t="s">
        <v>47</v>
      </c>
      <c r="J538" s="1578" t="s">
        <v>2786</v>
      </c>
      <c r="K538" s="512"/>
      <c r="L538" s="530">
        <v>43633</v>
      </c>
      <c r="M538" s="530"/>
      <c r="N538" s="530"/>
      <c r="O538" s="530">
        <v>43696</v>
      </c>
      <c r="P538" s="516">
        <v>1</v>
      </c>
      <c r="Q538" s="516">
        <v>1</v>
      </c>
      <c r="R538" s="599">
        <v>80000</v>
      </c>
      <c r="S538" s="523" t="s">
        <v>1937</v>
      </c>
      <c r="T538" s="1055" t="s">
        <v>62</v>
      </c>
      <c r="U538" s="515"/>
      <c r="V538" s="515"/>
      <c r="W538" s="533" t="s">
        <v>2417</v>
      </c>
      <c r="X538" s="120"/>
      <c r="Y538" s="120"/>
      <c r="Z538" s="120"/>
      <c r="AA538" s="120"/>
      <c r="AB538" s="120"/>
      <c r="AC538" s="120"/>
      <c r="AD538"/>
      <c r="AE538" s="186"/>
    </row>
    <row r="539" spans="1:32" s="1" customFormat="1" ht="43.4" customHeight="1">
      <c r="A539" s="1119"/>
      <c r="B539" s="958" t="s">
        <v>56</v>
      </c>
      <c r="C539" s="966" t="s">
        <v>991</v>
      </c>
      <c r="D539" s="511" t="s">
        <v>57</v>
      </c>
      <c r="E539" s="511"/>
      <c r="F539" s="511"/>
      <c r="G539" s="511"/>
      <c r="H539" s="511" t="s">
        <v>58</v>
      </c>
      <c r="I539" s="519" t="s">
        <v>47</v>
      </c>
      <c r="J539" s="1578" t="s">
        <v>2787</v>
      </c>
      <c r="K539" s="512"/>
      <c r="L539" s="530">
        <v>43678</v>
      </c>
      <c r="M539" s="530"/>
      <c r="N539" s="530"/>
      <c r="O539" s="530">
        <v>43696</v>
      </c>
      <c r="P539" s="516" t="s">
        <v>60</v>
      </c>
      <c r="Q539" s="516" t="s">
        <v>60</v>
      </c>
      <c r="R539" s="599">
        <f>150000+100000+150000+45000</f>
        <v>445000</v>
      </c>
      <c r="S539" s="523" t="s">
        <v>1937</v>
      </c>
      <c r="T539" s="1055" t="s">
        <v>62</v>
      </c>
      <c r="U539" s="515"/>
      <c r="V539" s="515"/>
      <c r="W539" s="533" t="s">
        <v>2417</v>
      </c>
      <c r="X539" s="120"/>
      <c r="Y539" s="120"/>
      <c r="Z539" s="120"/>
      <c r="AA539" s="120"/>
      <c r="AB539" s="120"/>
      <c r="AC539" s="120"/>
      <c r="AD539"/>
      <c r="AE539" s="186"/>
    </row>
    <row r="540" spans="1:32" s="1" customFormat="1" ht="37.5">
      <c r="A540" s="1119"/>
      <c r="B540" s="958" t="s">
        <v>56</v>
      </c>
      <c r="C540" s="966" t="s">
        <v>2788</v>
      </c>
      <c r="D540" s="511" t="s">
        <v>122</v>
      </c>
      <c r="E540" s="511"/>
      <c r="F540" s="511"/>
      <c r="G540" s="511"/>
      <c r="H540" s="511" t="s">
        <v>308</v>
      </c>
      <c r="I540" s="519" t="s">
        <v>47</v>
      </c>
      <c r="J540" s="1578" t="s">
        <v>2789</v>
      </c>
      <c r="K540" s="512"/>
      <c r="L540" s="530">
        <v>43586</v>
      </c>
      <c r="M540" s="530"/>
      <c r="N540" s="530"/>
      <c r="O540" s="530">
        <v>43703</v>
      </c>
      <c r="P540" s="516">
        <v>1</v>
      </c>
      <c r="Q540" s="516">
        <v>1</v>
      </c>
      <c r="R540" s="599">
        <v>136000</v>
      </c>
      <c r="S540" s="523" t="s">
        <v>2110</v>
      </c>
      <c r="T540" s="1055" t="s">
        <v>62</v>
      </c>
      <c r="U540" s="515"/>
      <c r="V540" s="515"/>
      <c r="W540" s="533" t="s">
        <v>2408</v>
      </c>
      <c r="X540" s="120"/>
      <c r="Y540" s="120"/>
      <c r="Z540" s="120"/>
      <c r="AA540" s="120"/>
      <c r="AB540" s="120"/>
      <c r="AC540" s="120"/>
      <c r="AD540"/>
      <c r="AE540" s="186"/>
    </row>
    <row r="541" spans="1:32" s="1" customFormat="1" ht="57.65" customHeight="1">
      <c r="A541" s="2756"/>
      <c r="B541" s="147"/>
      <c r="C541" s="72" t="s">
        <v>2790</v>
      </c>
      <c r="D541" s="5" t="s">
        <v>32</v>
      </c>
      <c r="E541" s="5"/>
      <c r="F541" s="5"/>
      <c r="G541" s="5"/>
      <c r="H541" s="143" t="s">
        <v>2791</v>
      </c>
      <c r="I541" s="109" t="s">
        <v>34</v>
      </c>
      <c r="J541" s="144" t="s">
        <v>2792</v>
      </c>
      <c r="K541" s="144"/>
      <c r="L541" s="144"/>
      <c r="M541" s="145"/>
      <c r="N541" s="145"/>
      <c r="O541" s="145">
        <v>43709</v>
      </c>
      <c r="P541" s="138">
        <v>36</v>
      </c>
      <c r="Q541" s="141" t="s">
        <v>2793</v>
      </c>
      <c r="R541" s="132">
        <v>24000</v>
      </c>
      <c r="S541" s="138" t="s">
        <v>130</v>
      </c>
      <c r="T541" s="2837" t="s">
        <v>38</v>
      </c>
      <c r="U541" s="4"/>
      <c r="V541" s="4"/>
      <c r="W541" s="141" t="s">
        <v>2794</v>
      </c>
      <c r="X541" s="141" t="s">
        <v>45</v>
      </c>
      <c r="Y541" s="141" t="s">
        <v>115</v>
      </c>
      <c r="Z541" s="141"/>
      <c r="AA541" s="142"/>
      <c r="AB541" s="199"/>
      <c r="AC541" s="8" t="s">
        <v>2795</v>
      </c>
      <c r="AD541" s="35"/>
      <c r="AE541" s="235"/>
    </row>
    <row r="542" spans="1:32" s="1" customFormat="1" ht="86.9" customHeight="1">
      <c r="A542" s="1184"/>
      <c r="B542" s="464" t="s">
        <v>100</v>
      </c>
      <c r="C542" s="470" t="s">
        <v>2796</v>
      </c>
      <c r="D542" s="402" t="s">
        <v>110</v>
      </c>
      <c r="E542" s="402"/>
      <c r="F542" s="402"/>
      <c r="G542" s="402"/>
      <c r="H542" s="402" t="s">
        <v>103</v>
      </c>
      <c r="I542" s="402" t="s">
        <v>180</v>
      </c>
      <c r="J542" s="1584" t="s">
        <v>2797</v>
      </c>
      <c r="K542" s="402"/>
      <c r="L542" s="416">
        <v>12</v>
      </c>
      <c r="M542" s="421">
        <f>IFERROR(EDATE(N542,-3),"Invalid procurement method or date entered")</f>
        <v>43252</v>
      </c>
      <c r="N542" s="417">
        <f>IFERROR(EDATE(O542,-L542),"Invalid procurement method or date entered")</f>
        <v>43344</v>
      </c>
      <c r="O542" s="374">
        <v>43709</v>
      </c>
      <c r="P542" s="403"/>
      <c r="Q542" s="403"/>
      <c r="R542" s="404">
        <v>11157700</v>
      </c>
      <c r="S542" s="420" t="s">
        <v>182</v>
      </c>
      <c r="T542" s="478" t="s">
        <v>38</v>
      </c>
      <c r="U542" s="405" t="s">
        <v>2348</v>
      </c>
      <c r="V542" s="405"/>
      <c r="W542" s="402" t="s">
        <v>2798</v>
      </c>
      <c r="X542" s="402" t="s">
        <v>108</v>
      </c>
      <c r="Y542" s="402" t="s">
        <v>1161</v>
      </c>
      <c r="Z542" s="402"/>
      <c r="AA542" s="8" t="s">
        <v>69</v>
      </c>
      <c r="AB542" s="413" t="s">
        <v>70</v>
      </c>
      <c r="AC542" s="407">
        <v>44064</v>
      </c>
      <c r="AD542" s="496"/>
      <c r="AE542" s="488"/>
    </row>
    <row r="543" spans="1:32" s="1" customFormat="1" ht="29.15" customHeight="1">
      <c r="A543" s="1184"/>
      <c r="B543" s="147" t="s">
        <v>44</v>
      </c>
      <c r="C543" s="72" t="s">
        <v>71</v>
      </c>
      <c r="D543" s="5" t="s">
        <v>57</v>
      </c>
      <c r="E543" s="5"/>
      <c r="F543" s="5"/>
      <c r="G543" s="5"/>
      <c r="H543" s="5" t="s">
        <v>496</v>
      </c>
      <c r="I543" s="5" t="s">
        <v>47</v>
      </c>
      <c r="J543" s="16" t="s">
        <v>797</v>
      </c>
      <c r="K543" s="16"/>
      <c r="L543" s="16"/>
      <c r="M543" s="14">
        <v>43344</v>
      </c>
      <c r="N543" s="14"/>
      <c r="O543" s="14">
        <v>43709</v>
      </c>
      <c r="P543" s="12">
        <v>12</v>
      </c>
      <c r="Q543" s="5">
        <v>12</v>
      </c>
      <c r="R543" s="41">
        <v>1800000</v>
      </c>
      <c r="S543" s="5" t="s">
        <v>130</v>
      </c>
      <c r="T543" s="161" t="s">
        <v>45</v>
      </c>
      <c r="U543" s="4"/>
      <c r="V543" s="4"/>
      <c r="W543" s="5" t="s">
        <v>798</v>
      </c>
      <c r="X543" s="5" t="s">
        <v>86</v>
      </c>
      <c r="Y543" s="5" t="s">
        <v>40</v>
      </c>
      <c r="Z543" s="5"/>
      <c r="AA543" s="5"/>
      <c r="AB543" s="199">
        <v>43780</v>
      </c>
      <c r="AC543" s="8" t="s">
        <v>89</v>
      </c>
      <c r="AE543" s="164"/>
    </row>
    <row r="544" spans="1:32" s="1" customFormat="1" ht="43.5">
      <c r="A544" s="1184"/>
      <c r="B544" s="147" t="s">
        <v>44</v>
      </c>
      <c r="C544" s="72" t="s">
        <v>1415</v>
      </c>
      <c r="D544" s="8" t="s">
        <v>32</v>
      </c>
      <c r="E544" s="8"/>
      <c r="F544" s="8"/>
      <c r="G544" s="8"/>
      <c r="H544" s="12" t="s">
        <v>33</v>
      </c>
      <c r="I544" s="12" t="s">
        <v>34</v>
      </c>
      <c r="J544" s="103" t="s">
        <v>527</v>
      </c>
      <c r="K544" s="103"/>
      <c r="L544" s="103"/>
      <c r="M544" s="182">
        <v>43435</v>
      </c>
      <c r="N544" s="182"/>
      <c r="O544" s="182">
        <v>43709</v>
      </c>
      <c r="P544" s="12">
        <v>12</v>
      </c>
      <c r="Q544" s="7" t="s">
        <v>50</v>
      </c>
      <c r="R544" s="18">
        <v>4999</v>
      </c>
      <c r="S544" s="5" t="s">
        <v>84</v>
      </c>
      <c r="T544" s="27" t="s">
        <v>38</v>
      </c>
      <c r="U544" s="4"/>
      <c r="V544" s="4"/>
      <c r="W544" s="12" t="s">
        <v>142</v>
      </c>
      <c r="X544" s="5" t="s">
        <v>1962</v>
      </c>
      <c r="Y544" s="12" t="s">
        <v>40</v>
      </c>
      <c r="Z544" s="12"/>
      <c r="AA544" s="5"/>
      <c r="AB544" s="199">
        <v>43595</v>
      </c>
      <c r="AC544" s="36" t="s">
        <v>2799</v>
      </c>
      <c r="AE544" s="228"/>
    </row>
    <row r="545" spans="1:32" s="296" customFormat="1" ht="43.5">
      <c r="A545" s="1184"/>
      <c r="B545" s="147" t="s">
        <v>44</v>
      </c>
      <c r="C545" s="72" t="s">
        <v>2800</v>
      </c>
      <c r="D545" s="9" t="s">
        <v>122</v>
      </c>
      <c r="E545" s="9"/>
      <c r="F545" s="9"/>
      <c r="G545" s="9"/>
      <c r="H545" s="2751" t="s">
        <v>197</v>
      </c>
      <c r="I545" s="8" t="s">
        <v>47</v>
      </c>
      <c r="J545" s="16" t="s">
        <v>2801</v>
      </c>
      <c r="K545" s="8"/>
      <c r="L545" s="8"/>
      <c r="M545" s="367">
        <v>43525</v>
      </c>
      <c r="N545" s="367"/>
      <c r="O545" s="367">
        <v>43709</v>
      </c>
      <c r="P545" s="71">
        <v>12</v>
      </c>
      <c r="Q545" s="71" t="s">
        <v>45</v>
      </c>
      <c r="R545" s="159">
        <v>90000</v>
      </c>
      <c r="S545" s="5" t="s">
        <v>45</v>
      </c>
      <c r="T545" s="26" t="s">
        <v>38</v>
      </c>
      <c r="U545" s="4"/>
      <c r="V545" s="4"/>
      <c r="W545" s="5" t="s">
        <v>2802</v>
      </c>
      <c r="X545" s="5" t="s">
        <v>125</v>
      </c>
      <c r="Y545" s="5" t="s">
        <v>727</v>
      </c>
      <c r="Z545" s="5"/>
      <c r="AA545" s="160"/>
      <c r="AB545" s="199">
        <v>43741</v>
      </c>
      <c r="AC545" s="84" t="s">
        <v>2803</v>
      </c>
      <c r="AD545" s="1"/>
      <c r="AE545" s="233" t="s">
        <v>2804</v>
      </c>
      <c r="AF545" s="1"/>
    </row>
    <row r="546" spans="1:32" s="296" customFormat="1" ht="43.5">
      <c r="A546" s="1184"/>
      <c r="B546" s="147" t="s">
        <v>44</v>
      </c>
      <c r="C546" s="72" t="s">
        <v>2805</v>
      </c>
      <c r="D546" s="8" t="s">
        <v>32</v>
      </c>
      <c r="E546" s="8"/>
      <c r="F546" s="8"/>
      <c r="G546" s="8"/>
      <c r="H546" s="5" t="s">
        <v>33</v>
      </c>
      <c r="I546" s="5" t="s">
        <v>34</v>
      </c>
      <c r="J546" s="16" t="s">
        <v>2209</v>
      </c>
      <c r="K546" s="16"/>
      <c r="L546" s="16"/>
      <c r="M546" s="182">
        <v>43556</v>
      </c>
      <c r="N546" s="182"/>
      <c r="O546" s="182">
        <v>43709</v>
      </c>
      <c r="P546" s="12">
        <v>36</v>
      </c>
      <c r="Q546" s="7" t="s">
        <v>611</v>
      </c>
      <c r="R546" s="18">
        <v>993867</v>
      </c>
      <c r="S546" s="5" t="s">
        <v>130</v>
      </c>
      <c r="T546" s="27" t="s">
        <v>70</v>
      </c>
      <c r="U546" s="4"/>
      <c r="V546" s="4"/>
      <c r="W546" s="5" t="s">
        <v>2211</v>
      </c>
      <c r="X546" s="5" t="s">
        <v>413</v>
      </c>
      <c r="Y546" s="5" t="s">
        <v>40</v>
      </c>
      <c r="Z546" s="5"/>
      <c r="AA546" s="5"/>
      <c r="AB546" s="199">
        <v>43573</v>
      </c>
      <c r="AC546" s="36" t="s">
        <v>2806</v>
      </c>
      <c r="AD546" s="1"/>
      <c r="AE546" s="224">
        <v>331289</v>
      </c>
      <c r="AF546" s="1"/>
    </row>
    <row r="547" spans="1:32" s="296" customFormat="1" ht="58">
      <c r="A547" s="1183"/>
      <c r="B547" s="147" t="s">
        <v>44</v>
      </c>
      <c r="C547" s="72" t="s">
        <v>146</v>
      </c>
      <c r="D547" s="133" t="s">
        <v>32</v>
      </c>
      <c r="E547" s="133"/>
      <c r="F547" s="133"/>
      <c r="G547" s="133"/>
      <c r="H547" s="126" t="s">
        <v>1670</v>
      </c>
      <c r="I547" s="127" t="s">
        <v>47</v>
      </c>
      <c r="J547" s="128" t="s">
        <v>2807</v>
      </c>
      <c r="K547" s="128"/>
      <c r="L547" s="128"/>
      <c r="M547" s="129">
        <v>43556</v>
      </c>
      <c r="N547" s="129"/>
      <c r="O547" s="129">
        <v>43709</v>
      </c>
      <c r="P547" s="130">
        <v>66</v>
      </c>
      <c r="Q547" s="131">
        <v>66</v>
      </c>
      <c r="R547" s="132">
        <v>76000</v>
      </c>
      <c r="S547" s="130" t="s">
        <v>51</v>
      </c>
      <c r="T547" s="165" t="s">
        <v>38</v>
      </c>
      <c r="U547" s="4"/>
      <c r="V547" s="4"/>
      <c r="W547" s="131" t="s">
        <v>2794</v>
      </c>
      <c r="X547" s="131" t="s">
        <v>254</v>
      </c>
      <c r="Y547" s="131" t="s">
        <v>40</v>
      </c>
      <c r="Z547" s="131"/>
      <c r="AA547" s="1881"/>
      <c r="AB547" s="354">
        <v>43606</v>
      </c>
      <c r="AC547" s="1905" t="s">
        <v>2808</v>
      </c>
      <c r="AD547" s="35"/>
      <c r="AE547" s="234"/>
      <c r="AF547" s="1"/>
    </row>
    <row r="548" spans="1:32" s="296" customFormat="1" ht="58">
      <c r="A548" s="1184"/>
      <c r="B548" s="147" t="s">
        <v>44</v>
      </c>
      <c r="C548" s="250" t="s">
        <v>2809</v>
      </c>
      <c r="D548" s="2821" t="s">
        <v>32</v>
      </c>
      <c r="E548" s="2821"/>
      <c r="F548" s="2821"/>
      <c r="G548" s="2821"/>
      <c r="H548" s="2814" t="s">
        <v>1670</v>
      </c>
      <c r="I548" s="2815" t="s">
        <v>47</v>
      </c>
      <c r="J548" s="2816" t="s">
        <v>2810</v>
      </c>
      <c r="K548" s="2816"/>
      <c r="L548" s="2816"/>
      <c r="M548" s="2817">
        <v>43556</v>
      </c>
      <c r="N548" s="2817"/>
      <c r="O548" s="2817">
        <v>43709</v>
      </c>
      <c r="P548" s="2815">
        <v>29</v>
      </c>
      <c r="Q548" s="2814">
        <v>29</v>
      </c>
      <c r="R548" s="18">
        <v>6000</v>
      </c>
      <c r="S548" s="2815" t="s">
        <v>37</v>
      </c>
      <c r="T548" s="2859" t="s">
        <v>38</v>
      </c>
      <c r="U548" s="4"/>
      <c r="V548" s="4"/>
      <c r="W548" s="131" t="s">
        <v>2794</v>
      </c>
      <c r="X548" s="5" t="s">
        <v>254</v>
      </c>
      <c r="Y548" s="5" t="s">
        <v>40</v>
      </c>
      <c r="Z548" s="5"/>
      <c r="AA548" s="2824"/>
      <c r="AB548" s="2868">
        <v>43671</v>
      </c>
      <c r="AC548" s="2869" t="s">
        <v>2811</v>
      </c>
      <c r="AD548" s="35"/>
      <c r="AE548" s="2870"/>
      <c r="AF548" s="1"/>
    </row>
    <row r="549" spans="1:32" s="296" customFormat="1" ht="58">
      <c r="A549" s="1184"/>
      <c r="B549" s="147" t="s">
        <v>44</v>
      </c>
      <c r="C549" s="72" t="s">
        <v>2812</v>
      </c>
      <c r="D549" s="142" t="s">
        <v>32</v>
      </c>
      <c r="E549" s="142"/>
      <c r="F549" s="142"/>
      <c r="G549" s="142"/>
      <c r="H549" s="134" t="s">
        <v>1670</v>
      </c>
      <c r="I549" s="135" t="s">
        <v>47</v>
      </c>
      <c r="J549" s="136" t="s">
        <v>2792</v>
      </c>
      <c r="K549" s="136"/>
      <c r="L549" s="136"/>
      <c r="M549" s="137">
        <v>43556</v>
      </c>
      <c r="N549" s="137"/>
      <c r="O549" s="137">
        <v>43709</v>
      </c>
      <c r="P549" s="138">
        <v>36</v>
      </c>
      <c r="Q549" s="141" t="s">
        <v>160</v>
      </c>
      <c r="R549" s="132">
        <v>24000</v>
      </c>
      <c r="S549" s="138" t="s">
        <v>37</v>
      </c>
      <c r="T549" s="2837" t="s">
        <v>38</v>
      </c>
      <c r="U549" s="4"/>
      <c r="V549" s="4"/>
      <c r="W549" s="141" t="s">
        <v>2794</v>
      </c>
      <c r="X549" s="141" t="s">
        <v>254</v>
      </c>
      <c r="Y549" s="141" t="s">
        <v>40</v>
      </c>
      <c r="Z549" s="141"/>
      <c r="AA549" s="142"/>
      <c r="AB549" s="2801">
        <v>43647</v>
      </c>
      <c r="AC549" s="84" t="s">
        <v>2813</v>
      </c>
      <c r="AD549" s="35"/>
      <c r="AE549" s="235"/>
      <c r="AF549" s="1"/>
    </row>
    <row r="550" spans="1:32" s="1" customFormat="1" ht="57.65" customHeight="1">
      <c r="A550" s="1184"/>
      <c r="B550" s="147" t="s">
        <v>44</v>
      </c>
      <c r="C550" s="72" t="s">
        <v>2814</v>
      </c>
      <c r="D550" s="5" t="s">
        <v>32</v>
      </c>
      <c r="E550" s="5"/>
      <c r="F550" s="5"/>
      <c r="G550" s="5"/>
      <c r="H550" s="134" t="s">
        <v>1670</v>
      </c>
      <c r="I550" s="135" t="s">
        <v>47</v>
      </c>
      <c r="J550" s="136" t="s">
        <v>2815</v>
      </c>
      <c r="K550" s="136"/>
      <c r="L550" s="136"/>
      <c r="M550" s="137">
        <v>43556</v>
      </c>
      <c r="N550" s="137"/>
      <c r="O550" s="137">
        <v>43709</v>
      </c>
      <c r="P550" s="138"/>
      <c r="Q550" s="141"/>
      <c r="R550" s="132">
        <v>648000</v>
      </c>
      <c r="S550" s="138"/>
      <c r="T550" s="2837" t="s">
        <v>38</v>
      </c>
      <c r="U550" s="120"/>
      <c r="V550" s="120"/>
      <c r="W550" s="141" t="s">
        <v>2794</v>
      </c>
      <c r="X550" s="141" t="s">
        <v>254</v>
      </c>
      <c r="Y550" s="141" t="s">
        <v>40</v>
      </c>
      <c r="Z550" s="141"/>
      <c r="AA550" s="142"/>
      <c r="AB550" s="2801">
        <v>43707</v>
      </c>
      <c r="AC550" s="84" t="s">
        <v>2816</v>
      </c>
      <c r="AD550" s="35"/>
      <c r="AE550" s="235"/>
    </row>
    <row r="551" spans="1:32" s="296" customFormat="1" ht="43.5">
      <c r="A551" s="1184"/>
      <c r="B551" s="147" t="s">
        <v>44</v>
      </c>
      <c r="C551" s="72" t="s">
        <v>45</v>
      </c>
      <c r="D551" s="5" t="s">
        <v>32</v>
      </c>
      <c r="E551" s="5"/>
      <c r="F551" s="5"/>
      <c r="G551" s="5"/>
      <c r="H551" s="143" t="s">
        <v>1670</v>
      </c>
      <c r="I551" s="109" t="s">
        <v>47</v>
      </c>
      <c r="J551" s="144" t="s">
        <v>2817</v>
      </c>
      <c r="K551" s="144"/>
      <c r="L551" s="144"/>
      <c r="M551" s="145">
        <v>43556</v>
      </c>
      <c r="N551" s="145"/>
      <c r="O551" s="145">
        <v>43709</v>
      </c>
      <c r="P551" s="138">
        <v>66</v>
      </c>
      <c r="Q551" s="141" t="s">
        <v>2818</v>
      </c>
      <c r="R551" s="132">
        <v>108000</v>
      </c>
      <c r="S551" s="138" t="s">
        <v>84</v>
      </c>
      <c r="T551" s="2837" t="s">
        <v>38</v>
      </c>
      <c r="U551" s="4"/>
      <c r="V551" s="4"/>
      <c r="W551" s="141" t="s">
        <v>2819</v>
      </c>
      <c r="X551" s="141" t="s">
        <v>86</v>
      </c>
      <c r="Y551" s="141" t="s">
        <v>40</v>
      </c>
      <c r="Z551" s="141"/>
      <c r="AA551" s="142"/>
      <c r="AB551" s="199">
        <v>43740</v>
      </c>
      <c r="AC551" s="8" t="s">
        <v>89</v>
      </c>
      <c r="AD551" s="35"/>
      <c r="AE551" s="235"/>
      <c r="AF551" s="1"/>
    </row>
    <row r="552" spans="1:32" s="1" customFormat="1" ht="201.65" customHeight="1">
      <c r="A552" s="1184"/>
      <c r="B552" s="147" t="s">
        <v>44</v>
      </c>
      <c r="C552" s="72" t="s">
        <v>45</v>
      </c>
      <c r="D552" s="9" t="s">
        <v>32</v>
      </c>
      <c r="E552" s="9"/>
      <c r="F552" s="9"/>
      <c r="G552" s="9"/>
      <c r="H552" s="134" t="s">
        <v>1670</v>
      </c>
      <c r="I552" s="135" t="s">
        <v>47</v>
      </c>
      <c r="J552" s="136" t="s">
        <v>2820</v>
      </c>
      <c r="K552" s="136"/>
      <c r="L552" s="136"/>
      <c r="M552" s="137">
        <v>43556</v>
      </c>
      <c r="N552" s="137"/>
      <c r="O552" s="137">
        <v>43709</v>
      </c>
      <c r="P552" s="138"/>
      <c r="Q552" s="141"/>
      <c r="R552" s="132">
        <v>9000</v>
      </c>
      <c r="S552" s="138"/>
      <c r="T552" s="2753" t="s">
        <v>38</v>
      </c>
      <c r="U552" s="4"/>
      <c r="V552" s="4"/>
      <c r="W552" s="141" t="s">
        <v>2819</v>
      </c>
      <c r="X552" s="141" t="s">
        <v>2821</v>
      </c>
      <c r="Y552" s="141" t="s">
        <v>1161</v>
      </c>
      <c r="Z552" s="141"/>
      <c r="AA552" s="142"/>
      <c r="AB552" s="199">
        <v>43728</v>
      </c>
      <c r="AC552" s="84" t="s">
        <v>2822</v>
      </c>
      <c r="AD552" s="35"/>
      <c r="AE552" s="235"/>
    </row>
    <row r="553" spans="1:32" s="1" customFormat="1" ht="43.4" customHeight="1">
      <c r="A553" s="1184"/>
      <c r="B553" s="464" t="s">
        <v>100</v>
      </c>
      <c r="C553" s="471"/>
      <c r="D553" s="8" t="s">
        <v>122</v>
      </c>
      <c r="E553" s="8"/>
      <c r="F553" s="8"/>
      <c r="G553" s="8"/>
      <c r="H553" s="8" t="s">
        <v>197</v>
      </c>
      <c r="I553" s="8" t="s">
        <v>47</v>
      </c>
      <c r="J553" s="16" t="s">
        <v>2823</v>
      </c>
      <c r="K553" s="8"/>
      <c r="L553" s="84">
        <v>1</v>
      </c>
      <c r="M553" s="436">
        <f>IFERROR(EDATE(N553,-3),"Invalid procurement method or date entered")</f>
        <v>43586</v>
      </c>
      <c r="N553" s="386">
        <f>IFERROR(EDATE(O553,-L553),"Invalid procurement method or date entered")</f>
        <v>43678</v>
      </c>
      <c r="O553" s="367">
        <v>43709</v>
      </c>
      <c r="P553" s="71">
        <v>14</v>
      </c>
      <c r="Q553" s="71">
        <v>14</v>
      </c>
      <c r="R553" s="159">
        <v>10000</v>
      </c>
      <c r="S553" s="5" t="s">
        <v>37</v>
      </c>
      <c r="T553" s="390" t="s">
        <v>38</v>
      </c>
      <c r="U553" s="365" t="s">
        <v>71</v>
      </c>
      <c r="V553" s="365"/>
      <c r="W553" s="8" t="s">
        <v>2824</v>
      </c>
      <c r="X553" s="8" t="s">
        <v>189</v>
      </c>
      <c r="Y553" s="8" t="s">
        <v>115</v>
      </c>
      <c r="Z553" s="8"/>
      <c r="AA553" s="160"/>
      <c r="AB553" s="177">
        <v>43843</v>
      </c>
      <c r="AC553" s="84" t="s">
        <v>2825</v>
      </c>
      <c r="AD553" s="495"/>
      <c r="AE553" s="490"/>
    </row>
    <row r="554" spans="1:32" s="1" customFormat="1" ht="58">
      <c r="A554" s="1184"/>
      <c r="B554" s="147" t="s">
        <v>44</v>
      </c>
      <c r="C554" s="72" t="s">
        <v>2826</v>
      </c>
      <c r="D554" s="5" t="s">
        <v>32</v>
      </c>
      <c r="E554" s="5"/>
      <c r="F554" s="5"/>
      <c r="G554" s="5"/>
      <c r="H554" s="5" t="s">
        <v>1670</v>
      </c>
      <c r="I554" s="5" t="s">
        <v>47</v>
      </c>
      <c r="J554" s="16" t="s">
        <v>2827</v>
      </c>
      <c r="K554" s="16"/>
      <c r="L554" s="16"/>
      <c r="M554" s="182">
        <v>43617</v>
      </c>
      <c r="N554" s="182"/>
      <c r="O554" s="182">
        <v>43709</v>
      </c>
      <c r="P554" s="12">
        <v>24</v>
      </c>
      <c r="Q554" s="13" t="s">
        <v>391</v>
      </c>
      <c r="R554" s="18">
        <v>21000</v>
      </c>
      <c r="S554" s="5" t="s">
        <v>37</v>
      </c>
      <c r="T554" s="26" t="s">
        <v>38</v>
      </c>
      <c r="U554" s="12" t="s">
        <v>67</v>
      </c>
      <c r="V554" s="12"/>
      <c r="W554" s="5" t="s">
        <v>977</v>
      </c>
      <c r="X554" s="5" t="s">
        <v>86</v>
      </c>
      <c r="Y554" s="5" t="s">
        <v>40</v>
      </c>
      <c r="Z554" s="5"/>
      <c r="AA554" s="5"/>
      <c r="AB554" s="199">
        <v>43941</v>
      </c>
      <c r="AC554" s="8" t="s">
        <v>89</v>
      </c>
      <c r="AD554" s="2871" t="s">
        <v>979</v>
      </c>
      <c r="AE554" s="164"/>
      <c r="AF554" s="2799"/>
    </row>
    <row r="555" spans="1:32" s="1" customFormat="1" ht="58">
      <c r="A555" s="1184"/>
      <c r="B555" s="147" t="s">
        <v>44</v>
      </c>
      <c r="C555" s="102" t="s">
        <v>2828</v>
      </c>
      <c r="D555" s="8" t="s">
        <v>32</v>
      </c>
      <c r="E555" s="8"/>
      <c r="F555" s="8"/>
      <c r="G555" s="8"/>
      <c r="H555" s="5" t="s">
        <v>1670</v>
      </c>
      <c r="I555" s="5" t="s">
        <v>47</v>
      </c>
      <c r="J555" s="136" t="s">
        <v>2792</v>
      </c>
      <c r="K555" s="136"/>
      <c r="L555" s="136"/>
      <c r="M555" s="182">
        <v>43617</v>
      </c>
      <c r="N555" s="182"/>
      <c r="O555" s="182">
        <v>43709</v>
      </c>
      <c r="P555" s="12">
        <v>36</v>
      </c>
      <c r="Q555" s="13" t="s">
        <v>98</v>
      </c>
      <c r="R555" s="18">
        <v>12000</v>
      </c>
      <c r="S555" s="5" t="s">
        <v>37</v>
      </c>
      <c r="T555" s="27" t="s">
        <v>38</v>
      </c>
      <c r="U555" s="10"/>
      <c r="V555" s="10"/>
      <c r="W555" s="131" t="s">
        <v>2794</v>
      </c>
      <c r="X555" s="5" t="s">
        <v>254</v>
      </c>
      <c r="Y555" s="5" t="s">
        <v>40</v>
      </c>
      <c r="Z555" s="5"/>
      <c r="AA555" s="5"/>
      <c r="AB555" s="199">
        <v>43647</v>
      </c>
      <c r="AC555" s="8" t="s">
        <v>2813</v>
      </c>
      <c r="AD555" s="35"/>
      <c r="AE555" s="164"/>
    </row>
    <row r="556" spans="1:32" s="1" customFormat="1" ht="43.4" customHeight="1">
      <c r="A556" s="1184"/>
      <c r="B556" s="147" t="s">
        <v>44</v>
      </c>
      <c r="C556" s="72" t="s">
        <v>2829</v>
      </c>
      <c r="D556" s="5" t="s">
        <v>32</v>
      </c>
      <c r="E556" s="5"/>
      <c r="F556" s="5"/>
      <c r="G556" s="5"/>
      <c r="H556" s="5" t="s">
        <v>1670</v>
      </c>
      <c r="I556" s="5" t="s">
        <v>47</v>
      </c>
      <c r="J556" s="16" t="s">
        <v>2830</v>
      </c>
      <c r="K556" s="16"/>
      <c r="L556" s="16"/>
      <c r="M556" s="182">
        <v>43617</v>
      </c>
      <c r="N556" s="182"/>
      <c r="O556" s="182">
        <v>43709</v>
      </c>
      <c r="P556" s="12">
        <v>60</v>
      </c>
      <c r="Q556" s="13" t="s">
        <v>171</v>
      </c>
      <c r="R556" s="18">
        <v>24000</v>
      </c>
      <c r="S556" s="5" t="s">
        <v>37</v>
      </c>
      <c r="T556" s="27" t="s">
        <v>38</v>
      </c>
      <c r="U556" s="4"/>
      <c r="V556" s="4"/>
      <c r="W556" s="131" t="s">
        <v>2794</v>
      </c>
      <c r="X556" s="5" t="s">
        <v>254</v>
      </c>
      <c r="Y556" s="5" t="s">
        <v>40</v>
      </c>
      <c r="Z556" s="5"/>
      <c r="AA556" s="5"/>
      <c r="AB556" s="199">
        <v>43714</v>
      </c>
      <c r="AC556" s="8" t="s">
        <v>2831</v>
      </c>
      <c r="AD556" s="35"/>
      <c r="AE556" s="164"/>
      <c r="AF556" s="2799"/>
    </row>
    <row r="557" spans="1:32" s="1" customFormat="1" ht="43.5">
      <c r="A557" s="1184"/>
      <c r="B557" s="147" t="s">
        <v>44</v>
      </c>
      <c r="C557" s="108" t="s">
        <v>2832</v>
      </c>
      <c r="D557" s="5" t="s">
        <v>32</v>
      </c>
      <c r="E557" s="5"/>
      <c r="F557" s="5"/>
      <c r="G557" s="5"/>
      <c r="H557" s="5" t="s">
        <v>1670</v>
      </c>
      <c r="I557" s="5" t="s">
        <v>47</v>
      </c>
      <c r="J557" s="16" t="s">
        <v>2833</v>
      </c>
      <c r="K557" s="16"/>
      <c r="L557" s="16"/>
      <c r="M557" s="182">
        <v>43617</v>
      </c>
      <c r="N557" s="182"/>
      <c r="O557" s="182">
        <v>43709</v>
      </c>
      <c r="P557" s="12">
        <v>90</v>
      </c>
      <c r="Q557" s="13" t="s">
        <v>2834</v>
      </c>
      <c r="R557" s="18">
        <v>108000</v>
      </c>
      <c r="S557" s="5" t="s">
        <v>51</v>
      </c>
      <c r="T557" s="27" t="s">
        <v>38</v>
      </c>
      <c r="U557" s="4"/>
      <c r="V557" s="4"/>
      <c r="W557" s="131" t="s">
        <v>2819</v>
      </c>
      <c r="X557" s="5" t="s">
        <v>86</v>
      </c>
      <c r="Y557" s="5" t="s">
        <v>40</v>
      </c>
      <c r="Z557" s="5"/>
      <c r="AA557" s="5"/>
      <c r="AB557" s="199">
        <v>43746</v>
      </c>
      <c r="AC557" s="8" t="s">
        <v>89</v>
      </c>
      <c r="AE557" s="164"/>
      <c r="AF557" s="2799"/>
    </row>
    <row r="558" spans="1:32" s="1" customFormat="1" ht="58">
      <c r="A558" s="1184"/>
      <c r="B558" s="147" t="s">
        <v>44</v>
      </c>
      <c r="C558" s="72"/>
      <c r="D558" s="2815" t="s">
        <v>32</v>
      </c>
      <c r="E558" s="2815"/>
      <c r="F558" s="2815"/>
      <c r="G558" s="2815"/>
      <c r="H558" s="2814" t="s">
        <v>1670</v>
      </c>
      <c r="I558" s="2815" t="s">
        <v>47</v>
      </c>
      <c r="J558" s="2816" t="s">
        <v>2835</v>
      </c>
      <c r="K558" s="2816"/>
      <c r="L558" s="2816"/>
      <c r="M558" s="2817">
        <v>43678</v>
      </c>
      <c r="N558" s="2817"/>
      <c r="O558" s="2817">
        <v>43709</v>
      </c>
      <c r="P558" s="2815">
        <v>36</v>
      </c>
      <c r="Q558" s="2814">
        <v>36</v>
      </c>
      <c r="R558" s="18">
        <v>18000</v>
      </c>
      <c r="S558" s="2815" t="s">
        <v>37</v>
      </c>
      <c r="T558" s="2859" t="s">
        <v>38</v>
      </c>
      <c r="U558" s="120"/>
      <c r="V558" s="120"/>
      <c r="W558" s="131" t="s">
        <v>2794</v>
      </c>
      <c r="X558" s="5" t="s">
        <v>254</v>
      </c>
      <c r="Y558" s="5" t="s">
        <v>40</v>
      </c>
      <c r="Z558" s="5"/>
      <c r="AA558" s="2821"/>
      <c r="AB558" s="2801">
        <v>43705</v>
      </c>
      <c r="AC558" s="2822" t="s">
        <v>2836</v>
      </c>
      <c r="AD558" s="35"/>
      <c r="AE558" s="2870"/>
      <c r="AF558" s="2799"/>
    </row>
    <row r="559" spans="1:32" s="1" customFormat="1" ht="43.4" customHeight="1">
      <c r="A559" s="1184"/>
      <c r="B559" s="147" t="s">
        <v>44</v>
      </c>
      <c r="C559" s="72" t="s">
        <v>2837</v>
      </c>
      <c r="D559" s="5" t="s">
        <v>32</v>
      </c>
      <c r="E559" s="5"/>
      <c r="F559" s="5"/>
      <c r="G559" s="5"/>
      <c r="H559" s="2789" t="s">
        <v>1670</v>
      </c>
      <c r="I559" s="2818" t="s">
        <v>47</v>
      </c>
      <c r="J559" s="2872" t="s">
        <v>2838</v>
      </c>
      <c r="K559" s="2872"/>
      <c r="L559" s="2872"/>
      <c r="M559" s="14">
        <v>43678</v>
      </c>
      <c r="N559" s="14"/>
      <c r="O559" s="14">
        <v>43709</v>
      </c>
      <c r="P559" s="2818">
        <v>39</v>
      </c>
      <c r="Q559" s="2789" t="s">
        <v>2839</v>
      </c>
      <c r="R559" s="18">
        <v>4000</v>
      </c>
      <c r="S559" s="2818" t="s">
        <v>37</v>
      </c>
      <c r="T559" s="2862" t="s">
        <v>38</v>
      </c>
      <c r="U559" s="4"/>
      <c r="V559" s="4"/>
      <c r="W559" s="131" t="s">
        <v>2819</v>
      </c>
      <c r="X559" s="5" t="s">
        <v>2821</v>
      </c>
      <c r="Y559" s="5" t="s">
        <v>40</v>
      </c>
      <c r="Z559" s="5"/>
      <c r="AA559" s="5"/>
      <c r="AB559" s="199">
        <v>43732</v>
      </c>
      <c r="AC559" s="2873" t="s">
        <v>89</v>
      </c>
      <c r="AD559" s="2824"/>
      <c r="AE559" s="164"/>
      <c r="AF559" s="2799"/>
    </row>
    <row r="560" spans="1:32" s="1" customFormat="1" ht="58">
      <c r="A560" s="1184"/>
      <c r="B560" s="147" t="s">
        <v>44</v>
      </c>
      <c r="C560" s="102" t="s">
        <v>45</v>
      </c>
      <c r="D560" s="2818" t="s">
        <v>32</v>
      </c>
      <c r="E560" s="2818"/>
      <c r="F560" s="2818"/>
      <c r="G560" s="2818"/>
      <c r="H560" s="2789" t="s">
        <v>1670</v>
      </c>
      <c r="I560" s="2818" t="s">
        <v>47</v>
      </c>
      <c r="J560" s="2872" t="s">
        <v>2840</v>
      </c>
      <c r="K560" s="2872"/>
      <c r="L560" s="2872"/>
      <c r="M560" s="2852">
        <v>43678</v>
      </c>
      <c r="N560" s="2852"/>
      <c r="O560" s="2852">
        <v>43709</v>
      </c>
      <c r="P560" s="2818">
        <v>24</v>
      </c>
      <c r="Q560" s="2789">
        <v>24</v>
      </c>
      <c r="R560" s="18">
        <v>35000</v>
      </c>
      <c r="S560" s="2789" t="s">
        <v>51</v>
      </c>
      <c r="T560" s="2862" t="s">
        <v>38</v>
      </c>
      <c r="U560" s="4"/>
      <c r="V560" s="4"/>
      <c r="W560" s="131" t="s">
        <v>2841</v>
      </c>
      <c r="X560" s="2789" t="s">
        <v>86</v>
      </c>
      <c r="Y560" s="2789" t="s">
        <v>40</v>
      </c>
      <c r="Z560" s="2789"/>
      <c r="AA560" s="2818"/>
      <c r="AB560" s="199">
        <v>43739</v>
      </c>
      <c r="AC560" s="2762" t="s">
        <v>89</v>
      </c>
      <c r="AD560" s="35"/>
      <c r="AE560" s="2870"/>
      <c r="AF560" s="99"/>
    </row>
    <row r="561" spans="1:32" s="1" customFormat="1" ht="57.65" customHeight="1">
      <c r="A561" s="1184"/>
      <c r="B561" s="147" t="s">
        <v>44</v>
      </c>
      <c r="C561" s="72" t="s">
        <v>2842</v>
      </c>
      <c r="D561" s="9" t="s">
        <v>57</v>
      </c>
      <c r="E561" s="9"/>
      <c r="F561" s="9"/>
      <c r="G561" s="9"/>
      <c r="H561" s="5" t="s">
        <v>165</v>
      </c>
      <c r="I561" s="5" t="s">
        <v>47</v>
      </c>
      <c r="J561" s="16" t="s">
        <v>2843</v>
      </c>
      <c r="K561" s="8"/>
      <c r="L561" s="8"/>
      <c r="M561" s="199">
        <v>43700</v>
      </c>
      <c r="N561" s="199"/>
      <c r="O561" s="199">
        <v>43709</v>
      </c>
      <c r="P561" s="5">
        <v>11</v>
      </c>
      <c r="Q561" s="7" t="s">
        <v>2844</v>
      </c>
      <c r="R561" s="18">
        <v>30200</v>
      </c>
      <c r="S561" s="199" t="s">
        <v>51</v>
      </c>
      <c r="T561" s="163" t="s">
        <v>38</v>
      </c>
      <c r="U561" s="4"/>
      <c r="V561" s="4"/>
      <c r="W561" s="5" t="s">
        <v>798</v>
      </c>
      <c r="X561" s="5" t="s">
        <v>54</v>
      </c>
      <c r="Y561" s="5" t="s">
        <v>40</v>
      </c>
      <c r="Z561" s="5"/>
      <c r="AA561" s="5"/>
      <c r="AB561" s="199">
        <v>43700</v>
      </c>
      <c r="AC561" s="8" t="s">
        <v>2845</v>
      </c>
      <c r="AE561" s="164">
        <v>15200</v>
      </c>
    </row>
    <row r="562" spans="1:32" s="1" customFormat="1" ht="37.5">
      <c r="A562" s="1119"/>
      <c r="B562" s="958" t="s">
        <v>56</v>
      </c>
      <c r="C562" s="966" t="s">
        <v>2846</v>
      </c>
      <c r="D562" s="511" t="s">
        <v>57</v>
      </c>
      <c r="E562" s="511"/>
      <c r="F562" s="511"/>
      <c r="G562" s="511"/>
      <c r="H562" s="511" t="s">
        <v>58</v>
      </c>
      <c r="I562" s="510" t="s">
        <v>47</v>
      </c>
      <c r="J562" s="1580" t="s">
        <v>2847</v>
      </c>
      <c r="K562" s="533"/>
      <c r="L562" s="618">
        <v>43586</v>
      </c>
      <c r="M562" s="618"/>
      <c r="N562" s="618"/>
      <c r="O562" s="618">
        <v>43709</v>
      </c>
      <c r="P562" s="535">
        <v>2</v>
      </c>
      <c r="Q562" s="535">
        <v>2</v>
      </c>
      <c r="R562" s="599">
        <v>900000</v>
      </c>
      <c r="S562" s="533" t="s">
        <v>1937</v>
      </c>
      <c r="T562" s="1058" t="s">
        <v>38</v>
      </c>
      <c r="U562" s="615"/>
      <c r="V562" s="615"/>
      <c r="W562" s="510" t="s">
        <v>2848</v>
      </c>
      <c r="X562" s="120"/>
      <c r="Y562" s="120"/>
      <c r="Z562" s="120"/>
      <c r="AA562" s="120"/>
      <c r="AB562" s="120"/>
      <c r="AC562" s="120"/>
      <c r="AD562"/>
      <c r="AE562" s="186"/>
    </row>
    <row r="563" spans="1:32" s="3" customFormat="1" ht="37.5">
      <c r="A563" s="1119"/>
      <c r="B563" s="958" t="s">
        <v>56</v>
      </c>
      <c r="C563" s="966" t="s">
        <v>991</v>
      </c>
      <c r="D563" s="511" t="s">
        <v>57</v>
      </c>
      <c r="E563" s="511"/>
      <c r="F563" s="511"/>
      <c r="G563" s="511"/>
      <c r="H563" s="511" t="s">
        <v>58</v>
      </c>
      <c r="I563" s="519" t="s">
        <v>47</v>
      </c>
      <c r="J563" s="1578" t="s">
        <v>2849</v>
      </c>
      <c r="K563" s="512"/>
      <c r="L563" s="530">
        <v>43608</v>
      </c>
      <c r="M563" s="530"/>
      <c r="N563" s="530"/>
      <c r="O563" s="530">
        <v>43709</v>
      </c>
      <c r="P563" s="516">
        <v>2</v>
      </c>
      <c r="Q563" s="516">
        <v>2</v>
      </c>
      <c r="R563" s="599">
        <v>193644.86</v>
      </c>
      <c r="S563" s="523" t="s">
        <v>51</v>
      </c>
      <c r="T563" s="1055" t="s">
        <v>38</v>
      </c>
      <c r="U563" s="515"/>
      <c r="V563" s="515"/>
      <c r="W563" s="519" t="s">
        <v>2850</v>
      </c>
      <c r="X563" s="120"/>
      <c r="Y563" s="120"/>
      <c r="Z563" s="120"/>
      <c r="AA563" s="120"/>
      <c r="AB563" s="120"/>
      <c r="AC563" s="120"/>
      <c r="AD563"/>
      <c r="AE563" s="186"/>
      <c r="AF563" s="1"/>
    </row>
    <row r="564" spans="1:32" s="1" customFormat="1" ht="43.4" customHeight="1">
      <c r="A564" s="1119"/>
      <c r="B564" s="958" t="s">
        <v>56</v>
      </c>
      <c r="C564" s="966" t="s">
        <v>2851</v>
      </c>
      <c r="D564" s="511" t="s">
        <v>57</v>
      </c>
      <c r="E564" s="511"/>
      <c r="F564" s="511"/>
      <c r="G564" s="511"/>
      <c r="H564" s="511" t="s">
        <v>58</v>
      </c>
      <c r="I564" s="511" t="s">
        <v>47</v>
      </c>
      <c r="J564" s="606" t="s">
        <v>2852</v>
      </c>
      <c r="K564" s="529"/>
      <c r="L564" s="622">
        <v>43647</v>
      </c>
      <c r="M564" s="622"/>
      <c r="N564" s="622"/>
      <c r="O564" s="622">
        <v>43709</v>
      </c>
      <c r="P564" s="536" t="s">
        <v>2124</v>
      </c>
      <c r="Q564" s="536" t="s">
        <v>2124</v>
      </c>
      <c r="R564" s="607">
        <v>20900</v>
      </c>
      <c r="S564" s="529" t="s">
        <v>45</v>
      </c>
      <c r="T564" s="1064" t="s">
        <v>38</v>
      </c>
      <c r="U564" s="511"/>
      <c r="V564" s="511"/>
      <c r="W564" s="511" t="s">
        <v>2554</v>
      </c>
      <c r="X564" s="120"/>
      <c r="Y564" s="120"/>
      <c r="Z564" s="120"/>
      <c r="AA564" s="120"/>
      <c r="AB564" s="120"/>
      <c r="AC564" s="120"/>
      <c r="AD564"/>
      <c r="AE564" s="186"/>
    </row>
    <row r="565" spans="1:32" s="1" customFormat="1" ht="37.5">
      <c r="A565" s="1119"/>
      <c r="B565" s="958" t="s">
        <v>56</v>
      </c>
      <c r="C565" s="966" t="s">
        <v>2853</v>
      </c>
      <c r="D565" s="511" t="s">
        <v>57</v>
      </c>
      <c r="E565" s="511"/>
      <c r="F565" s="511"/>
      <c r="G565" s="511"/>
      <c r="H565" s="511" t="s">
        <v>308</v>
      </c>
      <c r="I565" s="519" t="s">
        <v>47</v>
      </c>
      <c r="J565" s="1578" t="s">
        <v>2854</v>
      </c>
      <c r="K565" s="512"/>
      <c r="L565" s="530">
        <v>43685</v>
      </c>
      <c r="M565" s="530"/>
      <c r="N565" s="530"/>
      <c r="O565" s="530">
        <v>43710</v>
      </c>
      <c r="P565" s="530">
        <v>1</v>
      </c>
      <c r="Q565" s="530">
        <v>1</v>
      </c>
      <c r="R565" s="599">
        <v>25000</v>
      </c>
      <c r="S565" s="523" t="s">
        <v>1937</v>
      </c>
      <c r="T565" s="1055" t="s">
        <v>38</v>
      </c>
      <c r="U565" s="515"/>
      <c r="V565" s="515"/>
      <c r="W565" s="519" t="s">
        <v>1940</v>
      </c>
      <c r="X565" s="120"/>
      <c r="Y565" s="120"/>
      <c r="Z565" s="120"/>
      <c r="AA565" s="120"/>
      <c r="AB565" s="120"/>
      <c r="AC565" s="120"/>
      <c r="AD565"/>
      <c r="AE565" s="186"/>
    </row>
    <row r="566" spans="1:32" s="1" customFormat="1" ht="37.5">
      <c r="A566" s="1119"/>
      <c r="B566" s="958" t="s">
        <v>56</v>
      </c>
      <c r="C566" s="966" t="s">
        <v>2855</v>
      </c>
      <c r="D566" s="511" t="s">
        <v>57</v>
      </c>
      <c r="E566" s="511"/>
      <c r="F566" s="511"/>
      <c r="G566" s="511"/>
      <c r="H566" s="511" t="s">
        <v>58</v>
      </c>
      <c r="I566" s="510" t="s">
        <v>47</v>
      </c>
      <c r="J566" s="1580" t="s">
        <v>2856</v>
      </c>
      <c r="K566" s="533"/>
      <c r="L566" s="618">
        <v>43656</v>
      </c>
      <c r="M566" s="618"/>
      <c r="N566" s="618"/>
      <c r="O566" s="618">
        <v>43710</v>
      </c>
      <c r="P566" s="535">
        <v>1</v>
      </c>
      <c r="Q566" s="535">
        <v>1</v>
      </c>
      <c r="R566" s="599">
        <v>356765</v>
      </c>
      <c r="S566" s="533" t="s">
        <v>1937</v>
      </c>
      <c r="T566" s="1058" t="s">
        <v>62</v>
      </c>
      <c r="U566" s="615"/>
      <c r="V566" s="615"/>
      <c r="W566" s="533" t="s">
        <v>2417</v>
      </c>
      <c r="X566" s="120"/>
      <c r="Y566" s="120"/>
      <c r="Z566" s="120"/>
      <c r="AA566" s="120"/>
      <c r="AB566" s="120"/>
      <c r="AC566" s="120"/>
      <c r="AD566"/>
      <c r="AE566" s="186"/>
    </row>
    <row r="567" spans="1:32" s="1" customFormat="1" ht="57.65" customHeight="1">
      <c r="A567" s="1119"/>
      <c r="B567" s="958" t="s">
        <v>56</v>
      </c>
      <c r="C567" s="966" t="s">
        <v>2857</v>
      </c>
      <c r="D567" s="511" t="s">
        <v>57</v>
      </c>
      <c r="E567" s="511"/>
      <c r="F567" s="511"/>
      <c r="G567" s="511"/>
      <c r="H567" s="511" t="s">
        <v>58</v>
      </c>
      <c r="I567" s="519" t="s">
        <v>47</v>
      </c>
      <c r="J567" s="1578" t="s">
        <v>2858</v>
      </c>
      <c r="K567" s="512"/>
      <c r="L567" s="530">
        <v>43689</v>
      </c>
      <c r="M567" s="530"/>
      <c r="N567" s="530"/>
      <c r="O567" s="530">
        <v>43717</v>
      </c>
      <c r="P567" s="516">
        <v>1</v>
      </c>
      <c r="Q567" s="516">
        <v>1</v>
      </c>
      <c r="R567" s="599">
        <v>5000</v>
      </c>
      <c r="S567" s="523" t="s">
        <v>176</v>
      </c>
      <c r="T567" s="1055" t="s">
        <v>38</v>
      </c>
      <c r="U567" s="515"/>
      <c r="V567" s="515"/>
      <c r="W567" s="519" t="s">
        <v>2859</v>
      </c>
      <c r="X567" s="120"/>
      <c r="Y567" s="120"/>
      <c r="Z567" s="120"/>
      <c r="AA567"/>
      <c r="AB567"/>
      <c r="AC567"/>
      <c r="AD567"/>
      <c r="AE567" s="186"/>
    </row>
    <row r="568" spans="1:32" s="1" customFormat="1" ht="43.4" customHeight="1">
      <c r="A568" s="1184"/>
      <c r="B568" s="147" t="s">
        <v>44</v>
      </c>
      <c r="C568" s="72"/>
      <c r="D568" s="9" t="s">
        <v>32</v>
      </c>
      <c r="E568" s="9"/>
      <c r="F568" s="9"/>
      <c r="G568" s="9"/>
      <c r="H568" s="5" t="s">
        <v>33</v>
      </c>
      <c r="I568" s="5" t="s">
        <v>270</v>
      </c>
      <c r="J568" s="16" t="s">
        <v>2860</v>
      </c>
      <c r="K568" s="8"/>
      <c r="L568" s="8"/>
      <c r="M568" s="182">
        <v>43678</v>
      </c>
      <c r="N568" s="182"/>
      <c r="O568" s="182">
        <v>43718</v>
      </c>
      <c r="P568" s="12">
        <v>12</v>
      </c>
      <c r="Q568" s="7" t="s">
        <v>50</v>
      </c>
      <c r="R568" s="18" t="s">
        <v>45</v>
      </c>
      <c r="S568" s="5" t="s">
        <v>270</v>
      </c>
      <c r="T568" s="26" t="s">
        <v>38</v>
      </c>
      <c r="U568" s="4"/>
      <c r="V568" s="4"/>
      <c r="W568" s="5" t="s">
        <v>2861</v>
      </c>
      <c r="X568" s="5" t="s">
        <v>39</v>
      </c>
      <c r="Y568" s="5" t="s">
        <v>40</v>
      </c>
      <c r="Z568" s="5"/>
      <c r="AA568" s="80"/>
      <c r="AB568" s="354"/>
      <c r="AC568" s="101" t="s">
        <v>2862</v>
      </c>
      <c r="AD568" s="35"/>
      <c r="AE568" s="224"/>
    </row>
    <row r="569" spans="1:32" s="1" customFormat="1" ht="43.4" customHeight="1">
      <c r="A569" s="1184"/>
      <c r="B569" s="147" t="s">
        <v>44</v>
      </c>
      <c r="C569" s="2874" t="s">
        <v>2863</v>
      </c>
      <c r="D569" s="2818" t="s">
        <v>32</v>
      </c>
      <c r="E569" s="2818"/>
      <c r="F569" s="2818"/>
      <c r="G569" s="2818"/>
      <c r="H569" s="2789" t="s">
        <v>1670</v>
      </c>
      <c r="I569" s="2818" t="s">
        <v>47</v>
      </c>
      <c r="J569" s="2816" t="s">
        <v>2864</v>
      </c>
      <c r="K569" s="2816"/>
      <c r="L569" s="2816"/>
      <c r="M569" s="2852">
        <v>43709</v>
      </c>
      <c r="N569" s="2852"/>
      <c r="O569" s="2852">
        <v>43720</v>
      </c>
      <c r="P569" s="2818">
        <v>24</v>
      </c>
      <c r="Q569" s="2789">
        <v>24</v>
      </c>
      <c r="R569" s="18">
        <v>16000</v>
      </c>
      <c r="S569" s="2818" t="s">
        <v>37</v>
      </c>
      <c r="T569" s="2862" t="s">
        <v>38</v>
      </c>
      <c r="U569" s="10"/>
      <c r="V569" s="10"/>
      <c r="W569" s="131" t="s">
        <v>2841</v>
      </c>
      <c r="X569" s="2789" t="s">
        <v>86</v>
      </c>
      <c r="Y569" s="2789" t="s">
        <v>40</v>
      </c>
      <c r="Z569" s="2789"/>
      <c r="AA569" s="2815"/>
      <c r="AB569" s="199">
        <v>43780</v>
      </c>
      <c r="AC569" s="2762" t="s">
        <v>89</v>
      </c>
      <c r="AD569" s="35"/>
      <c r="AE569" s="2870"/>
    </row>
    <row r="570" spans="1:32" s="1" customFormat="1" ht="150" customHeight="1">
      <c r="A570" s="1119"/>
      <c r="B570" s="958" t="s">
        <v>56</v>
      </c>
      <c r="C570" s="966" t="s">
        <v>2865</v>
      </c>
      <c r="D570" s="511" t="s">
        <v>57</v>
      </c>
      <c r="E570" s="511"/>
      <c r="F570" s="511"/>
      <c r="G570" s="511"/>
      <c r="H570" s="511" t="s">
        <v>308</v>
      </c>
      <c r="I570" s="519" t="s">
        <v>47</v>
      </c>
      <c r="J570" s="1578" t="s">
        <v>2866</v>
      </c>
      <c r="K570" s="512"/>
      <c r="L570" s="530">
        <v>43669</v>
      </c>
      <c r="M570" s="530"/>
      <c r="N570" s="530"/>
      <c r="O570" s="530">
        <v>43724</v>
      </c>
      <c r="P570" s="530" t="s">
        <v>2867</v>
      </c>
      <c r="Q570" s="530" t="s">
        <v>2867</v>
      </c>
      <c r="R570" s="599">
        <v>4000</v>
      </c>
      <c r="S570" s="523" t="s">
        <v>176</v>
      </c>
      <c r="T570" s="1055" t="s">
        <v>38</v>
      </c>
      <c r="U570" s="515"/>
      <c r="V570" s="515"/>
      <c r="W570" s="519" t="s">
        <v>2868</v>
      </c>
      <c r="X570" s="120"/>
      <c r="Y570" s="120"/>
      <c r="Z570" s="120"/>
      <c r="AA570"/>
      <c r="AB570"/>
      <c r="AC570"/>
      <c r="AD570"/>
      <c r="AE570" s="186"/>
      <c r="AF570" s="2799"/>
    </row>
    <row r="571" spans="1:32" s="1" customFormat="1" ht="37.5">
      <c r="A571" s="1119"/>
      <c r="B571" s="958" t="s">
        <v>56</v>
      </c>
      <c r="C571" s="966" t="s">
        <v>2869</v>
      </c>
      <c r="D571" s="511" t="s">
        <v>57</v>
      </c>
      <c r="E571" s="511"/>
      <c r="F571" s="511"/>
      <c r="G571" s="511"/>
      <c r="H571" s="511" t="s">
        <v>58</v>
      </c>
      <c r="I571" s="511" t="s">
        <v>47</v>
      </c>
      <c r="J571" s="606" t="s">
        <v>2870</v>
      </c>
      <c r="K571" s="529"/>
      <c r="L571" s="622">
        <v>43670</v>
      </c>
      <c r="M571" s="622"/>
      <c r="N571" s="622"/>
      <c r="O571" s="622">
        <v>43724</v>
      </c>
      <c r="P571" s="536">
        <v>1</v>
      </c>
      <c r="Q571" s="536">
        <v>1</v>
      </c>
      <c r="R571" s="607">
        <v>24000</v>
      </c>
      <c r="S571" s="529" t="s">
        <v>1937</v>
      </c>
      <c r="T571" s="1055" t="s">
        <v>38</v>
      </c>
      <c r="U571" s="515"/>
      <c r="V571" s="515"/>
      <c r="W571" s="511" t="s">
        <v>2252</v>
      </c>
      <c r="X571" s="120"/>
      <c r="Y571" s="120"/>
      <c r="Z571" s="120"/>
      <c r="AA571" s="120"/>
      <c r="AB571" s="120"/>
      <c r="AC571" s="120"/>
      <c r="AD571"/>
      <c r="AE571" s="186"/>
      <c r="AF571" s="2799"/>
    </row>
    <row r="572" spans="1:32" s="1" customFormat="1" ht="37.5">
      <c r="A572" s="1119"/>
      <c r="B572" s="958" t="s">
        <v>56</v>
      </c>
      <c r="C572" s="966" t="s">
        <v>2871</v>
      </c>
      <c r="D572" s="511" t="s">
        <v>57</v>
      </c>
      <c r="E572" s="511"/>
      <c r="F572" s="511"/>
      <c r="G572" s="511"/>
      <c r="H572" s="511" t="s">
        <v>58</v>
      </c>
      <c r="I572" s="519" t="s">
        <v>47</v>
      </c>
      <c r="J572" s="1578" t="s">
        <v>2872</v>
      </c>
      <c r="K572" s="512"/>
      <c r="L572" s="530">
        <v>43712</v>
      </c>
      <c r="M572" s="530"/>
      <c r="N572" s="530"/>
      <c r="O572" s="530">
        <v>43724</v>
      </c>
      <c r="P572" s="519">
        <v>1</v>
      </c>
      <c r="Q572" s="519">
        <v>1</v>
      </c>
      <c r="R572" s="599">
        <v>10000</v>
      </c>
      <c r="S572" s="523" t="s">
        <v>176</v>
      </c>
      <c r="T572" s="1055" t="s">
        <v>38</v>
      </c>
      <c r="U572" s="515"/>
      <c r="V572" s="515"/>
      <c r="W572" s="519" t="s">
        <v>1940</v>
      </c>
      <c r="X572" s="120"/>
      <c r="Y572" s="120"/>
      <c r="Z572" s="120"/>
      <c r="AA572" s="120"/>
      <c r="AB572" s="120"/>
      <c r="AC572" s="120"/>
      <c r="AD572"/>
      <c r="AE572" s="186"/>
      <c r="AF572" s="2799"/>
    </row>
    <row r="573" spans="1:32" s="1" customFormat="1" ht="43.4" customHeight="1">
      <c r="A573" s="2756"/>
      <c r="B573" s="147" t="s">
        <v>44</v>
      </c>
      <c r="C573" s="250" t="s">
        <v>2873</v>
      </c>
      <c r="D573" s="5" t="s">
        <v>32</v>
      </c>
      <c r="E573" s="5"/>
      <c r="F573" s="5"/>
      <c r="G573" s="5"/>
      <c r="H573" s="5" t="s">
        <v>46</v>
      </c>
      <c r="I573" s="5" t="s">
        <v>47</v>
      </c>
      <c r="J573" s="69" t="s">
        <v>2874</v>
      </c>
      <c r="K573" s="69"/>
      <c r="L573" s="69"/>
      <c r="M573" s="182">
        <v>43641</v>
      </c>
      <c r="N573" s="182"/>
      <c r="O573" s="182">
        <v>43730</v>
      </c>
      <c r="P573" s="71">
        <v>5</v>
      </c>
      <c r="Q573" s="2763">
        <v>5</v>
      </c>
      <c r="R573" s="18">
        <v>40000</v>
      </c>
      <c r="S573" s="5" t="s">
        <v>176</v>
      </c>
      <c r="T573" s="2753" t="s">
        <v>38</v>
      </c>
      <c r="U573" s="4"/>
      <c r="V573" s="4"/>
      <c r="W573" s="2751" t="s">
        <v>2166</v>
      </c>
      <c r="X573" s="5" t="s">
        <v>2179</v>
      </c>
      <c r="Y573" s="2763" t="s">
        <v>40</v>
      </c>
      <c r="Z573" s="2763"/>
      <c r="AA573" s="2763"/>
      <c r="AB573" s="2801">
        <v>43790</v>
      </c>
      <c r="AC573" s="2875" t="s">
        <v>2875</v>
      </c>
      <c r="AD573" s="35"/>
      <c r="AE573" s="2837"/>
      <c r="AF573" s="2799"/>
    </row>
    <row r="574" spans="1:32" s="1" customFormat="1" ht="29.15" customHeight="1">
      <c r="A574" s="1119"/>
      <c r="B574" s="958" t="s">
        <v>56</v>
      </c>
      <c r="C574" s="966" t="s">
        <v>2876</v>
      </c>
      <c r="D574" s="511" t="s">
        <v>57</v>
      </c>
      <c r="E574" s="511"/>
      <c r="F574" s="511"/>
      <c r="G574" s="511"/>
      <c r="H574" s="511" t="s">
        <v>58</v>
      </c>
      <c r="I574" s="519" t="s">
        <v>47</v>
      </c>
      <c r="J574" s="1578" t="s">
        <v>2877</v>
      </c>
      <c r="K574" s="512"/>
      <c r="L574" s="530">
        <v>43700</v>
      </c>
      <c r="M574" s="530"/>
      <c r="N574" s="530"/>
      <c r="O574" s="530">
        <v>43731</v>
      </c>
      <c r="P574" s="530" t="s">
        <v>2878</v>
      </c>
      <c r="Q574" s="530" t="s">
        <v>60</v>
      </c>
      <c r="R574" s="599">
        <v>50000</v>
      </c>
      <c r="S574" s="523" t="s">
        <v>1937</v>
      </c>
      <c r="T574" s="1055" t="s">
        <v>62</v>
      </c>
      <c r="U574" s="515"/>
      <c r="V574" s="515"/>
      <c r="W574" s="533" t="s">
        <v>2417</v>
      </c>
      <c r="X574" s="120"/>
      <c r="Y574" s="120"/>
      <c r="Z574" s="120"/>
      <c r="AA574" s="120"/>
      <c r="AB574" s="120"/>
      <c r="AC574" s="120"/>
      <c r="AD574"/>
      <c r="AE574" s="186"/>
      <c r="AF574" s="2799"/>
    </row>
    <row r="575" spans="1:32" s="1" customFormat="1" ht="37.5">
      <c r="A575" s="1119"/>
      <c r="B575" s="958" t="s">
        <v>56</v>
      </c>
      <c r="C575" s="966" t="s">
        <v>60</v>
      </c>
      <c r="D575" s="511" t="s">
        <v>57</v>
      </c>
      <c r="E575" s="511"/>
      <c r="F575" s="511"/>
      <c r="G575" s="511"/>
      <c r="H575" s="511" t="s">
        <v>58</v>
      </c>
      <c r="I575" s="519" t="s">
        <v>47</v>
      </c>
      <c r="J575" s="1578" t="s">
        <v>2879</v>
      </c>
      <c r="K575" s="512"/>
      <c r="L575" s="530">
        <v>43647</v>
      </c>
      <c r="M575" s="530"/>
      <c r="N575" s="530"/>
      <c r="O575" s="530">
        <v>43738</v>
      </c>
      <c r="P575" s="516">
        <v>1</v>
      </c>
      <c r="Q575" s="516">
        <v>1</v>
      </c>
      <c r="R575" s="599">
        <v>306000</v>
      </c>
      <c r="S575" s="523" t="s">
        <v>1937</v>
      </c>
      <c r="T575" s="1055" t="s">
        <v>62</v>
      </c>
      <c r="U575" s="515" t="s">
        <v>60</v>
      </c>
      <c r="V575" s="515"/>
      <c r="W575" s="519" t="s">
        <v>2880</v>
      </c>
      <c r="X575" s="120"/>
      <c r="Y575" s="120"/>
      <c r="Z575" s="120"/>
      <c r="AA575" s="120"/>
      <c r="AB575" s="120"/>
      <c r="AC575" s="120"/>
      <c r="AD575"/>
      <c r="AE575" s="186"/>
    </row>
    <row r="576" spans="1:32" s="1" customFormat="1" ht="37.5">
      <c r="A576" s="1119"/>
      <c r="B576" s="958" t="s">
        <v>56</v>
      </c>
      <c r="C576" s="966" t="s">
        <v>60</v>
      </c>
      <c r="D576" s="511" t="s">
        <v>57</v>
      </c>
      <c r="E576" s="511"/>
      <c r="F576" s="511"/>
      <c r="G576" s="511"/>
      <c r="H576" s="511" t="s">
        <v>58</v>
      </c>
      <c r="I576" s="519" t="s">
        <v>47</v>
      </c>
      <c r="J576" s="1578" t="s">
        <v>2881</v>
      </c>
      <c r="K576" s="512"/>
      <c r="L576" s="530">
        <v>43678</v>
      </c>
      <c r="M576" s="530"/>
      <c r="N576" s="530"/>
      <c r="O576" s="530">
        <v>43738</v>
      </c>
      <c r="P576" s="516" t="s">
        <v>60</v>
      </c>
      <c r="Q576" s="516" t="s">
        <v>60</v>
      </c>
      <c r="R576" s="599">
        <v>498384</v>
      </c>
      <c r="S576" s="523" t="s">
        <v>1937</v>
      </c>
      <c r="T576" s="1055" t="s">
        <v>62</v>
      </c>
      <c r="U576" s="515" t="s">
        <v>60</v>
      </c>
      <c r="V576" s="515"/>
      <c r="W576" s="519" t="s">
        <v>2008</v>
      </c>
      <c r="X576" s="120"/>
      <c r="Y576" s="120"/>
      <c r="Z576" s="120"/>
      <c r="AA576" s="120"/>
      <c r="AB576" s="120"/>
      <c r="AC576" s="120"/>
      <c r="AD576"/>
      <c r="AE576" s="186"/>
      <c r="AF576" s="2799"/>
    </row>
    <row r="577" spans="1:32" s="1" customFormat="1" ht="29">
      <c r="A577" s="1190"/>
      <c r="B577" s="464" t="s">
        <v>100</v>
      </c>
      <c r="C577" s="469"/>
      <c r="D577" s="8" t="s">
        <v>110</v>
      </c>
      <c r="E577" s="8"/>
      <c r="F577" s="8"/>
      <c r="G577" s="8"/>
      <c r="H577" s="8" t="s">
        <v>103</v>
      </c>
      <c r="I577" s="8" t="s">
        <v>47</v>
      </c>
      <c r="J577" s="16" t="s">
        <v>2882</v>
      </c>
      <c r="K577" s="8"/>
      <c r="L577" s="8"/>
      <c r="M577" s="367">
        <v>42826</v>
      </c>
      <c r="N577" s="8"/>
      <c r="O577" s="367">
        <v>43739</v>
      </c>
      <c r="P577" s="368"/>
      <c r="Q577" s="368">
        <v>12</v>
      </c>
      <c r="R577" s="159">
        <v>640000</v>
      </c>
      <c r="S577" s="5" t="s">
        <v>84</v>
      </c>
      <c r="T577" s="390" t="s">
        <v>70</v>
      </c>
      <c r="U577" s="388">
        <v>43563</v>
      </c>
      <c r="V577" s="388"/>
      <c r="W577" s="8" t="s">
        <v>2883</v>
      </c>
      <c r="X577" s="8" t="s">
        <v>125</v>
      </c>
      <c r="Y577" s="8" t="s">
        <v>1161</v>
      </c>
      <c r="Z577" s="8"/>
      <c r="AA577" s="364"/>
      <c r="AB577" s="364" t="s">
        <v>70</v>
      </c>
      <c r="AC577" s="177">
        <v>44060</v>
      </c>
      <c r="AD577" s="432"/>
      <c r="AE577" s="487"/>
    </row>
    <row r="578" spans="1:32" s="1" customFormat="1" ht="43.4" customHeight="1">
      <c r="A578" s="1184"/>
      <c r="B578" s="464" t="s">
        <v>100</v>
      </c>
      <c r="C578" s="468" t="s">
        <v>2884</v>
      </c>
      <c r="D578" s="402" t="s">
        <v>32</v>
      </c>
      <c r="E578" s="402"/>
      <c r="F578" s="402"/>
      <c r="G578" s="402"/>
      <c r="H578" s="402" t="s">
        <v>103</v>
      </c>
      <c r="I578" s="402" t="s">
        <v>47</v>
      </c>
      <c r="J578" s="1584" t="s">
        <v>2885</v>
      </c>
      <c r="K578" s="402"/>
      <c r="L578" s="402"/>
      <c r="M578" s="374">
        <v>43313</v>
      </c>
      <c r="N578" s="402"/>
      <c r="O578" s="374">
        <v>43739</v>
      </c>
      <c r="P578" s="403">
        <v>60</v>
      </c>
      <c r="Q578" s="403" t="s">
        <v>187</v>
      </c>
      <c r="R578" s="404">
        <v>400000</v>
      </c>
      <c r="S578" s="404" t="s">
        <v>176</v>
      </c>
      <c r="T578" s="478" t="s">
        <v>70</v>
      </c>
      <c r="U578" s="405" t="s">
        <v>45</v>
      </c>
      <c r="V578" s="405"/>
      <c r="W578" s="402" t="s">
        <v>2886</v>
      </c>
      <c r="X578" s="402" t="s">
        <v>125</v>
      </c>
      <c r="Y578" s="402" t="s">
        <v>115</v>
      </c>
      <c r="Z578" s="402"/>
      <c r="AA578" s="406" t="s">
        <v>70</v>
      </c>
      <c r="AB578" s="407">
        <v>43893</v>
      </c>
      <c r="AC578" s="408" t="s">
        <v>2887</v>
      </c>
      <c r="AD578" s="409"/>
      <c r="AE578" s="499"/>
    </row>
    <row r="579" spans="1:32" s="1" customFormat="1" ht="43.4" customHeight="1">
      <c r="A579" s="1184"/>
      <c r="B579" s="147" t="s">
        <v>44</v>
      </c>
      <c r="C579" s="72" t="s">
        <v>2888</v>
      </c>
      <c r="D579" s="5" t="s">
        <v>32</v>
      </c>
      <c r="E579" s="5"/>
      <c r="F579" s="5"/>
      <c r="G579" s="5"/>
      <c r="H579" s="5" t="s">
        <v>480</v>
      </c>
      <c r="I579" s="5" t="s">
        <v>34</v>
      </c>
      <c r="J579" s="16" t="s">
        <v>2889</v>
      </c>
      <c r="K579" s="8"/>
      <c r="L579" s="8"/>
      <c r="M579" s="199">
        <f>EDATE(O579,-12)</f>
        <v>43374</v>
      </c>
      <c r="N579" s="199"/>
      <c r="O579" s="14">
        <v>43739</v>
      </c>
      <c r="P579" s="5">
        <v>60</v>
      </c>
      <c r="Q579" s="7" t="s">
        <v>2375</v>
      </c>
      <c r="R579" s="18">
        <v>10000000</v>
      </c>
      <c r="S579" s="5" t="s">
        <v>130</v>
      </c>
      <c r="T579" s="163" t="s">
        <v>38</v>
      </c>
      <c r="U579" s="4"/>
      <c r="V579" s="4"/>
      <c r="W579" s="5" t="s">
        <v>483</v>
      </c>
      <c r="X579" s="5" t="s">
        <v>2179</v>
      </c>
      <c r="Y579" s="5" t="s">
        <v>1161</v>
      </c>
      <c r="Z579" s="5"/>
      <c r="AA579" s="5"/>
      <c r="AB579" s="2801">
        <v>43790</v>
      </c>
      <c r="AC579" s="8" t="s">
        <v>2890</v>
      </c>
      <c r="AE579" s="164"/>
    </row>
    <row r="580" spans="1:32" s="1" customFormat="1" ht="58">
      <c r="A580" s="1184"/>
      <c r="B580" s="147" t="s">
        <v>44</v>
      </c>
      <c r="C580" s="2863" t="s">
        <v>2891</v>
      </c>
      <c r="D580" s="8" t="s">
        <v>32</v>
      </c>
      <c r="E580" s="8"/>
      <c r="F580" s="8"/>
      <c r="G580" s="8"/>
      <c r="H580" s="5" t="s">
        <v>1770</v>
      </c>
      <c r="I580" s="5" t="s">
        <v>47</v>
      </c>
      <c r="J580" s="16" t="s">
        <v>2892</v>
      </c>
      <c r="K580" s="16"/>
      <c r="L580" s="16"/>
      <c r="M580" s="14">
        <v>43435</v>
      </c>
      <c r="N580" s="14"/>
      <c r="O580" s="182">
        <v>43739</v>
      </c>
      <c r="P580" s="12">
        <v>12</v>
      </c>
      <c r="Q580" s="27">
        <v>12</v>
      </c>
      <c r="R580" s="18">
        <v>40000</v>
      </c>
      <c r="S580" s="31" t="s">
        <v>176</v>
      </c>
      <c r="T580" s="27" t="s">
        <v>38</v>
      </c>
      <c r="U580" s="4"/>
      <c r="V580" s="4"/>
      <c r="W580" s="5" t="s">
        <v>2270</v>
      </c>
      <c r="X580" s="2751" t="s">
        <v>86</v>
      </c>
      <c r="Y580" s="5" t="s">
        <v>40</v>
      </c>
      <c r="Z580" s="5"/>
      <c r="AA580" s="5"/>
      <c r="AB580" s="199">
        <v>43481</v>
      </c>
      <c r="AC580" s="117" t="s">
        <v>2893</v>
      </c>
      <c r="AE580" s="224" t="s">
        <v>2272</v>
      </c>
    </row>
    <row r="581" spans="1:32" s="1" customFormat="1" ht="43.5">
      <c r="A581" s="1184"/>
      <c r="B581" s="147" t="s">
        <v>44</v>
      </c>
      <c r="C581" s="72" t="s">
        <v>2894</v>
      </c>
      <c r="D581" s="8" t="s">
        <v>32</v>
      </c>
      <c r="E581" s="8"/>
      <c r="F581" s="8"/>
      <c r="G581" s="8"/>
      <c r="H581" s="5" t="s">
        <v>1770</v>
      </c>
      <c r="I581" s="5" t="s">
        <v>47</v>
      </c>
      <c r="J581" s="16" t="s">
        <v>1771</v>
      </c>
      <c r="K581" s="16"/>
      <c r="L581" s="16"/>
      <c r="M581" s="182">
        <v>43466</v>
      </c>
      <c r="N581" s="182"/>
      <c r="O581" s="182">
        <v>43739</v>
      </c>
      <c r="P581" s="12">
        <v>12</v>
      </c>
      <c r="Q581" s="28" t="s">
        <v>50</v>
      </c>
      <c r="R581" s="18">
        <v>1600</v>
      </c>
      <c r="S581" s="31" t="s">
        <v>130</v>
      </c>
      <c r="T581" s="27" t="s">
        <v>38</v>
      </c>
      <c r="U581" s="4"/>
      <c r="V581" s="4"/>
      <c r="W581" s="5" t="s">
        <v>2635</v>
      </c>
      <c r="X581" s="5" t="s">
        <v>254</v>
      </c>
      <c r="Y581" s="5" t="s">
        <v>40</v>
      </c>
      <c r="Z581" s="5"/>
      <c r="AA581" s="5"/>
      <c r="AB581" s="199">
        <v>43474</v>
      </c>
      <c r="AC581" s="8" t="s">
        <v>2895</v>
      </c>
      <c r="AE581" s="224"/>
    </row>
    <row r="582" spans="1:32" s="1" customFormat="1" ht="43.5">
      <c r="A582" s="1184"/>
      <c r="B582" s="147" t="s">
        <v>44</v>
      </c>
      <c r="C582" s="72" t="s">
        <v>2896</v>
      </c>
      <c r="D582" s="2757" t="s">
        <v>32</v>
      </c>
      <c r="E582" s="2757"/>
      <c r="F582" s="2757"/>
      <c r="G582" s="2757"/>
      <c r="H582" s="2825" t="s">
        <v>33</v>
      </c>
      <c r="I582" s="2793" t="s">
        <v>34</v>
      </c>
      <c r="J582" s="2795" t="s">
        <v>2284</v>
      </c>
      <c r="K582" s="2795"/>
      <c r="L582" s="2795"/>
      <c r="M582" s="2764">
        <v>43586</v>
      </c>
      <c r="N582" s="2764"/>
      <c r="O582" s="146">
        <v>43739</v>
      </c>
      <c r="P582" s="2763">
        <v>60</v>
      </c>
      <c r="Q582" s="2753" t="s">
        <v>2897</v>
      </c>
      <c r="R582" s="18">
        <v>7500</v>
      </c>
      <c r="S582" s="31" t="s">
        <v>130</v>
      </c>
      <c r="T582" s="2837" t="s">
        <v>38</v>
      </c>
      <c r="U582" s="4"/>
      <c r="V582" s="4"/>
      <c r="W582" s="2763" t="s">
        <v>2285</v>
      </c>
      <c r="X582" s="46" t="s">
        <v>254</v>
      </c>
      <c r="Y582" s="5" t="s">
        <v>40</v>
      </c>
      <c r="Z582" s="5"/>
      <c r="AA582" s="2757"/>
      <c r="AB582" s="199">
        <v>43606</v>
      </c>
      <c r="AC582" s="36" t="s">
        <v>2898</v>
      </c>
      <c r="AE582" s="2867"/>
    </row>
    <row r="583" spans="1:32" s="1" customFormat="1" ht="115.4" customHeight="1">
      <c r="A583" s="1191"/>
      <c r="B583" s="147" t="s">
        <v>44</v>
      </c>
      <c r="C583" s="72" t="s">
        <v>619</v>
      </c>
      <c r="D583" s="5" t="s">
        <v>32</v>
      </c>
      <c r="E583" s="5"/>
      <c r="F583" s="5"/>
      <c r="G583" s="5"/>
      <c r="H583" s="2751" t="s">
        <v>33</v>
      </c>
      <c r="I583" s="2751" t="s">
        <v>47</v>
      </c>
      <c r="J583" s="2752" t="s">
        <v>2899</v>
      </c>
      <c r="K583" s="2752"/>
      <c r="L583" s="2752"/>
      <c r="M583" s="199">
        <v>43662</v>
      </c>
      <c r="N583" s="199"/>
      <c r="O583" s="182">
        <v>43739</v>
      </c>
      <c r="P583" s="2751">
        <v>24</v>
      </c>
      <c r="Q583" s="2753" t="s">
        <v>1345</v>
      </c>
      <c r="R583" s="18">
        <v>4500</v>
      </c>
      <c r="S583" s="2797" t="s">
        <v>84</v>
      </c>
      <c r="T583" s="2753" t="s">
        <v>38</v>
      </c>
      <c r="U583" s="4"/>
      <c r="V583" s="4"/>
      <c r="W583" s="2751" t="s">
        <v>287</v>
      </c>
      <c r="X583" s="5" t="s">
        <v>86</v>
      </c>
      <c r="Y583" s="5" t="s">
        <v>40</v>
      </c>
      <c r="Z583" s="5"/>
      <c r="AA583" s="2752"/>
      <c r="AB583" s="2759">
        <v>43801</v>
      </c>
      <c r="AC583" s="2758" t="s">
        <v>89</v>
      </c>
      <c r="AE583" s="2876"/>
    </row>
    <row r="584" spans="1:32" s="1" customFormat="1" ht="43.5">
      <c r="A584" s="1184"/>
      <c r="B584" s="147" t="s">
        <v>44</v>
      </c>
      <c r="C584" s="72" t="s">
        <v>619</v>
      </c>
      <c r="D584" s="5" t="s">
        <v>32</v>
      </c>
      <c r="E584" s="5"/>
      <c r="F584" s="5"/>
      <c r="G584" s="5"/>
      <c r="H584" s="2751" t="s">
        <v>33</v>
      </c>
      <c r="I584" s="2751" t="s">
        <v>47</v>
      </c>
      <c r="J584" s="2752" t="s">
        <v>620</v>
      </c>
      <c r="K584" s="2752"/>
      <c r="L584" s="2752"/>
      <c r="M584" s="199">
        <v>43662</v>
      </c>
      <c r="N584" s="199"/>
      <c r="O584" s="182">
        <v>43739</v>
      </c>
      <c r="P584" s="2751">
        <v>24</v>
      </c>
      <c r="Q584" s="2753" t="s">
        <v>1345</v>
      </c>
      <c r="R584" s="18">
        <v>13000</v>
      </c>
      <c r="S584" s="2797" t="s">
        <v>84</v>
      </c>
      <c r="T584" s="2753" t="s">
        <v>38</v>
      </c>
      <c r="U584" s="4"/>
      <c r="V584" s="4"/>
      <c r="W584" s="2751" t="s">
        <v>287</v>
      </c>
      <c r="X584" s="5" t="s">
        <v>86</v>
      </c>
      <c r="Y584" s="5" t="s">
        <v>40</v>
      </c>
      <c r="Z584" s="5"/>
      <c r="AA584" s="2752"/>
      <c r="AB584" s="2759">
        <v>43801</v>
      </c>
      <c r="AC584" s="2758" t="s">
        <v>89</v>
      </c>
      <c r="AE584" s="2876"/>
    </row>
    <row r="585" spans="1:32" s="1" customFormat="1" ht="116">
      <c r="A585" s="1184"/>
      <c r="B585" s="147" t="s">
        <v>44</v>
      </c>
      <c r="C585" s="72" t="s">
        <v>2900</v>
      </c>
      <c r="D585" s="9" t="s">
        <v>57</v>
      </c>
      <c r="E585" s="9"/>
      <c r="F585" s="9"/>
      <c r="G585" s="9"/>
      <c r="H585" s="9" t="s">
        <v>363</v>
      </c>
      <c r="I585" s="9" t="s">
        <v>34</v>
      </c>
      <c r="J585" s="63" t="s">
        <v>2901</v>
      </c>
      <c r="K585" s="6"/>
      <c r="L585" s="6"/>
      <c r="M585" s="183">
        <v>43691</v>
      </c>
      <c r="N585" s="183"/>
      <c r="O585" s="183">
        <v>43739</v>
      </c>
      <c r="P585" s="9">
        <v>60</v>
      </c>
      <c r="Q585" s="185" t="s">
        <v>2902</v>
      </c>
      <c r="R585" s="61">
        <v>126000</v>
      </c>
      <c r="S585" s="32" t="s">
        <v>130</v>
      </c>
      <c r="T585" s="166" t="s">
        <v>38</v>
      </c>
      <c r="U585" s="4"/>
      <c r="V585" s="4"/>
      <c r="W585" s="9" t="s">
        <v>789</v>
      </c>
      <c r="X585" s="9" t="s">
        <v>39</v>
      </c>
      <c r="Y585" s="9" t="s">
        <v>40</v>
      </c>
      <c r="Z585" s="9"/>
      <c r="AA585" s="9"/>
      <c r="AB585" s="2877">
        <v>44099</v>
      </c>
      <c r="AC585" s="6" t="s">
        <v>2903</v>
      </c>
      <c r="AD585"/>
      <c r="AE585" s="231"/>
    </row>
    <row r="586" spans="1:32" s="1" customFormat="1" ht="58">
      <c r="A586" s="1184"/>
      <c r="B586" s="147" t="s">
        <v>44</v>
      </c>
      <c r="C586" s="72" t="s">
        <v>2904</v>
      </c>
      <c r="D586" s="2818" t="s">
        <v>32</v>
      </c>
      <c r="E586" s="2818"/>
      <c r="F586" s="2818"/>
      <c r="G586" s="2818"/>
      <c r="H586" s="2789" t="s">
        <v>1670</v>
      </c>
      <c r="I586" s="2818" t="s">
        <v>47</v>
      </c>
      <c r="J586" s="2816" t="s">
        <v>2905</v>
      </c>
      <c r="K586" s="2816"/>
      <c r="L586" s="2816"/>
      <c r="M586" s="2817">
        <v>43709</v>
      </c>
      <c r="N586" s="2817"/>
      <c r="O586" s="2817">
        <v>43739</v>
      </c>
      <c r="P586" s="2815">
        <v>42</v>
      </c>
      <c r="Q586" s="2878">
        <v>42</v>
      </c>
      <c r="R586" s="18">
        <v>7000</v>
      </c>
      <c r="S586" s="2879" t="s">
        <v>37</v>
      </c>
      <c r="T586" s="2859" t="s">
        <v>38</v>
      </c>
      <c r="U586" s="4"/>
      <c r="V586" s="4"/>
      <c r="W586" s="131" t="s">
        <v>2841</v>
      </c>
      <c r="X586" s="2789" t="s">
        <v>254</v>
      </c>
      <c r="Y586" s="2789" t="s">
        <v>40</v>
      </c>
      <c r="Z586" s="2789"/>
      <c r="AA586" s="2815"/>
      <c r="AB586" s="2801">
        <v>43720</v>
      </c>
      <c r="AC586" s="2822" t="s">
        <v>2906</v>
      </c>
      <c r="AD586" s="35"/>
      <c r="AE586" s="2870"/>
    </row>
    <row r="587" spans="1:32" s="1" customFormat="1" ht="58">
      <c r="A587" s="1184"/>
      <c r="B587" s="147" t="s">
        <v>44</v>
      </c>
      <c r="C587" s="72" t="s">
        <v>427</v>
      </c>
      <c r="D587" s="2815" t="s">
        <v>32</v>
      </c>
      <c r="E587" s="2815"/>
      <c r="F587" s="2815"/>
      <c r="G587" s="2815"/>
      <c r="H587" s="2814" t="s">
        <v>1670</v>
      </c>
      <c r="I587" s="2815" t="s">
        <v>47</v>
      </c>
      <c r="J587" s="2816" t="s">
        <v>2907</v>
      </c>
      <c r="K587" s="2816"/>
      <c r="L587" s="2816"/>
      <c r="M587" s="2817">
        <v>43721</v>
      </c>
      <c r="N587" s="2817"/>
      <c r="O587" s="2817">
        <v>43739</v>
      </c>
      <c r="P587" s="2815">
        <v>36</v>
      </c>
      <c r="Q587" s="2878" t="s">
        <v>1538</v>
      </c>
      <c r="R587" s="18">
        <v>24000</v>
      </c>
      <c r="S587" s="2879" t="s">
        <v>37</v>
      </c>
      <c r="T587" s="2859" t="s">
        <v>38</v>
      </c>
      <c r="U587" s="120"/>
      <c r="V587" s="120"/>
      <c r="W587" s="131" t="s">
        <v>2841</v>
      </c>
      <c r="X587" s="2789" t="s">
        <v>254</v>
      </c>
      <c r="Y587" s="2789" t="s">
        <v>40</v>
      </c>
      <c r="Z587" s="2789"/>
      <c r="AA587" s="2815"/>
      <c r="AB587" s="2801">
        <v>43728</v>
      </c>
      <c r="AC587" s="2822" t="s">
        <v>2906</v>
      </c>
      <c r="AD587" s="35"/>
      <c r="AE587" s="2870"/>
    </row>
    <row r="588" spans="1:32" s="1" customFormat="1" ht="43.4" customHeight="1">
      <c r="A588" s="1119"/>
      <c r="B588" s="958" t="s">
        <v>56</v>
      </c>
      <c r="C588" s="966" t="s">
        <v>60</v>
      </c>
      <c r="D588" s="511" t="s">
        <v>57</v>
      </c>
      <c r="E588" s="511"/>
      <c r="F588" s="511"/>
      <c r="G588" s="511"/>
      <c r="H588" s="511" t="s">
        <v>58</v>
      </c>
      <c r="I588" s="519" t="s">
        <v>47</v>
      </c>
      <c r="J588" s="1578" t="s">
        <v>2908</v>
      </c>
      <c r="K588" s="512"/>
      <c r="L588" s="512"/>
      <c r="M588" s="511">
        <v>12</v>
      </c>
      <c r="N588" s="514" t="str">
        <f>IF(O588="tbc","",(IFERROR(EDATE(#REF!,-3),"Invalid procurement method or date entered")))</f>
        <v>Invalid procurement method or date entered</v>
      </c>
      <c r="O588" s="515">
        <v>43739</v>
      </c>
      <c r="P588" s="516" t="s">
        <v>60</v>
      </c>
      <c r="Q588" s="1009" t="s">
        <v>60</v>
      </c>
      <c r="R588" s="528" t="s">
        <v>60</v>
      </c>
      <c r="S588" s="1044" t="s">
        <v>158</v>
      </c>
      <c r="T588" s="1055" t="s">
        <v>310</v>
      </c>
      <c r="U588" s="515" t="s">
        <v>60</v>
      </c>
      <c r="V588" s="515"/>
      <c r="W588" s="519" t="s">
        <v>2909</v>
      </c>
      <c r="X588" s="120"/>
      <c r="Y588" s="120"/>
      <c r="Z588" s="120"/>
      <c r="AA588" s="120"/>
      <c r="AB588" s="120"/>
      <c r="AC588" s="120"/>
      <c r="AD588"/>
      <c r="AE588" s="186"/>
      <c r="AF588" s="3"/>
    </row>
    <row r="589" spans="1:32" s="1" customFormat="1" ht="87.5">
      <c r="A589" s="1119"/>
      <c r="B589" s="958" t="s">
        <v>56</v>
      </c>
      <c r="C589" s="966" t="s">
        <v>60</v>
      </c>
      <c r="D589" s="511" t="s">
        <v>57</v>
      </c>
      <c r="E589" s="511"/>
      <c r="F589" s="511"/>
      <c r="G589" s="511"/>
      <c r="H589" s="511" t="s">
        <v>58</v>
      </c>
      <c r="I589" s="519" t="s">
        <v>47</v>
      </c>
      <c r="J589" s="1578" t="s">
        <v>2910</v>
      </c>
      <c r="K589" s="512"/>
      <c r="L589" s="512"/>
      <c r="M589" s="511">
        <v>14</v>
      </c>
      <c r="N589" s="514" t="str">
        <f>IF(O589="tbc","",(IFERROR(EDATE(#REF!,-3),"Invalid procurement method or date entered")))</f>
        <v>Invalid procurement method or date entered</v>
      </c>
      <c r="O589" s="515">
        <v>43739</v>
      </c>
      <c r="P589" s="516" t="s">
        <v>60</v>
      </c>
      <c r="Q589" s="516" t="s">
        <v>60</v>
      </c>
      <c r="R589" s="528" t="s">
        <v>60</v>
      </c>
      <c r="S589" s="515" t="s">
        <v>60</v>
      </c>
      <c r="T589" s="1055" t="s">
        <v>310</v>
      </c>
      <c r="U589" s="515" t="s">
        <v>60</v>
      </c>
      <c r="V589" s="515"/>
      <c r="W589" s="519" t="s">
        <v>2911</v>
      </c>
      <c r="X589" s="120"/>
      <c r="Y589" s="120"/>
      <c r="Z589" s="120"/>
      <c r="AA589" s="120"/>
      <c r="AB589" s="120"/>
      <c r="AC589" s="120"/>
      <c r="AD589"/>
      <c r="AE589" s="186"/>
    </row>
    <row r="590" spans="1:32" s="1" customFormat="1">
      <c r="A590" s="1648">
        <v>44974</v>
      </c>
      <c r="B590" s="1569" t="s">
        <v>1168</v>
      </c>
      <c r="C590" s="1667" t="s">
        <v>1170</v>
      </c>
      <c r="D590" s="1664" t="s">
        <v>1506</v>
      </c>
      <c r="E590" s="1655" t="s">
        <v>1168</v>
      </c>
      <c r="F590" s="1655" t="s">
        <v>1170</v>
      </c>
      <c r="G590" s="1655" t="s">
        <v>1170</v>
      </c>
      <c r="H590" s="1655" t="s">
        <v>1170</v>
      </c>
      <c r="I590" s="1655" t="s">
        <v>1170</v>
      </c>
      <c r="J590" s="1698" t="s">
        <v>2912</v>
      </c>
      <c r="K590" s="1664" t="s">
        <v>2913</v>
      </c>
      <c r="L590" s="1655" t="s">
        <v>1170</v>
      </c>
      <c r="M590" s="1655" t="s">
        <v>1170</v>
      </c>
      <c r="N590" s="1655" t="s">
        <v>1170</v>
      </c>
      <c r="O590" s="1755">
        <v>43739</v>
      </c>
      <c r="P590" s="1755">
        <v>45199</v>
      </c>
      <c r="Q590" s="1664" t="s">
        <v>589</v>
      </c>
      <c r="R590" s="1664" t="s">
        <v>2914</v>
      </c>
      <c r="S590" s="1664" t="s">
        <v>1182</v>
      </c>
      <c r="T590" s="1842" t="s">
        <v>1170</v>
      </c>
      <c r="U590" s="1655" t="s">
        <v>1170</v>
      </c>
      <c r="V590" s="1655"/>
      <c r="W590" s="1664" t="s">
        <v>1510</v>
      </c>
      <c r="X590" s="1664" t="s">
        <v>1175</v>
      </c>
      <c r="Y590" s="1664" t="s">
        <v>251</v>
      </c>
      <c r="Z590" s="1655" t="s">
        <v>1170</v>
      </c>
      <c r="AA590" s="1655" t="s">
        <v>1170</v>
      </c>
      <c r="AB590" s="1655" t="s">
        <v>1170</v>
      </c>
      <c r="AC590" s="1698" t="s">
        <v>2915</v>
      </c>
      <c r="AD590" s="1657" t="s">
        <v>1170</v>
      </c>
      <c r="AE590" s="1667" t="s">
        <v>2914</v>
      </c>
      <c r="AF590"/>
    </row>
    <row r="591" spans="1:32" s="296" customFormat="1" ht="37.5">
      <c r="A591" s="1119"/>
      <c r="B591" s="958" t="s">
        <v>56</v>
      </c>
      <c r="C591" s="966" t="s">
        <v>2916</v>
      </c>
      <c r="D591" s="511" t="s">
        <v>57</v>
      </c>
      <c r="E591" s="511"/>
      <c r="F591" s="511"/>
      <c r="G591" s="511"/>
      <c r="H591" s="511" t="s">
        <v>58</v>
      </c>
      <c r="I591" s="519" t="s">
        <v>47</v>
      </c>
      <c r="J591" s="1578" t="s">
        <v>2917</v>
      </c>
      <c r="K591" s="512"/>
      <c r="L591" s="530">
        <v>43689</v>
      </c>
      <c r="M591" s="530"/>
      <c r="N591" s="530"/>
      <c r="O591" s="530">
        <v>43752</v>
      </c>
      <c r="P591" s="516">
        <v>1</v>
      </c>
      <c r="Q591" s="516">
        <v>1</v>
      </c>
      <c r="R591" s="599">
        <v>30000</v>
      </c>
      <c r="S591" s="1043" t="s">
        <v>1937</v>
      </c>
      <c r="T591" s="1055" t="s">
        <v>38</v>
      </c>
      <c r="U591" s="515"/>
      <c r="V591" s="515"/>
      <c r="W591" s="519" t="s">
        <v>1047</v>
      </c>
      <c r="X591" s="120"/>
      <c r="Y591" s="120"/>
      <c r="Z591" s="120"/>
      <c r="AA591" s="120"/>
      <c r="AB591" s="120"/>
      <c r="AC591" s="120"/>
      <c r="AD591"/>
      <c r="AE591" s="186"/>
      <c r="AF591" s="1"/>
    </row>
    <row r="592" spans="1:32" s="1" customFormat="1" ht="77.5">
      <c r="A592" s="1119"/>
      <c r="B592" s="958" t="s">
        <v>56</v>
      </c>
      <c r="C592" s="966" t="s">
        <v>2918</v>
      </c>
      <c r="D592" s="511" t="s">
        <v>57</v>
      </c>
      <c r="E592" s="511"/>
      <c r="F592" s="511"/>
      <c r="G592" s="511"/>
      <c r="H592" s="511" t="s">
        <v>58</v>
      </c>
      <c r="I592" s="519" t="s">
        <v>47</v>
      </c>
      <c r="J592" s="1578" t="s">
        <v>2919</v>
      </c>
      <c r="K592" s="512"/>
      <c r="L592" s="530">
        <v>43677</v>
      </c>
      <c r="M592" s="530"/>
      <c r="N592" s="530"/>
      <c r="O592" s="530">
        <v>43752</v>
      </c>
      <c r="P592" s="516">
        <v>2</v>
      </c>
      <c r="Q592" s="1009">
        <v>2</v>
      </c>
      <c r="R592" s="599">
        <f>129698+282877+107868+37380</f>
        <v>557823</v>
      </c>
      <c r="S592" s="1043" t="s">
        <v>1937</v>
      </c>
      <c r="T592" s="1055" t="s">
        <v>310</v>
      </c>
      <c r="U592" s="515"/>
      <c r="V592" s="515"/>
      <c r="W592" s="533" t="s">
        <v>2417</v>
      </c>
      <c r="X592" s="120"/>
      <c r="Y592" s="120"/>
      <c r="Z592" s="120"/>
      <c r="AA592" s="186"/>
      <c r="AB592" s="186"/>
      <c r="AC592" s="186"/>
      <c r="AD592" s="120"/>
      <c r="AE592" s="186"/>
    </row>
    <row r="593" spans="1:31" s="1" customFormat="1" ht="43.5">
      <c r="A593" s="1184"/>
      <c r="B593" s="147" t="s">
        <v>44</v>
      </c>
      <c r="C593" s="72" t="s">
        <v>2920</v>
      </c>
      <c r="D593" s="8" t="s">
        <v>32</v>
      </c>
      <c r="E593" s="8"/>
      <c r="F593" s="8"/>
      <c r="G593" s="8"/>
      <c r="H593" s="5" t="s">
        <v>1770</v>
      </c>
      <c r="I593" s="12" t="s">
        <v>47</v>
      </c>
      <c r="J593" s="16" t="s">
        <v>1845</v>
      </c>
      <c r="K593" s="16"/>
      <c r="L593" s="16"/>
      <c r="M593" s="182">
        <v>43497</v>
      </c>
      <c r="N593" s="182"/>
      <c r="O593" s="182">
        <v>43758</v>
      </c>
      <c r="P593" s="12">
        <v>12</v>
      </c>
      <c r="Q593" s="25" t="s">
        <v>50</v>
      </c>
      <c r="R593" s="18">
        <v>14280</v>
      </c>
      <c r="S593" s="31" t="s">
        <v>130</v>
      </c>
      <c r="T593" s="27" t="s">
        <v>38</v>
      </c>
      <c r="U593" s="4"/>
      <c r="V593" s="4"/>
      <c r="W593" s="12" t="s">
        <v>383</v>
      </c>
      <c r="X593" s="5" t="s">
        <v>413</v>
      </c>
      <c r="Y593" s="5" t="s">
        <v>40</v>
      </c>
      <c r="Z593" s="5"/>
      <c r="AA593" s="17"/>
      <c r="AB593" s="199">
        <v>43388</v>
      </c>
      <c r="AC593" s="8" t="s">
        <v>2921</v>
      </c>
      <c r="AE593" s="27"/>
    </row>
    <row r="594" spans="1:31" s="1" customFormat="1" ht="43.4" customHeight="1">
      <c r="A594" s="1184"/>
      <c r="B594" s="147" t="s">
        <v>44</v>
      </c>
      <c r="C594" s="72"/>
      <c r="D594" s="9" t="s">
        <v>32</v>
      </c>
      <c r="E594" s="9"/>
      <c r="F594" s="9"/>
      <c r="G594" s="9"/>
      <c r="H594" s="5" t="s">
        <v>33</v>
      </c>
      <c r="I594" s="5" t="s">
        <v>34</v>
      </c>
      <c r="J594" s="16" t="s">
        <v>1793</v>
      </c>
      <c r="K594" s="16"/>
      <c r="L594" s="16"/>
      <c r="M594" s="182">
        <v>43556</v>
      </c>
      <c r="N594" s="182"/>
      <c r="O594" s="182">
        <v>43758</v>
      </c>
      <c r="P594" s="12">
        <v>120</v>
      </c>
      <c r="Q594" s="25" t="s">
        <v>2922</v>
      </c>
      <c r="R594" s="18">
        <v>184465</v>
      </c>
      <c r="S594" s="31" t="s">
        <v>130</v>
      </c>
      <c r="T594" s="168" t="s">
        <v>62</v>
      </c>
      <c r="U594" s="4"/>
      <c r="V594" s="4"/>
      <c r="W594" s="5" t="s">
        <v>2923</v>
      </c>
      <c r="X594" s="5" t="s">
        <v>39</v>
      </c>
      <c r="Y594" s="5" t="s">
        <v>40</v>
      </c>
      <c r="Z594" s="5"/>
      <c r="AA594" s="26"/>
      <c r="AB594" s="45">
        <v>43685</v>
      </c>
      <c r="AC594" s="490" t="s">
        <v>2924</v>
      </c>
      <c r="AE594" s="224"/>
    </row>
    <row r="595" spans="1:31" s="1" customFormat="1" ht="232">
      <c r="A595" s="1184"/>
      <c r="B595" s="147" t="s">
        <v>44</v>
      </c>
      <c r="C595" s="72" t="s">
        <v>2925</v>
      </c>
      <c r="D595" s="9" t="s">
        <v>57</v>
      </c>
      <c r="E595" s="9"/>
      <c r="F595" s="9"/>
      <c r="G595" s="9"/>
      <c r="H595" s="5" t="s">
        <v>33</v>
      </c>
      <c r="I595" s="12" t="s">
        <v>34</v>
      </c>
      <c r="J595" s="16" t="s">
        <v>2926</v>
      </c>
      <c r="K595" s="8"/>
      <c r="L595" s="8"/>
      <c r="M595" s="182">
        <v>43405</v>
      </c>
      <c r="N595" s="182"/>
      <c r="O595" s="182">
        <v>43765</v>
      </c>
      <c r="P595" s="12">
        <v>84</v>
      </c>
      <c r="Q595" s="28" t="s">
        <v>1971</v>
      </c>
      <c r="R595" s="18">
        <v>231747</v>
      </c>
      <c r="S595" s="2797" t="s">
        <v>130</v>
      </c>
      <c r="T595" s="161" t="s">
        <v>62</v>
      </c>
      <c r="U595" s="5" t="s">
        <v>2488</v>
      </c>
      <c r="V595" s="5"/>
      <c r="W595" s="12" t="s">
        <v>2927</v>
      </c>
      <c r="X595" s="5" t="s">
        <v>39</v>
      </c>
      <c r="Y595" s="5" t="s">
        <v>40</v>
      </c>
      <c r="Z595" s="5"/>
      <c r="AA595" s="12"/>
      <c r="AB595" s="2801">
        <v>43921</v>
      </c>
      <c r="AC595" s="8" t="s">
        <v>2928</v>
      </c>
      <c r="AD595" s="56"/>
      <c r="AE595" s="224">
        <v>33690</v>
      </c>
    </row>
    <row r="596" spans="1:31" s="1" customFormat="1" ht="72.5">
      <c r="A596" s="1184"/>
      <c r="B596" s="147" t="s">
        <v>44</v>
      </c>
      <c r="C596" s="72" t="s">
        <v>2929</v>
      </c>
      <c r="D596" s="5" t="s">
        <v>32</v>
      </c>
      <c r="E596" s="5"/>
      <c r="F596" s="5"/>
      <c r="G596" s="5"/>
      <c r="H596" s="5" t="s">
        <v>33</v>
      </c>
      <c r="I596" s="5" t="s">
        <v>47</v>
      </c>
      <c r="J596" s="16" t="s">
        <v>2930</v>
      </c>
      <c r="K596" s="16"/>
      <c r="L596" s="16"/>
      <c r="M596" s="182">
        <v>43676</v>
      </c>
      <c r="N596" s="182"/>
      <c r="O596" s="182">
        <v>43766</v>
      </c>
      <c r="P596" s="12">
        <v>10</v>
      </c>
      <c r="Q596" s="27">
        <v>10</v>
      </c>
      <c r="R596" s="18">
        <v>99000</v>
      </c>
      <c r="S596" s="207" t="s">
        <v>84</v>
      </c>
      <c r="T596" s="27" t="s">
        <v>38</v>
      </c>
      <c r="U596" s="4"/>
      <c r="V596" s="4"/>
      <c r="W596" s="5" t="s">
        <v>2931</v>
      </c>
      <c r="X596" s="5" t="s">
        <v>543</v>
      </c>
      <c r="Y596" s="5" t="s">
        <v>40</v>
      </c>
      <c r="Z596" s="5"/>
      <c r="AA596" s="27"/>
      <c r="AB596" s="45">
        <v>43766</v>
      </c>
      <c r="AC596" s="108" t="s">
        <v>2932</v>
      </c>
      <c r="AD596" s="151"/>
      <c r="AE596" s="224"/>
    </row>
    <row r="597" spans="1:31" s="1" customFormat="1" ht="43.4" customHeight="1">
      <c r="A597" s="1119"/>
      <c r="B597" s="958" t="s">
        <v>56</v>
      </c>
      <c r="C597" s="966" t="s">
        <v>2933</v>
      </c>
      <c r="D597" s="511" t="s">
        <v>57</v>
      </c>
      <c r="E597" s="511"/>
      <c r="F597" s="511"/>
      <c r="G597" s="511"/>
      <c r="H597" s="511" t="s">
        <v>308</v>
      </c>
      <c r="I597" s="519" t="s">
        <v>47</v>
      </c>
      <c r="J597" s="1578" t="s">
        <v>2934</v>
      </c>
      <c r="K597" s="512"/>
      <c r="L597" s="530">
        <v>43683</v>
      </c>
      <c r="M597" s="530"/>
      <c r="N597" s="530"/>
      <c r="O597" s="530">
        <v>43766</v>
      </c>
      <c r="P597" s="516">
        <v>1</v>
      </c>
      <c r="Q597" s="516">
        <v>1</v>
      </c>
      <c r="R597" s="599">
        <v>40000</v>
      </c>
      <c r="S597" s="523" t="s">
        <v>1937</v>
      </c>
      <c r="T597" s="1055" t="s">
        <v>38</v>
      </c>
      <c r="U597" s="515"/>
      <c r="V597" s="515"/>
      <c r="W597" s="519" t="s">
        <v>1940</v>
      </c>
      <c r="X597" s="120"/>
      <c r="Y597" s="120"/>
      <c r="Z597" s="120"/>
      <c r="AA597" s="120"/>
      <c r="AB597" s="120"/>
      <c r="AC597" s="120"/>
      <c r="AD597"/>
      <c r="AE597" s="186"/>
    </row>
    <row r="598" spans="1:31" s="1" customFormat="1" ht="37.5">
      <c r="A598" s="1119"/>
      <c r="B598" s="958" t="s">
        <v>56</v>
      </c>
      <c r="C598" s="966" t="s">
        <v>2935</v>
      </c>
      <c r="D598" s="511" t="s">
        <v>57</v>
      </c>
      <c r="E598" s="511"/>
      <c r="F598" s="511"/>
      <c r="G598" s="511"/>
      <c r="H598" s="511" t="s">
        <v>58</v>
      </c>
      <c r="I598" s="519" t="s">
        <v>47</v>
      </c>
      <c r="J598" s="1578" t="s">
        <v>2936</v>
      </c>
      <c r="K598" s="512"/>
      <c r="L598" s="530">
        <v>43718</v>
      </c>
      <c r="M598" s="530"/>
      <c r="N598" s="530"/>
      <c r="O598" s="530">
        <v>43766</v>
      </c>
      <c r="P598" s="516">
        <v>1</v>
      </c>
      <c r="Q598" s="1009">
        <v>1</v>
      </c>
      <c r="R598" s="599">
        <v>40000</v>
      </c>
      <c r="S598" s="1043" t="s">
        <v>1937</v>
      </c>
      <c r="T598" s="1055"/>
      <c r="U598" s="515"/>
      <c r="V598" s="515"/>
      <c r="W598" s="519" t="s">
        <v>2252</v>
      </c>
      <c r="X598" s="120"/>
      <c r="Y598" s="120"/>
      <c r="Z598" s="120"/>
      <c r="AA598" s="120"/>
      <c r="AB598" s="120"/>
      <c r="AC598" s="120"/>
      <c r="AD598"/>
      <c r="AE598" s="186"/>
    </row>
    <row r="599" spans="1:31" s="1" customFormat="1" ht="29.15" customHeight="1">
      <c r="A599" s="1119"/>
      <c r="B599" s="958" t="s">
        <v>56</v>
      </c>
      <c r="C599" s="966" t="s">
        <v>2937</v>
      </c>
      <c r="D599" s="511" t="s">
        <v>57</v>
      </c>
      <c r="E599" s="511"/>
      <c r="F599" s="511"/>
      <c r="G599" s="511"/>
      <c r="H599" s="511" t="s">
        <v>58</v>
      </c>
      <c r="I599" s="510" t="s">
        <v>47</v>
      </c>
      <c r="J599" s="1580" t="s">
        <v>2938</v>
      </c>
      <c r="K599" s="533"/>
      <c r="L599" s="618">
        <v>43666</v>
      </c>
      <c r="M599" s="618"/>
      <c r="N599" s="618"/>
      <c r="O599" s="618">
        <v>43769</v>
      </c>
      <c r="P599" s="535">
        <v>3</v>
      </c>
      <c r="Q599" s="1011">
        <v>3</v>
      </c>
      <c r="R599" s="599">
        <v>697592</v>
      </c>
      <c r="S599" s="1046" t="s">
        <v>1937</v>
      </c>
      <c r="T599" s="1058" t="s">
        <v>38</v>
      </c>
      <c r="U599" s="615"/>
      <c r="V599" s="615"/>
      <c r="W599" s="510" t="s">
        <v>747</v>
      </c>
      <c r="X599" s="120"/>
      <c r="Y599" s="120"/>
      <c r="Z599" s="120"/>
      <c r="AA599" s="186"/>
      <c r="AB599" s="186"/>
      <c r="AC599" s="186"/>
      <c r="AD599"/>
      <c r="AE599" s="186"/>
    </row>
    <row r="600" spans="1:31" s="1" customFormat="1" ht="14.9" customHeight="1">
      <c r="A600" s="1119"/>
      <c r="B600" s="2784" t="s">
        <v>44</v>
      </c>
      <c r="C600" s="72" t="s">
        <v>2812</v>
      </c>
      <c r="D600" s="9" t="s">
        <v>32</v>
      </c>
      <c r="E600" s="9"/>
      <c r="F600" s="9"/>
      <c r="G600" s="9"/>
      <c r="H600" s="5" t="s">
        <v>33</v>
      </c>
      <c r="I600" s="5" t="s">
        <v>47</v>
      </c>
      <c r="J600" s="16" t="s">
        <v>2939</v>
      </c>
      <c r="K600" s="8"/>
      <c r="L600" s="5" t="e">
        <f>IF(OR(S600=#REF!,S600=#REF!,S600=#REF!,S600=#REF!,S600=#REF!,S600=#REF!,S600=#REF!,S600=#REF!),12,IF(OR(S600=#REF!,S600=#REF!,S600=#REF!,S600=#REF!,S600=#REF!,S600=#REF!,S600=#REF!),3,IF(S600=#REF!,1,IF(S600=#REF!,18,IF(OR(S600=#REF!,S600=#REF!,S600=#REF!,S600=#REF!,S600=#REF!),14,"Invalid proposed procurement method")))))</f>
        <v>#REF!</v>
      </c>
      <c r="M600" s="199" t="str">
        <f>IFERROR(EDATE($N600,-3),"Invalid procurement method or date entered")</f>
        <v>Invalid procurement method or date entered</v>
      </c>
      <c r="N600" s="199" t="str">
        <f>IFERROR(EDATE(O600,-L600),"Invalid procurement method or date entered")</f>
        <v>Invalid procurement method or date entered</v>
      </c>
      <c r="O600" s="14">
        <v>43770</v>
      </c>
      <c r="P600" s="12">
        <v>48</v>
      </c>
      <c r="Q600" s="5">
        <v>48</v>
      </c>
      <c r="R600" s="18">
        <v>19074</v>
      </c>
      <c r="S600" s="199" t="s">
        <v>37</v>
      </c>
      <c r="T600" s="163" t="s">
        <v>38</v>
      </c>
      <c r="U600" s="15" t="s">
        <v>67</v>
      </c>
      <c r="V600" s="15"/>
      <c r="W600" s="5" t="s">
        <v>2940</v>
      </c>
      <c r="X600" s="5" t="s">
        <v>543</v>
      </c>
      <c r="Y600" s="5" t="s">
        <v>40</v>
      </c>
      <c r="Z600" s="5" t="s">
        <v>69</v>
      </c>
      <c r="AA600" s="5" t="s">
        <v>70</v>
      </c>
      <c r="AB600" s="199" t="s">
        <v>224</v>
      </c>
      <c r="AC600" s="8" t="s">
        <v>2941</v>
      </c>
      <c r="AD600" s="80" t="s">
        <v>164</v>
      </c>
      <c r="AE600" s="224">
        <v>3000</v>
      </c>
    </row>
    <row r="601" spans="1:31" s="1" customFormat="1" ht="43.5">
      <c r="A601" s="498"/>
      <c r="B601" s="147" t="s">
        <v>44</v>
      </c>
      <c r="C601" s="2863" t="s">
        <v>2942</v>
      </c>
      <c r="D601" s="8" t="s">
        <v>32</v>
      </c>
      <c r="E601" s="8"/>
      <c r="F601" s="8"/>
      <c r="G601" s="8"/>
      <c r="H601" s="5" t="s">
        <v>1810</v>
      </c>
      <c r="I601" s="5" t="s">
        <v>47</v>
      </c>
      <c r="J601" s="16" t="s">
        <v>2943</v>
      </c>
      <c r="K601" s="8"/>
      <c r="L601" s="8"/>
      <c r="M601" s="199">
        <v>42985</v>
      </c>
      <c r="N601" s="199"/>
      <c r="O601" s="199">
        <v>43770</v>
      </c>
      <c r="P601" s="5">
        <v>24</v>
      </c>
      <c r="Q601" s="5">
        <v>24</v>
      </c>
      <c r="R601" s="18">
        <v>100000</v>
      </c>
      <c r="S601" s="5" t="s">
        <v>176</v>
      </c>
      <c r="T601" s="163" t="s">
        <v>38</v>
      </c>
      <c r="U601" s="4"/>
      <c r="V601" s="4"/>
      <c r="W601" s="5" t="s">
        <v>2944</v>
      </c>
      <c r="X601" s="5" t="s">
        <v>108</v>
      </c>
      <c r="Y601" s="5" t="s">
        <v>40</v>
      </c>
      <c r="Z601" s="5"/>
      <c r="AA601" s="5"/>
      <c r="AB601" s="199">
        <v>43476</v>
      </c>
      <c r="AC601" s="8" t="s">
        <v>2945</v>
      </c>
      <c r="AE601" s="164">
        <v>50000</v>
      </c>
    </row>
    <row r="602" spans="1:31" s="1" customFormat="1" ht="29">
      <c r="A602" s="1184"/>
      <c r="B602" s="147" t="s">
        <v>44</v>
      </c>
      <c r="C602" s="72" t="s">
        <v>2946</v>
      </c>
      <c r="D602" s="8" t="s">
        <v>32</v>
      </c>
      <c r="E602" s="8"/>
      <c r="F602" s="8"/>
      <c r="G602" s="8"/>
      <c r="H602" s="5" t="s">
        <v>33</v>
      </c>
      <c r="I602" s="5" t="s">
        <v>47</v>
      </c>
      <c r="J602" s="16" t="s">
        <v>2947</v>
      </c>
      <c r="K602" s="8"/>
      <c r="L602" s="179"/>
      <c r="M602" s="199">
        <v>43132</v>
      </c>
      <c r="N602" s="199"/>
      <c r="O602" s="199">
        <v>43770</v>
      </c>
      <c r="P602" s="5">
        <v>60</v>
      </c>
      <c r="Q602" s="7" t="s">
        <v>187</v>
      </c>
      <c r="R602" s="18">
        <v>342150</v>
      </c>
      <c r="S602" s="5" t="s">
        <v>84</v>
      </c>
      <c r="T602" s="163" t="s">
        <v>38</v>
      </c>
      <c r="U602" s="4"/>
      <c r="V602" s="4"/>
      <c r="W602" s="5" t="s">
        <v>2948</v>
      </c>
      <c r="X602" s="5" t="s">
        <v>1633</v>
      </c>
      <c r="Y602" s="5" t="s">
        <v>40</v>
      </c>
      <c r="Z602" s="5"/>
      <c r="AA602" s="5"/>
      <c r="AB602" s="199">
        <v>43679</v>
      </c>
      <c r="AC602" s="36" t="s">
        <v>2949</v>
      </c>
      <c r="AE602" s="164">
        <v>88340</v>
      </c>
    </row>
    <row r="603" spans="1:31" s="1" customFormat="1" ht="14.9" customHeight="1">
      <c r="A603" s="1184"/>
      <c r="B603" s="147" t="s">
        <v>44</v>
      </c>
      <c r="C603" s="72" t="s">
        <v>2950</v>
      </c>
      <c r="D603" s="8" t="s">
        <v>32</v>
      </c>
      <c r="E603" s="8"/>
      <c r="F603" s="8"/>
      <c r="G603" s="8"/>
      <c r="H603" s="5" t="s">
        <v>80</v>
      </c>
      <c r="I603" s="5" t="s">
        <v>47</v>
      </c>
      <c r="J603" s="16" t="s">
        <v>2951</v>
      </c>
      <c r="K603" s="16"/>
      <c r="L603" s="16"/>
      <c r="M603" s="182">
        <v>43313</v>
      </c>
      <c r="N603" s="182"/>
      <c r="O603" s="182">
        <v>43770</v>
      </c>
      <c r="P603" s="12">
        <v>36</v>
      </c>
      <c r="Q603" s="7" t="s">
        <v>98</v>
      </c>
      <c r="R603" s="18">
        <v>28785</v>
      </c>
      <c r="S603" s="5" t="s">
        <v>84</v>
      </c>
      <c r="T603" s="163" t="s">
        <v>38</v>
      </c>
      <c r="U603" s="4"/>
      <c r="V603" s="4"/>
      <c r="W603" s="12" t="s">
        <v>2952</v>
      </c>
      <c r="X603" s="5" t="s">
        <v>86</v>
      </c>
      <c r="Y603" s="5" t="s">
        <v>40</v>
      </c>
      <c r="Z603" s="5"/>
      <c r="AA603" s="12"/>
      <c r="AB603" s="199">
        <v>43497</v>
      </c>
      <c r="AC603" s="8" t="s">
        <v>2953</v>
      </c>
      <c r="AE603" s="232">
        <v>9595</v>
      </c>
    </row>
    <row r="604" spans="1:31" s="1" customFormat="1" ht="43.4" customHeight="1">
      <c r="A604" s="1184"/>
      <c r="B604" s="147" t="s">
        <v>44</v>
      </c>
      <c r="C604" s="72" t="s">
        <v>2954</v>
      </c>
      <c r="D604" s="8" t="s">
        <v>122</v>
      </c>
      <c r="E604" s="8"/>
      <c r="F604" s="8"/>
      <c r="G604" s="8"/>
      <c r="H604" s="5" t="s">
        <v>33</v>
      </c>
      <c r="I604" s="12" t="s">
        <v>268</v>
      </c>
      <c r="J604" s="103" t="s">
        <v>2328</v>
      </c>
      <c r="K604" s="103"/>
      <c r="L604" s="103"/>
      <c r="M604" s="182">
        <v>43452</v>
      </c>
      <c r="N604" s="182"/>
      <c r="O604" s="182">
        <v>43770</v>
      </c>
      <c r="P604" s="13" t="s">
        <v>844</v>
      </c>
      <c r="Q604" s="28" t="s">
        <v>844</v>
      </c>
      <c r="R604" s="18">
        <v>22000</v>
      </c>
      <c r="S604" s="5" t="s">
        <v>270</v>
      </c>
      <c r="T604" s="27" t="s">
        <v>38</v>
      </c>
      <c r="U604" s="4"/>
      <c r="V604" s="4"/>
      <c r="W604" s="5" t="s">
        <v>239</v>
      </c>
      <c r="X604" s="5" t="s">
        <v>86</v>
      </c>
      <c r="Y604" s="5" t="s">
        <v>40</v>
      </c>
      <c r="Z604" s="5"/>
      <c r="AA604" s="12"/>
      <c r="AB604" s="199">
        <v>43514</v>
      </c>
      <c r="AC604" s="36" t="s">
        <v>2955</v>
      </c>
      <c r="AE604" s="224"/>
    </row>
    <row r="605" spans="1:31" s="1" customFormat="1" ht="29">
      <c r="A605" s="1184"/>
      <c r="B605" s="147" t="s">
        <v>44</v>
      </c>
      <c r="C605" s="72"/>
      <c r="D605" s="5" t="s">
        <v>32</v>
      </c>
      <c r="E605" s="5"/>
      <c r="F605" s="5"/>
      <c r="G605" s="5"/>
      <c r="H605" s="5" t="s">
        <v>862</v>
      </c>
      <c r="I605" s="5" t="s">
        <v>47</v>
      </c>
      <c r="J605" s="16" t="s">
        <v>2956</v>
      </c>
      <c r="K605" s="8"/>
      <c r="L605" s="8"/>
      <c r="M605" s="199">
        <v>43466</v>
      </c>
      <c r="N605" s="199"/>
      <c r="O605" s="199">
        <v>43770</v>
      </c>
      <c r="P605" s="5">
        <v>48</v>
      </c>
      <c r="Q605" s="7" t="s">
        <v>215</v>
      </c>
      <c r="R605" s="18">
        <v>120000</v>
      </c>
      <c r="S605" s="5" t="s">
        <v>2957</v>
      </c>
      <c r="T605" s="163" t="s">
        <v>38</v>
      </c>
      <c r="U605" s="4"/>
      <c r="V605" s="4"/>
      <c r="W605" s="5" t="s">
        <v>1076</v>
      </c>
      <c r="X605" s="5" t="s">
        <v>1633</v>
      </c>
      <c r="Y605" s="5" t="s">
        <v>40</v>
      </c>
      <c r="Z605" s="5"/>
      <c r="AA605" s="5"/>
      <c r="AB605" s="199">
        <v>43749</v>
      </c>
      <c r="AC605" s="8" t="s">
        <v>2958</v>
      </c>
      <c r="AE605" s="164">
        <v>30000</v>
      </c>
    </row>
    <row r="606" spans="1:31" s="1" customFormat="1" ht="43.4" customHeight="1">
      <c r="A606" s="1184"/>
      <c r="B606" s="147" t="s">
        <v>44</v>
      </c>
      <c r="C606" s="72" t="s">
        <v>2637</v>
      </c>
      <c r="D606" s="8" t="s">
        <v>32</v>
      </c>
      <c r="E606" s="8"/>
      <c r="F606" s="8"/>
      <c r="G606" s="8"/>
      <c r="H606" s="5" t="s">
        <v>33</v>
      </c>
      <c r="I606" s="5" t="s">
        <v>47</v>
      </c>
      <c r="J606" s="16" t="s">
        <v>2959</v>
      </c>
      <c r="K606" s="8"/>
      <c r="L606" s="8"/>
      <c r="M606" s="14">
        <v>43556</v>
      </c>
      <c r="N606" s="14"/>
      <c r="O606" s="14">
        <v>43770</v>
      </c>
      <c r="P606" s="12">
        <v>36</v>
      </c>
      <c r="Q606" s="5">
        <v>36</v>
      </c>
      <c r="R606" s="18">
        <v>16074</v>
      </c>
      <c r="S606" s="182" t="s">
        <v>37</v>
      </c>
      <c r="T606" s="161" t="s">
        <v>38</v>
      </c>
      <c r="U606" s="4"/>
      <c r="V606" s="4"/>
      <c r="W606" s="5" t="s">
        <v>2960</v>
      </c>
      <c r="X606" s="5" t="s">
        <v>413</v>
      </c>
      <c r="Y606" s="5" t="s">
        <v>40</v>
      </c>
      <c r="Z606" s="5"/>
      <c r="AA606" s="5"/>
      <c r="AB606" s="199">
        <v>43641</v>
      </c>
      <c r="AC606" s="106" t="s">
        <v>2961</v>
      </c>
      <c r="AE606" s="223">
        <v>3000</v>
      </c>
    </row>
    <row r="607" spans="1:31" s="1" customFormat="1" ht="43.5">
      <c r="A607" s="1184"/>
      <c r="B607" s="147" t="s">
        <v>44</v>
      </c>
      <c r="C607" s="72" t="s">
        <v>2962</v>
      </c>
      <c r="D607" s="5" t="s">
        <v>32</v>
      </c>
      <c r="E607" s="5"/>
      <c r="F607" s="5"/>
      <c r="G607" s="5"/>
      <c r="H607" s="2751" t="s">
        <v>33</v>
      </c>
      <c r="I607" s="2751" t="s">
        <v>47</v>
      </c>
      <c r="J607" s="2752" t="s">
        <v>2963</v>
      </c>
      <c r="K607" s="2752"/>
      <c r="L607" s="2752"/>
      <c r="M607" s="199">
        <v>43662</v>
      </c>
      <c r="N607" s="199"/>
      <c r="O607" s="182">
        <v>43770</v>
      </c>
      <c r="P607" s="2751">
        <v>24</v>
      </c>
      <c r="Q607" s="2753" t="s">
        <v>1345</v>
      </c>
      <c r="R607" s="18">
        <v>900</v>
      </c>
      <c r="S607" s="2797" t="s">
        <v>37</v>
      </c>
      <c r="T607" s="2753" t="s">
        <v>38</v>
      </c>
      <c r="U607" s="4"/>
      <c r="V607" s="4"/>
      <c r="W607" s="2751" t="s">
        <v>2964</v>
      </c>
      <c r="X607" s="2751" t="s">
        <v>86</v>
      </c>
      <c r="Y607" s="5" t="s">
        <v>40</v>
      </c>
      <c r="Z607" s="5"/>
      <c r="AA607" s="2880"/>
      <c r="AB607" s="45">
        <v>43756</v>
      </c>
      <c r="AC607" s="2881" t="s">
        <v>89</v>
      </c>
      <c r="AE607" s="2876"/>
    </row>
    <row r="608" spans="1:31" s="1" customFormat="1" ht="43.5">
      <c r="A608" s="1191"/>
      <c r="B608" s="147" t="s">
        <v>44</v>
      </c>
      <c r="C608" s="72" t="s">
        <v>2965</v>
      </c>
      <c r="D608" s="5" t="s">
        <v>32</v>
      </c>
      <c r="E608" s="5"/>
      <c r="F608" s="5"/>
      <c r="G608" s="5"/>
      <c r="H608" s="2751" t="s">
        <v>33</v>
      </c>
      <c r="I608" s="2751" t="s">
        <v>47</v>
      </c>
      <c r="J608" s="2752" t="s">
        <v>2966</v>
      </c>
      <c r="K608" s="2752"/>
      <c r="L608" s="2752"/>
      <c r="M608" s="199">
        <v>43662</v>
      </c>
      <c r="N608" s="199"/>
      <c r="O608" s="182">
        <v>43770</v>
      </c>
      <c r="P608" s="2751">
        <v>12</v>
      </c>
      <c r="Q608" s="2751">
        <v>12</v>
      </c>
      <c r="R608" s="18">
        <v>13000</v>
      </c>
      <c r="S608" s="2751" t="s">
        <v>37</v>
      </c>
      <c r="T608" s="2753" t="s">
        <v>38</v>
      </c>
      <c r="U608" s="4"/>
      <c r="V608" s="4"/>
      <c r="W608" s="2751" t="s">
        <v>2964</v>
      </c>
      <c r="X608" s="2751" t="s">
        <v>86</v>
      </c>
      <c r="Y608" s="5" t="s">
        <v>40</v>
      </c>
      <c r="Z608" s="5"/>
      <c r="AA608" s="2752"/>
      <c r="AB608" s="199">
        <v>43756</v>
      </c>
      <c r="AC608" s="2758" t="s">
        <v>89</v>
      </c>
      <c r="AE608" s="2876"/>
    </row>
    <row r="609" spans="1:32" s="1" customFormat="1" ht="58">
      <c r="A609" s="1184"/>
      <c r="B609" s="147" t="s">
        <v>44</v>
      </c>
      <c r="C609" s="72" t="s">
        <v>619</v>
      </c>
      <c r="D609" s="5" t="s">
        <v>32</v>
      </c>
      <c r="E609" s="5"/>
      <c r="F609" s="5"/>
      <c r="G609" s="5"/>
      <c r="H609" s="2751" t="s">
        <v>33</v>
      </c>
      <c r="I609" s="2751" t="s">
        <v>47</v>
      </c>
      <c r="J609" s="2752" t="s">
        <v>2967</v>
      </c>
      <c r="K609" s="2752"/>
      <c r="L609" s="2752"/>
      <c r="M609" s="199">
        <v>43662</v>
      </c>
      <c r="N609" s="199"/>
      <c r="O609" s="182">
        <v>43770</v>
      </c>
      <c r="P609" s="2751">
        <v>24</v>
      </c>
      <c r="Q609" s="2751" t="s">
        <v>1345</v>
      </c>
      <c r="R609" s="18">
        <v>6000</v>
      </c>
      <c r="S609" s="2751" t="s">
        <v>84</v>
      </c>
      <c r="T609" s="2753" t="s">
        <v>38</v>
      </c>
      <c r="U609" s="4"/>
      <c r="V609" s="4"/>
      <c r="W609" s="2751" t="s">
        <v>2543</v>
      </c>
      <c r="X609" s="5" t="s">
        <v>543</v>
      </c>
      <c r="Y609" s="5" t="s">
        <v>40</v>
      </c>
      <c r="Z609" s="5"/>
      <c r="AA609" s="2752"/>
      <c r="AB609" s="199">
        <v>43801</v>
      </c>
      <c r="AC609" s="2758" t="s">
        <v>2968</v>
      </c>
      <c r="AE609" s="2876">
        <v>3000</v>
      </c>
    </row>
    <row r="610" spans="1:32" s="99" customFormat="1" ht="43.4" customHeight="1">
      <c r="A610" s="1184"/>
      <c r="B610" s="147" t="s">
        <v>44</v>
      </c>
      <c r="C610" s="72" t="s">
        <v>619</v>
      </c>
      <c r="D610" s="5" t="s">
        <v>32</v>
      </c>
      <c r="E610" s="5"/>
      <c r="F610" s="5"/>
      <c r="G610" s="5"/>
      <c r="H610" s="143" t="s">
        <v>33</v>
      </c>
      <c r="I610" s="109" t="s">
        <v>47</v>
      </c>
      <c r="J610" s="144" t="s">
        <v>2969</v>
      </c>
      <c r="K610" s="144"/>
      <c r="L610" s="144"/>
      <c r="M610" s="145">
        <v>43696</v>
      </c>
      <c r="N610" s="145"/>
      <c r="O610" s="145">
        <v>43770</v>
      </c>
      <c r="P610" s="138">
        <v>24</v>
      </c>
      <c r="Q610" s="139" t="s">
        <v>1345</v>
      </c>
      <c r="R610" s="132">
        <v>350</v>
      </c>
      <c r="S610" s="140" t="s">
        <v>84</v>
      </c>
      <c r="T610" s="2753" t="s">
        <v>38</v>
      </c>
      <c r="U610" s="4"/>
      <c r="V610" s="4"/>
      <c r="W610" s="141" t="s">
        <v>287</v>
      </c>
      <c r="X610" s="141" t="s">
        <v>86</v>
      </c>
      <c r="Y610" s="141" t="s">
        <v>40</v>
      </c>
      <c r="Z610" s="141"/>
      <c r="AA610" s="1882"/>
      <c r="AB610" s="2882">
        <v>43801</v>
      </c>
      <c r="AC610" s="2881" t="s">
        <v>89</v>
      </c>
      <c r="AD610" s="35"/>
      <c r="AE610" s="235"/>
      <c r="AF610" s="1"/>
    </row>
    <row r="611" spans="1:32" s="1" customFormat="1" ht="43.5">
      <c r="A611" s="1184"/>
      <c r="B611" s="147" t="s">
        <v>44</v>
      </c>
      <c r="C611" s="2874" t="s">
        <v>2970</v>
      </c>
      <c r="D611" s="2818" t="s">
        <v>32</v>
      </c>
      <c r="E611" s="2818"/>
      <c r="F611" s="2818"/>
      <c r="G611" s="2818"/>
      <c r="H611" s="2789" t="s">
        <v>1670</v>
      </c>
      <c r="I611" s="2818" t="s">
        <v>47</v>
      </c>
      <c r="J611" s="2872" t="s">
        <v>2971</v>
      </c>
      <c r="K611" s="2872"/>
      <c r="L611" s="2872"/>
      <c r="M611" s="2852">
        <v>43721</v>
      </c>
      <c r="N611" s="2852"/>
      <c r="O611" s="2852">
        <v>43770</v>
      </c>
      <c r="P611" s="2818">
        <v>60</v>
      </c>
      <c r="Q611" s="2789" t="s">
        <v>187</v>
      </c>
      <c r="R611" s="18">
        <v>72000</v>
      </c>
      <c r="S611" s="2818" t="s">
        <v>84</v>
      </c>
      <c r="T611" s="2862" t="s">
        <v>38</v>
      </c>
      <c r="U611" s="10"/>
      <c r="V611" s="10"/>
      <c r="W611" s="131" t="s">
        <v>2819</v>
      </c>
      <c r="X611" s="2789" t="s">
        <v>86</v>
      </c>
      <c r="Y611" s="2789" t="s">
        <v>40</v>
      </c>
      <c r="Z611" s="2789"/>
      <c r="AA611" s="2815"/>
      <c r="AB611" s="2801">
        <v>43773</v>
      </c>
      <c r="AC611" s="2873" t="s">
        <v>89</v>
      </c>
      <c r="AD611" s="35"/>
      <c r="AE611" s="2870"/>
    </row>
    <row r="612" spans="1:32" s="1" customFormat="1" ht="58">
      <c r="A612" s="1184"/>
      <c r="B612" s="147" t="s">
        <v>44</v>
      </c>
      <c r="C612" s="72" t="s">
        <v>2972</v>
      </c>
      <c r="D612" s="5" t="s">
        <v>32</v>
      </c>
      <c r="E612" s="5"/>
      <c r="F612" s="5"/>
      <c r="G612" s="5"/>
      <c r="H612" s="5" t="s">
        <v>1670</v>
      </c>
      <c r="I612" s="5" t="s">
        <v>47</v>
      </c>
      <c r="J612" s="16" t="s">
        <v>2973</v>
      </c>
      <c r="K612" s="16"/>
      <c r="L612" s="16"/>
      <c r="M612" s="182">
        <v>43788</v>
      </c>
      <c r="N612" s="182"/>
      <c r="O612" s="182">
        <v>43770</v>
      </c>
      <c r="P612" s="2763">
        <v>36</v>
      </c>
      <c r="Q612" s="12">
        <v>36</v>
      </c>
      <c r="R612" s="18">
        <v>24000</v>
      </c>
      <c r="S612" s="182" t="s">
        <v>37</v>
      </c>
      <c r="T612" s="169" t="s">
        <v>38</v>
      </c>
      <c r="U612" s="53" t="s">
        <v>67</v>
      </c>
      <c r="V612" s="53"/>
      <c r="W612" s="5" t="s">
        <v>977</v>
      </c>
      <c r="X612" s="5" t="s">
        <v>86</v>
      </c>
      <c r="Y612" s="5" t="s">
        <v>40</v>
      </c>
      <c r="Z612" s="5"/>
      <c r="AA612" s="5"/>
      <c r="AB612" s="199">
        <v>43914</v>
      </c>
      <c r="AC612" s="8" t="s">
        <v>89</v>
      </c>
      <c r="AD612" s="76" t="s">
        <v>979</v>
      </c>
      <c r="AE612" s="224"/>
    </row>
    <row r="613" spans="1:32" s="1" customFormat="1" ht="115.4" customHeight="1">
      <c r="A613" s="1119"/>
      <c r="B613" s="958" t="s">
        <v>56</v>
      </c>
      <c r="C613" s="966" t="s">
        <v>60</v>
      </c>
      <c r="D613" s="511" t="s">
        <v>57</v>
      </c>
      <c r="E613" s="511"/>
      <c r="F613" s="511"/>
      <c r="G613" s="511"/>
      <c r="H613" s="511" t="s">
        <v>58</v>
      </c>
      <c r="I613" s="519" t="s">
        <v>47</v>
      </c>
      <c r="J613" s="1578" t="s">
        <v>2974</v>
      </c>
      <c r="K613" s="512"/>
      <c r="L613" s="530">
        <v>43598</v>
      </c>
      <c r="M613" s="530"/>
      <c r="N613" s="530"/>
      <c r="O613" s="530">
        <v>43770</v>
      </c>
      <c r="P613" s="516" t="s">
        <v>60</v>
      </c>
      <c r="Q613" s="516" t="s">
        <v>60</v>
      </c>
      <c r="R613" s="599">
        <v>75000</v>
      </c>
      <c r="S613" s="523" t="s">
        <v>60</v>
      </c>
      <c r="T613" s="1055" t="s">
        <v>62</v>
      </c>
      <c r="U613" s="515" t="s">
        <v>60</v>
      </c>
      <c r="V613" s="515"/>
      <c r="W613" s="519" t="s">
        <v>2975</v>
      </c>
      <c r="X613" s="120"/>
      <c r="Y613" s="120"/>
      <c r="Z613" s="120"/>
      <c r="AA613" s="120"/>
      <c r="AB613" s="120"/>
      <c r="AC613" s="120"/>
      <c r="AD613"/>
      <c r="AE613" s="186"/>
    </row>
    <row r="614" spans="1:32" s="1" customFormat="1" ht="29">
      <c r="A614" s="1191"/>
      <c r="B614" s="147" t="s">
        <v>44</v>
      </c>
      <c r="C614" s="72"/>
      <c r="D614" s="5" t="s">
        <v>32</v>
      </c>
      <c r="E614" s="5"/>
      <c r="F614" s="5"/>
      <c r="G614" s="5"/>
      <c r="H614" s="5" t="s">
        <v>33</v>
      </c>
      <c r="I614" s="5" t="s">
        <v>47</v>
      </c>
      <c r="J614" s="16" t="s">
        <v>2976</v>
      </c>
      <c r="K614" s="8"/>
      <c r="L614" s="8"/>
      <c r="M614" s="199">
        <v>43586</v>
      </c>
      <c r="N614" s="199"/>
      <c r="O614" s="199">
        <v>43776</v>
      </c>
      <c r="P614" s="5">
        <v>12</v>
      </c>
      <c r="Q614" s="25" t="s">
        <v>50</v>
      </c>
      <c r="R614" s="18">
        <v>23000</v>
      </c>
      <c r="S614" s="31" t="s">
        <v>84</v>
      </c>
      <c r="T614" s="163" t="s">
        <v>38</v>
      </c>
      <c r="U614" s="4"/>
      <c r="V614" s="4"/>
      <c r="W614" s="5" t="s">
        <v>1849</v>
      </c>
      <c r="X614" s="46" t="s">
        <v>413</v>
      </c>
      <c r="Y614" s="5" t="s">
        <v>40</v>
      </c>
      <c r="Z614" s="5"/>
      <c r="AA614" s="26"/>
      <c r="AB614" s="45">
        <v>43801</v>
      </c>
      <c r="AC614" s="1910" t="s">
        <v>2977</v>
      </c>
      <c r="AE614" s="164"/>
    </row>
    <row r="615" spans="1:32" s="1" customFormat="1" ht="37.5">
      <c r="A615" s="1119"/>
      <c r="B615" s="958" t="s">
        <v>56</v>
      </c>
      <c r="C615" s="966" t="s">
        <v>2978</v>
      </c>
      <c r="D615" s="511" t="s">
        <v>57</v>
      </c>
      <c r="E615" s="511"/>
      <c r="F615" s="511"/>
      <c r="G615" s="511"/>
      <c r="H615" s="511" t="s">
        <v>58</v>
      </c>
      <c r="I615" s="519" t="s">
        <v>47</v>
      </c>
      <c r="J615" s="1578" t="s">
        <v>2979</v>
      </c>
      <c r="K615" s="512"/>
      <c r="L615" s="530">
        <v>43745</v>
      </c>
      <c r="M615" s="530"/>
      <c r="N615" s="530"/>
      <c r="O615" s="530">
        <v>43780</v>
      </c>
      <c r="P615" s="516">
        <v>3</v>
      </c>
      <c r="Q615" s="516">
        <v>3</v>
      </c>
      <c r="R615" s="599">
        <v>100000</v>
      </c>
      <c r="S615" s="523" t="s">
        <v>1937</v>
      </c>
      <c r="T615" s="1055" t="s">
        <v>62</v>
      </c>
      <c r="U615" s="515"/>
      <c r="V615" s="515"/>
      <c r="W615" s="533"/>
      <c r="X615" s="120"/>
      <c r="Y615" s="120"/>
      <c r="Z615" s="120"/>
      <c r="AA615" s="120"/>
      <c r="AB615" s="120"/>
      <c r="AC615" s="120"/>
      <c r="AD615"/>
      <c r="AE615" s="186"/>
    </row>
    <row r="616" spans="1:32" s="1" customFormat="1" ht="43.5">
      <c r="A616" s="1184"/>
      <c r="B616" s="147" t="s">
        <v>44</v>
      </c>
      <c r="C616" s="72" t="s">
        <v>2980</v>
      </c>
      <c r="D616" s="5" t="s">
        <v>32</v>
      </c>
      <c r="E616" s="5"/>
      <c r="F616" s="5"/>
      <c r="G616" s="5"/>
      <c r="H616" s="153" t="s">
        <v>496</v>
      </c>
      <c r="I616" s="138" t="s">
        <v>47</v>
      </c>
      <c r="J616" s="144" t="s">
        <v>2981</v>
      </c>
      <c r="K616" s="154"/>
      <c r="L616" s="154"/>
      <c r="M616" s="145">
        <v>43651</v>
      </c>
      <c r="N616" s="145"/>
      <c r="O616" s="145">
        <v>43791</v>
      </c>
      <c r="P616" s="138">
        <v>60</v>
      </c>
      <c r="Q616" s="139">
        <v>60</v>
      </c>
      <c r="R616" s="132">
        <v>175000</v>
      </c>
      <c r="S616" s="1839" t="s">
        <v>2110</v>
      </c>
      <c r="T616" s="26" t="s">
        <v>62</v>
      </c>
      <c r="U616" s="4"/>
      <c r="V616" s="4"/>
      <c r="W616" s="138" t="s">
        <v>2982</v>
      </c>
      <c r="X616" s="141" t="s">
        <v>86</v>
      </c>
      <c r="Y616" s="141" t="s">
        <v>1161</v>
      </c>
      <c r="Z616" s="141"/>
      <c r="AA616" s="142"/>
      <c r="AB616" s="155">
        <v>43808</v>
      </c>
      <c r="AC616" s="154" t="s">
        <v>89</v>
      </c>
      <c r="AD616" s="35"/>
      <c r="AE616" s="235"/>
    </row>
    <row r="617" spans="1:32" s="1" customFormat="1" ht="101.15" customHeight="1">
      <c r="A617" s="1648">
        <v>44974</v>
      </c>
      <c r="B617" s="1569" t="s">
        <v>1168</v>
      </c>
      <c r="C617" s="1667" t="s">
        <v>2983</v>
      </c>
      <c r="D617" s="1664" t="s">
        <v>1243</v>
      </c>
      <c r="E617" s="1655" t="s">
        <v>1168</v>
      </c>
      <c r="F617" s="1655" t="s">
        <v>1170</v>
      </c>
      <c r="G617" s="1655" t="s">
        <v>1170</v>
      </c>
      <c r="H617" s="1655" t="s">
        <v>1170</v>
      </c>
      <c r="I617" s="1655" t="s">
        <v>1170</v>
      </c>
      <c r="J617" s="1698" t="s">
        <v>2984</v>
      </c>
      <c r="K617" s="1664" t="s">
        <v>2985</v>
      </c>
      <c r="L617" s="1655" t="s">
        <v>1170</v>
      </c>
      <c r="M617" s="1655" t="s">
        <v>1170</v>
      </c>
      <c r="N617" s="1655" t="s">
        <v>1170</v>
      </c>
      <c r="O617" s="1755">
        <v>43791</v>
      </c>
      <c r="P617" s="1755">
        <v>44521</v>
      </c>
      <c r="Q617" s="1664" t="s">
        <v>589</v>
      </c>
      <c r="R617" s="1805">
        <v>1100000</v>
      </c>
      <c r="S617" s="1664" t="s">
        <v>1189</v>
      </c>
      <c r="T617" s="1842" t="s">
        <v>1170</v>
      </c>
      <c r="U617" s="1655" t="s">
        <v>1170</v>
      </c>
      <c r="V617" s="1655"/>
      <c r="W617" s="1664" t="s">
        <v>2583</v>
      </c>
      <c r="X617" s="1664" t="s">
        <v>1175</v>
      </c>
      <c r="Y617" s="1664" t="s">
        <v>251</v>
      </c>
      <c r="Z617" s="1655" t="s">
        <v>1170</v>
      </c>
      <c r="AA617" s="1655" t="s">
        <v>1170</v>
      </c>
      <c r="AB617" s="1655" t="s">
        <v>1170</v>
      </c>
      <c r="AC617" s="1698" t="s">
        <v>2986</v>
      </c>
      <c r="AD617" s="1657" t="s">
        <v>1170</v>
      </c>
      <c r="AE617" s="1934">
        <v>1100000</v>
      </c>
      <c r="AF617"/>
    </row>
    <row r="618" spans="1:32" s="1" customFormat="1">
      <c r="A618" s="1648">
        <v>44974</v>
      </c>
      <c r="B618" s="1569" t="s">
        <v>1168</v>
      </c>
      <c r="C618" s="1667" t="s">
        <v>2983</v>
      </c>
      <c r="D618" s="1664" t="s">
        <v>1243</v>
      </c>
      <c r="E618" s="1655" t="s">
        <v>1168</v>
      </c>
      <c r="F618" s="1655" t="s">
        <v>1170</v>
      </c>
      <c r="G618" s="1655" t="s">
        <v>1170</v>
      </c>
      <c r="H618" s="1655" t="s">
        <v>1170</v>
      </c>
      <c r="I618" s="1655" t="s">
        <v>1170</v>
      </c>
      <c r="J618" s="1698" t="s">
        <v>2984</v>
      </c>
      <c r="K618" s="1664" t="s">
        <v>2985</v>
      </c>
      <c r="L618" s="1655" t="s">
        <v>1170</v>
      </c>
      <c r="M618" s="1655" t="s">
        <v>1170</v>
      </c>
      <c r="N618" s="1655" t="s">
        <v>1170</v>
      </c>
      <c r="O618" s="1755">
        <v>43791</v>
      </c>
      <c r="P618" s="1755">
        <v>45251</v>
      </c>
      <c r="Q618" s="1770">
        <v>45251</v>
      </c>
      <c r="R618" s="1805">
        <v>1100000</v>
      </c>
      <c r="S618" s="1570" t="s">
        <v>1189</v>
      </c>
      <c r="T618" s="1842" t="s">
        <v>1170</v>
      </c>
      <c r="U618" s="1655" t="s">
        <v>1170</v>
      </c>
      <c r="V618" s="1655"/>
      <c r="W618" s="1664" t="s">
        <v>2583</v>
      </c>
      <c r="X618" s="1664" t="s">
        <v>1175</v>
      </c>
      <c r="Y618" s="1664" t="s">
        <v>251</v>
      </c>
      <c r="Z618" s="1655" t="s">
        <v>1170</v>
      </c>
      <c r="AA618" s="1655" t="s">
        <v>1170</v>
      </c>
      <c r="AB618" s="1655" t="s">
        <v>1170</v>
      </c>
      <c r="AC618" s="1698" t="s">
        <v>2987</v>
      </c>
      <c r="AD618" s="1657" t="s">
        <v>1170</v>
      </c>
      <c r="AE618" s="1934">
        <v>1100000</v>
      </c>
      <c r="AF618"/>
    </row>
    <row r="619" spans="1:32" s="1" customFormat="1" ht="14.5">
      <c r="A619" s="1184"/>
      <c r="B619" s="147" t="s">
        <v>44</v>
      </c>
      <c r="C619" s="72"/>
      <c r="D619" s="15" t="s">
        <v>32</v>
      </c>
      <c r="E619" s="15"/>
      <c r="F619" s="15"/>
      <c r="G619" s="15"/>
      <c r="H619" s="9" t="s">
        <v>33</v>
      </c>
      <c r="I619" s="10" t="s">
        <v>47</v>
      </c>
      <c r="J619" s="16" t="s">
        <v>2988</v>
      </c>
      <c r="K619" s="16"/>
      <c r="L619" s="16"/>
      <c r="M619" s="182">
        <v>43570</v>
      </c>
      <c r="N619" s="182"/>
      <c r="O619" s="182">
        <v>43799</v>
      </c>
      <c r="P619" s="12">
        <v>60</v>
      </c>
      <c r="Q619" s="28" t="s">
        <v>1871</v>
      </c>
      <c r="R619" s="86">
        <v>14140.14</v>
      </c>
      <c r="S619" s="5" t="s">
        <v>37</v>
      </c>
      <c r="T619" s="27" t="s">
        <v>38</v>
      </c>
      <c r="U619" s="4"/>
      <c r="V619" s="4"/>
      <c r="W619" s="12" t="s">
        <v>2989</v>
      </c>
      <c r="X619" s="15" t="s">
        <v>1962</v>
      </c>
      <c r="Y619" s="5" t="s">
        <v>40</v>
      </c>
      <c r="Z619" s="5"/>
      <c r="AA619" s="27"/>
      <c r="AB619" s="45">
        <v>43581</v>
      </c>
      <c r="AC619" s="74" t="s">
        <v>2990</v>
      </c>
      <c r="AE619" s="236">
        <v>2828</v>
      </c>
      <c r="AF619" s="2799"/>
    </row>
    <row r="620" spans="1:32" s="1" customFormat="1" ht="43.5">
      <c r="A620" s="1184"/>
      <c r="B620" s="147" t="s">
        <v>44</v>
      </c>
      <c r="C620" s="72" t="s">
        <v>45</v>
      </c>
      <c r="D620" s="8" t="s">
        <v>32</v>
      </c>
      <c r="E620" s="8"/>
      <c r="F620" s="8"/>
      <c r="G620" s="8"/>
      <c r="H620" s="5" t="s">
        <v>862</v>
      </c>
      <c r="I620" s="12" t="s">
        <v>47</v>
      </c>
      <c r="J620" s="16" t="s">
        <v>1074</v>
      </c>
      <c r="K620" s="8"/>
      <c r="L620" s="8"/>
      <c r="M620" s="199">
        <v>43374</v>
      </c>
      <c r="N620" s="199"/>
      <c r="O620" s="199">
        <v>43800</v>
      </c>
      <c r="P620" s="5">
        <v>24</v>
      </c>
      <c r="Q620" s="26" t="s">
        <v>1345</v>
      </c>
      <c r="R620" s="18">
        <v>15000</v>
      </c>
      <c r="S620" s="31" t="s">
        <v>2110</v>
      </c>
      <c r="T620" s="163" t="s">
        <v>38</v>
      </c>
      <c r="U620" s="4"/>
      <c r="V620" s="4"/>
      <c r="W620" s="5" t="s">
        <v>2372</v>
      </c>
      <c r="X620" s="5" t="s">
        <v>413</v>
      </c>
      <c r="Y620" s="5" t="s">
        <v>40</v>
      </c>
      <c r="Z620" s="5"/>
      <c r="AA620" s="5"/>
      <c r="AB620" s="199">
        <v>43672</v>
      </c>
      <c r="AC620" s="8" t="s">
        <v>2991</v>
      </c>
      <c r="AE620" s="164"/>
    </row>
    <row r="621" spans="1:32" s="1" customFormat="1" ht="43.4" customHeight="1">
      <c r="A621" s="1184"/>
      <c r="B621" s="147" t="s">
        <v>44</v>
      </c>
      <c r="C621" s="72" t="s">
        <v>2533</v>
      </c>
      <c r="D621" s="5" t="s">
        <v>32</v>
      </c>
      <c r="E621" s="5"/>
      <c r="F621" s="5"/>
      <c r="G621" s="5"/>
      <c r="H621" s="5" t="s">
        <v>33</v>
      </c>
      <c r="I621" s="5" t="s">
        <v>270</v>
      </c>
      <c r="J621" s="16" t="s">
        <v>2992</v>
      </c>
      <c r="K621" s="8"/>
      <c r="L621" s="8"/>
      <c r="M621" s="199">
        <v>43525</v>
      </c>
      <c r="N621" s="199"/>
      <c r="O621" s="199">
        <v>43800</v>
      </c>
      <c r="P621" s="5" t="s">
        <v>45</v>
      </c>
      <c r="Q621" s="26" t="s">
        <v>45</v>
      </c>
      <c r="R621" s="41">
        <v>2000000</v>
      </c>
      <c r="S621" s="31" t="s">
        <v>270</v>
      </c>
      <c r="T621" s="161" t="s">
        <v>45</v>
      </c>
      <c r="U621" s="4"/>
      <c r="V621" s="4"/>
      <c r="W621" s="5" t="s">
        <v>2993</v>
      </c>
      <c r="X621" s="5" t="s">
        <v>86</v>
      </c>
      <c r="Y621" s="5" t="s">
        <v>40</v>
      </c>
      <c r="Z621" s="5"/>
      <c r="AA621" s="5"/>
      <c r="AB621" s="199">
        <v>43837</v>
      </c>
      <c r="AC621" s="36" t="s">
        <v>89</v>
      </c>
      <c r="AD621" s="2799"/>
      <c r="AE621" s="164"/>
    </row>
    <row r="622" spans="1:32" s="1" customFormat="1" ht="14.5">
      <c r="A622" s="1184"/>
      <c r="B622" s="147" t="s">
        <v>44</v>
      </c>
      <c r="C622" s="72"/>
      <c r="D622" s="9" t="s">
        <v>32</v>
      </c>
      <c r="E622" s="9"/>
      <c r="F622" s="9"/>
      <c r="G622" s="9"/>
      <c r="H622" s="5" t="s">
        <v>33</v>
      </c>
      <c r="I622" s="12" t="s">
        <v>47</v>
      </c>
      <c r="J622" s="16" t="s">
        <v>2994</v>
      </c>
      <c r="K622" s="16"/>
      <c r="L622" s="16"/>
      <c r="M622" s="182">
        <v>43586</v>
      </c>
      <c r="N622" s="182"/>
      <c r="O622" s="182">
        <v>43800</v>
      </c>
      <c r="P622" s="12">
        <v>24</v>
      </c>
      <c r="Q622" s="25" t="s">
        <v>391</v>
      </c>
      <c r="R622" s="18">
        <v>5400</v>
      </c>
      <c r="S622" s="31" t="s">
        <v>37</v>
      </c>
      <c r="T622" s="163" t="s">
        <v>38</v>
      </c>
      <c r="U622" s="4"/>
      <c r="V622" s="4"/>
      <c r="W622" s="12" t="s">
        <v>598</v>
      </c>
      <c r="X622" s="5" t="s">
        <v>94</v>
      </c>
      <c r="Y622" s="5" t="s">
        <v>40</v>
      </c>
      <c r="Z622" s="5"/>
      <c r="AA622" s="5"/>
      <c r="AB622" s="199">
        <v>43735</v>
      </c>
      <c r="AC622" s="8" t="s">
        <v>2995</v>
      </c>
      <c r="AE622" s="224"/>
    </row>
    <row r="623" spans="1:32" s="1" customFormat="1" ht="43.4" customHeight="1">
      <c r="A623" s="1184"/>
      <c r="B623" s="147" t="s">
        <v>44</v>
      </c>
      <c r="C623" s="186"/>
      <c r="D623" s="9" t="s">
        <v>32</v>
      </c>
      <c r="E623" s="9"/>
      <c r="F623" s="9"/>
      <c r="G623" s="9"/>
      <c r="H623" s="5" t="s">
        <v>33</v>
      </c>
      <c r="I623" s="5" t="s">
        <v>34</v>
      </c>
      <c r="J623" s="16" t="s">
        <v>1822</v>
      </c>
      <c r="K623" s="16"/>
      <c r="L623" s="16"/>
      <c r="M623" s="182">
        <v>43696</v>
      </c>
      <c r="N623" s="182"/>
      <c r="O623" s="182">
        <v>43800</v>
      </c>
      <c r="P623" s="12">
        <v>48</v>
      </c>
      <c r="Q623" s="12" t="s">
        <v>2996</v>
      </c>
      <c r="R623" s="18">
        <v>800000</v>
      </c>
      <c r="S623" s="5" t="s">
        <v>130</v>
      </c>
      <c r="T623" s="167" t="s">
        <v>38</v>
      </c>
      <c r="U623" s="4"/>
      <c r="V623" s="4"/>
      <c r="W623" s="12" t="s">
        <v>1823</v>
      </c>
      <c r="X623" s="9" t="s">
        <v>39</v>
      </c>
      <c r="Y623" s="5" t="s">
        <v>40</v>
      </c>
      <c r="Z623" s="5"/>
      <c r="AA623" s="12"/>
      <c r="AB623" s="199"/>
      <c r="AC623" s="8" t="s">
        <v>2997</v>
      </c>
      <c r="AE623" s="224">
        <v>192000</v>
      </c>
    </row>
    <row r="624" spans="1:32" s="1" customFormat="1" ht="101.15" customHeight="1">
      <c r="A624" s="1184"/>
      <c r="B624" s="147" t="s">
        <v>44</v>
      </c>
      <c r="C624" s="72" t="s">
        <v>2998</v>
      </c>
      <c r="D624" s="5" t="s">
        <v>32</v>
      </c>
      <c r="E624" s="5"/>
      <c r="F624" s="5"/>
      <c r="G624" s="5"/>
      <c r="H624" s="5" t="s">
        <v>1670</v>
      </c>
      <c r="I624" s="5" t="s">
        <v>47</v>
      </c>
      <c r="J624" s="16" t="s">
        <v>2999</v>
      </c>
      <c r="K624" s="16"/>
      <c r="L624" s="16"/>
      <c r="M624" s="182">
        <v>43770</v>
      </c>
      <c r="N624" s="182"/>
      <c r="O624" s="182">
        <v>43800</v>
      </c>
      <c r="P624" s="2763">
        <v>60</v>
      </c>
      <c r="Q624" s="70" t="s">
        <v>187</v>
      </c>
      <c r="R624" s="18">
        <v>112000</v>
      </c>
      <c r="S624" s="131" t="s">
        <v>51</v>
      </c>
      <c r="T624" s="169" t="s">
        <v>38</v>
      </c>
      <c r="U624" s="4"/>
      <c r="V624" s="4"/>
      <c r="W624" s="5" t="s">
        <v>3000</v>
      </c>
      <c r="X624" s="5" t="s">
        <v>86</v>
      </c>
      <c r="Y624" s="5" t="s">
        <v>40</v>
      </c>
      <c r="Z624" s="5"/>
      <c r="AA624" s="5"/>
      <c r="AB624" s="199">
        <v>43864</v>
      </c>
      <c r="AC624" s="8" t="s">
        <v>89</v>
      </c>
      <c r="AE624" s="224"/>
    </row>
    <row r="625" spans="1:32" s="296" customFormat="1" ht="58">
      <c r="A625" s="1184"/>
      <c r="B625" s="147" t="s">
        <v>44</v>
      </c>
      <c r="C625" s="72" t="s">
        <v>3001</v>
      </c>
      <c r="D625" s="5" t="s">
        <v>32</v>
      </c>
      <c r="E625" s="73"/>
      <c r="F625" s="73"/>
      <c r="G625" s="73"/>
      <c r="H625" s="73" t="s">
        <v>1670</v>
      </c>
      <c r="I625" s="5" t="s">
        <v>47</v>
      </c>
      <c r="J625" s="16" t="s">
        <v>3002</v>
      </c>
      <c r="K625" s="16"/>
      <c r="L625" s="16"/>
      <c r="M625" s="182">
        <v>43783</v>
      </c>
      <c r="N625" s="182"/>
      <c r="O625" s="182">
        <v>43800</v>
      </c>
      <c r="P625" s="12">
        <v>24</v>
      </c>
      <c r="Q625" s="182" t="s">
        <v>1345</v>
      </c>
      <c r="R625" s="41">
        <v>25000</v>
      </c>
      <c r="S625" s="182" t="s">
        <v>37</v>
      </c>
      <c r="T625" s="161" t="s">
        <v>38</v>
      </c>
      <c r="U625" s="4"/>
      <c r="V625" s="4"/>
      <c r="W625" s="5" t="s">
        <v>977</v>
      </c>
      <c r="X625" s="5" t="s">
        <v>86</v>
      </c>
      <c r="Y625" s="5" t="s">
        <v>40</v>
      </c>
      <c r="Z625" s="5"/>
      <c r="AA625" s="5"/>
      <c r="AB625" s="199">
        <v>43801</v>
      </c>
      <c r="AC625" s="8" t="s">
        <v>89</v>
      </c>
      <c r="AD625" s="1"/>
      <c r="AE625" s="224"/>
      <c r="AF625" s="1"/>
    </row>
    <row r="626" spans="1:32" s="296" customFormat="1" ht="29">
      <c r="A626" s="1184"/>
      <c r="B626" s="147" t="s">
        <v>44</v>
      </c>
      <c r="C626" s="72"/>
      <c r="D626" s="5" t="s">
        <v>32</v>
      </c>
      <c r="E626" s="73"/>
      <c r="F626" s="73"/>
      <c r="G626" s="73"/>
      <c r="H626" s="73" t="s">
        <v>33</v>
      </c>
      <c r="I626" s="5" t="s">
        <v>47</v>
      </c>
      <c r="J626" s="16" t="s">
        <v>3003</v>
      </c>
      <c r="K626" s="16"/>
      <c r="L626" s="16"/>
      <c r="M626" s="182">
        <v>43767</v>
      </c>
      <c r="N626" s="182"/>
      <c r="O626" s="182">
        <v>43801</v>
      </c>
      <c r="P626" s="12">
        <v>60</v>
      </c>
      <c r="Q626" s="7" t="s">
        <v>1871</v>
      </c>
      <c r="R626" s="18">
        <v>86306.16</v>
      </c>
      <c r="S626" s="5" t="s">
        <v>176</v>
      </c>
      <c r="T626" s="169" t="s">
        <v>62</v>
      </c>
      <c r="U626" s="10"/>
      <c r="V626" s="10"/>
      <c r="W626" s="12" t="s">
        <v>262</v>
      </c>
      <c r="X626" s="5" t="s">
        <v>1764</v>
      </c>
      <c r="Y626" s="5" t="s">
        <v>40</v>
      </c>
      <c r="Z626" s="5"/>
      <c r="AA626" s="5"/>
      <c r="AB626" s="199">
        <v>43801</v>
      </c>
      <c r="AC626" s="8" t="s">
        <v>3004</v>
      </c>
      <c r="AD626"/>
      <c r="AE626" s="224"/>
      <c r="AF626" s="1"/>
    </row>
    <row r="627" spans="1:32" s="296" customFormat="1" ht="62.5">
      <c r="A627" s="1119"/>
      <c r="B627" s="958" t="s">
        <v>56</v>
      </c>
      <c r="C627" s="966" t="s">
        <v>3005</v>
      </c>
      <c r="D627" s="511" t="s">
        <v>57</v>
      </c>
      <c r="E627" s="511"/>
      <c r="F627" s="511"/>
      <c r="G627" s="511"/>
      <c r="H627" s="511" t="s">
        <v>58</v>
      </c>
      <c r="I627" s="519" t="s">
        <v>47</v>
      </c>
      <c r="J627" s="1578" t="s">
        <v>3006</v>
      </c>
      <c r="K627" s="512"/>
      <c r="L627" s="512"/>
      <c r="M627" s="511">
        <v>12</v>
      </c>
      <c r="N627" s="514" t="str">
        <f>IF(O627="tbc","",(IFERROR(EDATE(#REF!,-3),"Invalid procurement method or date entered")))</f>
        <v>Invalid procurement method or date entered</v>
      </c>
      <c r="O627" s="515">
        <v>43803</v>
      </c>
      <c r="P627" s="516">
        <v>18</v>
      </c>
      <c r="Q627" s="516">
        <v>18</v>
      </c>
      <c r="R627" s="528">
        <v>35000000</v>
      </c>
      <c r="S627" s="515" t="s">
        <v>91</v>
      </c>
      <c r="T627" s="1055" t="s">
        <v>310</v>
      </c>
      <c r="U627" s="515" t="s">
        <v>60</v>
      </c>
      <c r="V627" s="515"/>
      <c r="W627" s="519" t="s">
        <v>3007</v>
      </c>
      <c r="X627" s="120"/>
      <c r="Y627" s="120"/>
      <c r="Z627" s="120"/>
      <c r="AA627" s="120"/>
      <c r="AB627" s="120"/>
      <c r="AC627" s="120"/>
      <c r="AD627"/>
      <c r="AE627" s="186"/>
      <c r="AF627" s="1"/>
    </row>
    <row r="628" spans="1:32" s="1" customFormat="1" ht="43.4" customHeight="1">
      <c r="A628" s="1119"/>
      <c r="B628" s="958" t="s">
        <v>56</v>
      </c>
      <c r="C628" s="966" t="s">
        <v>3008</v>
      </c>
      <c r="D628" s="511" t="s">
        <v>57</v>
      </c>
      <c r="E628" s="511"/>
      <c r="F628" s="511"/>
      <c r="G628" s="511"/>
      <c r="H628" s="511" t="s">
        <v>58</v>
      </c>
      <c r="I628" s="519" t="s">
        <v>47</v>
      </c>
      <c r="J628" s="1578" t="s">
        <v>3009</v>
      </c>
      <c r="K628" s="512"/>
      <c r="L628" s="530">
        <v>43780</v>
      </c>
      <c r="M628" s="530"/>
      <c r="N628" s="530"/>
      <c r="O628" s="530">
        <v>43808</v>
      </c>
      <c r="P628" s="516">
        <v>1</v>
      </c>
      <c r="Q628" s="516">
        <v>1</v>
      </c>
      <c r="R628" s="599">
        <v>80000</v>
      </c>
      <c r="S628" s="523" t="s">
        <v>1189</v>
      </c>
      <c r="T628" s="1055" t="s">
        <v>62</v>
      </c>
      <c r="U628" s="515"/>
      <c r="V628" s="515"/>
      <c r="W628" s="533"/>
      <c r="X628" s="120"/>
      <c r="Y628" s="120"/>
      <c r="Z628" s="120"/>
      <c r="AA628" s="120"/>
      <c r="AB628" s="120"/>
      <c r="AC628" s="120"/>
      <c r="AD628"/>
      <c r="AE628" s="186"/>
    </row>
    <row r="629" spans="1:32" s="1" customFormat="1" ht="43.4" customHeight="1">
      <c r="A629" s="1184"/>
      <c r="B629" s="147" t="s">
        <v>44</v>
      </c>
      <c r="C629" s="72" t="s">
        <v>71</v>
      </c>
      <c r="D629" s="5" t="s">
        <v>32</v>
      </c>
      <c r="E629" s="5"/>
      <c r="F629" s="5"/>
      <c r="G629" s="5"/>
      <c r="H629" s="5" t="s">
        <v>33</v>
      </c>
      <c r="I629" s="5" t="s">
        <v>47</v>
      </c>
      <c r="J629" s="16" t="s">
        <v>3010</v>
      </c>
      <c r="K629" s="8"/>
      <c r="L629" s="8"/>
      <c r="M629" s="199">
        <v>43678</v>
      </c>
      <c r="N629" s="199"/>
      <c r="O629" s="199">
        <v>43819</v>
      </c>
      <c r="P629" s="5">
        <v>12</v>
      </c>
      <c r="Q629" s="7" t="s">
        <v>50</v>
      </c>
      <c r="R629" s="18">
        <v>3000</v>
      </c>
      <c r="S629" s="5" t="s">
        <v>37</v>
      </c>
      <c r="T629" s="163" t="s">
        <v>38</v>
      </c>
      <c r="U629" s="4"/>
      <c r="V629" s="4"/>
      <c r="W629" s="5" t="s">
        <v>383</v>
      </c>
      <c r="X629" s="5" t="s">
        <v>86</v>
      </c>
      <c r="Y629" s="5" t="s">
        <v>40</v>
      </c>
      <c r="Z629" s="5"/>
      <c r="AA629" s="5"/>
      <c r="AB629" s="199">
        <v>43817</v>
      </c>
      <c r="AC629" s="36" t="s">
        <v>3011</v>
      </c>
      <c r="AE629" s="164"/>
    </row>
    <row r="630" spans="1:32" s="1" customFormat="1" ht="43.5">
      <c r="A630" s="1184"/>
      <c r="B630" s="147" t="s">
        <v>44</v>
      </c>
      <c r="C630" s="72"/>
      <c r="D630" s="9" t="s">
        <v>32</v>
      </c>
      <c r="E630" s="9"/>
      <c r="F630" s="9"/>
      <c r="G630" s="9"/>
      <c r="H630" s="5" t="s">
        <v>33</v>
      </c>
      <c r="I630" s="5" t="s">
        <v>47</v>
      </c>
      <c r="J630" s="16" t="s">
        <v>3012</v>
      </c>
      <c r="K630" s="16"/>
      <c r="L630" s="16"/>
      <c r="M630" s="182">
        <v>43767</v>
      </c>
      <c r="N630" s="182"/>
      <c r="O630" s="182">
        <v>43819</v>
      </c>
      <c r="P630" s="12">
        <v>36</v>
      </c>
      <c r="Q630" s="25" t="s">
        <v>98</v>
      </c>
      <c r="R630" s="18">
        <v>300000</v>
      </c>
      <c r="S630" s="5" t="s">
        <v>2110</v>
      </c>
      <c r="T630" s="171" t="s">
        <v>62</v>
      </c>
      <c r="U630" s="10"/>
      <c r="V630" s="10"/>
      <c r="W630" s="12" t="s">
        <v>479</v>
      </c>
      <c r="X630" s="9" t="s">
        <v>1764</v>
      </c>
      <c r="Y630" s="5" t="s">
        <v>40</v>
      </c>
      <c r="Z630" s="5"/>
      <c r="AA630" s="5"/>
      <c r="AB630" s="199">
        <v>43801</v>
      </c>
      <c r="AC630" s="8" t="s">
        <v>3013</v>
      </c>
      <c r="AD630" s="157"/>
      <c r="AE630" s="224">
        <v>100000</v>
      </c>
    </row>
    <row r="631" spans="1:32" s="1" customFormat="1" ht="72.5">
      <c r="A631" s="1185"/>
      <c r="B631" s="60"/>
      <c r="C631" s="72"/>
      <c r="D631" s="5" t="s">
        <v>32</v>
      </c>
      <c r="E631" s="5"/>
      <c r="F631" s="5"/>
      <c r="G631" s="5"/>
      <c r="H631" s="5" t="s">
        <v>127</v>
      </c>
      <c r="I631" s="5" t="s">
        <v>47</v>
      </c>
      <c r="J631" s="16" t="s">
        <v>3014</v>
      </c>
      <c r="K631" s="8"/>
      <c r="L631" s="8"/>
      <c r="M631" s="199">
        <v>43770</v>
      </c>
      <c r="N631" s="199"/>
      <c r="O631" s="199">
        <v>43823</v>
      </c>
      <c r="P631" s="5">
        <v>18</v>
      </c>
      <c r="Q631" s="26" t="s">
        <v>275</v>
      </c>
      <c r="R631" s="18">
        <v>126000</v>
      </c>
      <c r="S631" s="31" t="s">
        <v>51</v>
      </c>
      <c r="T631" s="169" t="s">
        <v>45</v>
      </c>
      <c r="U631" s="53" t="s">
        <v>45</v>
      </c>
      <c r="V631" s="53"/>
      <c r="W631" s="5" t="s">
        <v>3015</v>
      </c>
      <c r="X631" s="5" t="s">
        <v>2179</v>
      </c>
      <c r="Y631" s="5" t="s">
        <v>727</v>
      </c>
      <c r="Z631" s="5"/>
      <c r="AA631" s="26"/>
      <c r="AB631" s="45" t="s">
        <v>3016</v>
      </c>
      <c r="AC631" s="8" t="s">
        <v>3017</v>
      </c>
      <c r="AD631" s="76" t="s">
        <v>2268</v>
      </c>
      <c r="AE631" s="164"/>
    </row>
    <row r="632" spans="1:32" s="1" customFormat="1" ht="86.9" customHeight="1">
      <c r="A632" s="1184"/>
      <c r="B632" s="60"/>
      <c r="C632" s="2883"/>
      <c r="D632" s="9" t="s">
        <v>32</v>
      </c>
      <c r="E632" s="9"/>
      <c r="F632" s="9"/>
      <c r="G632" s="9"/>
      <c r="H632" s="9" t="s">
        <v>33</v>
      </c>
      <c r="I632" s="9" t="s">
        <v>47</v>
      </c>
      <c r="J632" s="16" t="s">
        <v>3018</v>
      </c>
      <c r="K632" s="16"/>
      <c r="L632" s="16"/>
      <c r="M632" s="49">
        <v>43767</v>
      </c>
      <c r="N632" s="49"/>
      <c r="O632" s="49">
        <v>43826</v>
      </c>
      <c r="P632" s="15">
        <v>36</v>
      </c>
      <c r="Q632" s="269" t="s">
        <v>98</v>
      </c>
      <c r="R632" s="18">
        <v>60300</v>
      </c>
      <c r="S632" s="2751" t="s">
        <v>176</v>
      </c>
      <c r="T632" s="171" t="s">
        <v>62</v>
      </c>
      <c r="U632" s="51" t="s">
        <v>67</v>
      </c>
      <c r="V632" s="51"/>
      <c r="W632" s="15" t="s">
        <v>479</v>
      </c>
      <c r="X632" s="5" t="s">
        <v>1764</v>
      </c>
      <c r="Y632" s="5" t="s">
        <v>40</v>
      </c>
      <c r="Z632" s="5"/>
      <c r="AA632" s="5"/>
      <c r="AB632" s="199" t="s">
        <v>41</v>
      </c>
      <c r="AC632" s="6" t="s">
        <v>267</v>
      </c>
      <c r="AD632" s="76" t="s">
        <v>2339</v>
      </c>
      <c r="AE632" s="230">
        <v>20100</v>
      </c>
    </row>
    <row r="633" spans="1:32" s="1" customFormat="1" ht="43.4" customHeight="1">
      <c r="A633" s="1184"/>
      <c r="B633" s="147" t="s">
        <v>44</v>
      </c>
      <c r="C633" s="72" t="s">
        <v>1152</v>
      </c>
      <c r="D633" s="5" t="s">
        <v>32</v>
      </c>
      <c r="E633" s="5"/>
      <c r="F633" s="5"/>
      <c r="G633" s="5"/>
      <c r="H633" s="5" t="s">
        <v>33</v>
      </c>
      <c r="I633" s="5" t="s">
        <v>47</v>
      </c>
      <c r="J633" s="16" t="s">
        <v>3019</v>
      </c>
      <c r="K633" s="16"/>
      <c r="L633" s="16"/>
      <c r="M633" s="2852">
        <v>43101</v>
      </c>
      <c r="N633" s="2852"/>
      <c r="O633" s="2852">
        <v>43830</v>
      </c>
      <c r="P633" s="12">
        <v>120</v>
      </c>
      <c r="Q633" s="7" t="s">
        <v>1155</v>
      </c>
      <c r="R633" s="18">
        <v>595883.89</v>
      </c>
      <c r="S633" s="5" t="s">
        <v>91</v>
      </c>
      <c r="T633" s="27" t="s">
        <v>38</v>
      </c>
      <c r="U633" s="4"/>
      <c r="V633" s="4"/>
      <c r="W633" s="5" t="s">
        <v>3020</v>
      </c>
      <c r="X633" s="5" t="s">
        <v>543</v>
      </c>
      <c r="Y633" s="5" t="s">
        <v>40</v>
      </c>
      <c r="Z633" s="5"/>
      <c r="AA633" s="5"/>
      <c r="AB633" s="199">
        <v>43780</v>
      </c>
      <c r="AC633" s="8" t="s">
        <v>3021</v>
      </c>
      <c r="AE633" s="164" t="s">
        <v>3022</v>
      </c>
    </row>
    <row r="634" spans="1:32" s="1" customFormat="1" ht="43.4" customHeight="1">
      <c r="A634" s="1184"/>
      <c r="B634" s="147" t="s">
        <v>44</v>
      </c>
      <c r="C634" s="72" t="s">
        <v>3023</v>
      </c>
      <c r="D634" s="6" t="s">
        <v>32</v>
      </c>
      <c r="E634" s="6"/>
      <c r="F634" s="6"/>
      <c r="G634" s="6"/>
      <c r="H634" s="5" t="s">
        <v>33</v>
      </c>
      <c r="I634" s="5" t="s">
        <v>47</v>
      </c>
      <c r="J634" s="16" t="s">
        <v>3024</v>
      </c>
      <c r="K634" s="8"/>
      <c r="L634" s="8"/>
      <c r="M634" s="199">
        <v>43132</v>
      </c>
      <c r="N634" s="199"/>
      <c r="O634" s="199">
        <v>43831</v>
      </c>
      <c r="P634" s="5">
        <v>48</v>
      </c>
      <c r="Q634" s="7" t="s">
        <v>83</v>
      </c>
      <c r="R634" s="18">
        <v>90000</v>
      </c>
      <c r="S634" s="5" t="s">
        <v>176</v>
      </c>
      <c r="T634" s="163" t="s">
        <v>38</v>
      </c>
      <c r="U634" s="4"/>
      <c r="V634" s="4"/>
      <c r="W634" s="5" t="s">
        <v>3025</v>
      </c>
      <c r="X634" s="9" t="s">
        <v>108</v>
      </c>
      <c r="Y634" s="5" t="s">
        <v>40</v>
      </c>
      <c r="Z634" s="5"/>
      <c r="AA634" s="5"/>
      <c r="AB634" s="199">
        <v>43598</v>
      </c>
      <c r="AC634" s="33" t="s">
        <v>3026</v>
      </c>
      <c r="AD634"/>
      <c r="AE634" s="231">
        <v>22142.5</v>
      </c>
    </row>
    <row r="635" spans="1:32" s="1" customFormat="1" ht="43.5">
      <c r="A635" s="1184"/>
      <c r="B635" s="464" t="s">
        <v>100</v>
      </c>
      <c r="C635" s="470" t="s">
        <v>3027</v>
      </c>
      <c r="D635" s="402" t="s">
        <v>110</v>
      </c>
      <c r="E635" s="402"/>
      <c r="F635" s="402"/>
      <c r="G635" s="402"/>
      <c r="H635" s="402" t="s">
        <v>103</v>
      </c>
      <c r="I635" s="402" t="s">
        <v>47</v>
      </c>
      <c r="J635" s="1584" t="s">
        <v>1453</v>
      </c>
      <c r="K635" s="402"/>
      <c r="L635" s="416">
        <v>14</v>
      </c>
      <c r="M635" s="421">
        <f>IFERROR(EDATE(N635,-3),"Invalid procurement method or date entered")</f>
        <v>43313</v>
      </c>
      <c r="N635" s="417">
        <f>IFERROR(EDATE(O635,-L635),"Invalid procurement method or date entered")</f>
        <v>43405</v>
      </c>
      <c r="O635" s="374">
        <v>43831</v>
      </c>
      <c r="P635" s="403">
        <v>120</v>
      </c>
      <c r="Q635" s="403" t="s">
        <v>3028</v>
      </c>
      <c r="R635" s="426"/>
      <c r="S635" s="404" t="s">
        <v>105</v>
      </c>
      <c r="T635" s="478" t="s">
        <v>70</v>
      </c>
      <c r="U635" s="412">
        <v>43438</v>
      </c>
      <c r="V635" s="412"/>
      <c r="W635" s="402" t="s">
        <v>114</v>
      </c>
      <c r="X635" s="402" t="s">
        <v>125</v>
      </c>
      <c r="Y635" s="402" t="s">
        <v>727</v>
      </c>
      <c r="Z635" s="402"/>
      <c r="AA635" s="101" t="s">
        <v>87</v>
      </c>
      <c r="AB635" s="406" t="s">
        <v>70</v>
      </c>
      <c r="AC635" s="407">
        <v>44243</v>
      </c>
      <c r="AD635" s="496"/>
      <c r="AE635" s="488"/>
    </row>
    <row r="636" spans="1:32" s="1" customFormat="1" ht="14.9" customHeight="1">
      <c r="A636" s="2756"/>
      <c r="B636" s="147" t="s">
        <v>44</v>
      </c>
      <c r="C636" s="72" t="s">
        <v>71</v>
      </c>
      <c r="D636" s="5" t="s">
        <v>32</v>
      </c>
      <c r="E636" s="5"/>
      <c r="F636" s="5"/>
      <c r="G636" s="5"/>
      <c r="H636" s="5" t="s">
        <v>33</v>
      </c>
      <c r="I636" s="5" t="s">
        <v>34</v>
      </c>
      <c r="J636" s="16" t="s">
        <v>3029</v>
      </c>
      <c r="K636" s="8"/>
      <c r="L636" s="8"/>
      <c r="M636" s="199">
        <v>43313</v>
      </c>
      <c r="N636" s="199"/>
      <c r="O636" s="199">
        <v>43831</v>
      </c>
      <c r="P636" s="5">
        <v>84</v>
      </c>
      <c r="Q636" s="25" t="s">
        <v>112</v>
      </c>
      <c r="R636" s="18">
        <v>850000</v>
      </c>
      <c r="S636" s="31" t="s">
        <v>130</v>
      </c>
      <c r="T636" s="163" t="s">
        <v>38</v>
      </c>
      <c r="U636" s="11" t="s">
        <v>2488</v>
      </c>
      <c r="V636" s="11"/>
      <c r="W636" s="5" t="s">
        <v>3030</v>
      </c>
      <c r="X636" s="5" t="s">
        <v>2179</v>
      </c>
      <c r="Y636" s="5" t="s">
        <v>40</v>
      </c>
      <c r="Z636" s="5"/>
      <c r="AA636" s="5"/>
      <c r="AB636" s="199">
        <v>43915</v>
      </c>
      <c r="AC636" s="8" t="s">
        <v>89</v>
      </c>
      <c r="AD636" s="76" t="s">
        <v>2268</v>
      </c>
      <c r="AE636" s="164">
        <v>121428</v>
      </c>
    </row>
    <row r="637" spans="1:32" s="1" customFormat="1" ht="58">
      <c r="A637" s="1184"/>
      <c r="B637" s="147" t="s">
        <v>44</v>
      </c>
      <c r="C637" s="72" t="s">
        <v>71</v>
      </c>
      <c r="D637" s="5" t="s">
        <v>32</v>
      </c>
      <c r="E637" s="5"/>
      <c r="F637" s="5"/>
      <c r="G637" s="5"/>
      <c r="H637" s="5" t="s">
        <v>33</v>
      </c>
      <c r="I637" s="5" t="s">
        <v>34</v>
      </c>
      <c r="J637" s="16" t="s">
        <v>3029</v>
      </c>
      <c r="K637" s="8"/>
      <c r="L637" s="8"/>
      <c r="M637" s="199">
        <v>43313</v>
      </c>
      <c r="N637" s="199"/>
      <c r="O637" s="199">
        <v>43831</v>
      </c>
      <c r="P637" s="5">
        <v>84</v>
      </c>
      <c r="Q637" s="25" t="s">
        <v>112</v>
      </c>
      <c r="R637" s="18">
        <v>850000</v>
      </c>
      <c r="S637" s="31" t="s">
        <v>130</v>
      </c>
      <c r="T637" s="163" t="s">
        <v>38</v>
      </c>
      <c r="U637" s="11" t="s">
        <v>2488</v>
      </c>
      <c r="V637" s="11"/>
      <c r="W637" s="5" t="s">
        <v>3030</v>
      </c>
      <c r="X637" s="5" t="s">
        <v>2179</v>
      </c>
      <c r="Y637" s="5" t="s">
        <v>40</v>
      </c>
      <c r="Z637" s="5"/>
      <c r="AA637" s="26"/>
      <c r="AB637" s="45">
        <v>43915</v>
      </c>
      <c r="AC637" s="8" t="s">
        <v>89</v>
      </c>
      <c r="AD637" s="76" t="s">
        <v>2268</v>
      </c>
      <c r="AE637" s="164">
        <v>121428</v>
      </c>
    </row>
    <row r="638" spans="1:32" s="1" customFormat="1" ht="145">
      <c r="A638" s="1184"/>
      <c r="B638" s="147" t="s">
        <v>44</v>
      </c>
      <c r="C638" s="72" t="s">
        <v>3031</v>
      </c>
      <c r="D638" s="5" t="s">
        <v>32</v>
      </c>
      <c r="E638" s="5"/>
      <c r="F638" s="5"/>
      <c r="G638" s="5"/>
      <c r="H638" s="5" t="s">
        <v>33</v>
      </c>
      <c r="I638" s="5" t="s">
        <v>47</v>
      </c>
      <c r="J638" s="16" t="s">
        <v>3032</v>
      </c>
      <c r="K638" s="16"/>
      <c r="L638" s="16"/>
      <c r="M638" s="182">
        <v>43497</v>
      </c>
      <c r="N638" s="182"/>
      <c r="O638" s="182">
        <v>43831</v>
      </c>
      <c r="P638" s="12">
        <v>36</v>
      </c>
      <c r="Q638" s="25" t="s">
        <v>98</v>
      </c>
      <c r="R638" s="18">
        <v>4500000</v>
      </c>
      <c r="S638" s="31" t="s">
        <v>2110</v>
      </c>
      <c r="T638" s="26" t="s">
        <v>70</v>
      </c>
      <c r="U638" s="182">
        <v>43623</v>
      </c>
      <c r="V638" s="182"/>
      <c r="W638" s="5" t="s">
        <v>3033</v>
      </c>
      <c r="X638" s="5" t="s">
        <v>86</v>
      </c>
      <c r="Y638" s="5" t="s">
        <v>40</v>
      </c>
      <c r="Z638" s="5"/>
      <c r="AA638" s="26"/>
      <c r="AB638" s="45">
        <v>43924</v>
      </c>
      <c r="AC638" s="36" t="s">
        <v>89</v>
      </c>
      <c r="AD638" s="76" t="s">
        <v>2339</v>
      </c>
      <c r="AE638" s="224"/>
      <c r="AF638" s="99"/>
    </row>
    <row r="639" spans="1:32" s="1" customFormat="1" ht="29.15" customHeight="1">
      <c r="A639" s="1184"/>
      <c r="B639" s="147" t="s">
        <v>44</v>
      </c>
      <c r="C639" s="72" t="s">
        <v>3034</v>
      </c>
      <c r="D639" s="5" t="s">
        <v>32</v>
      </c>
      <c r="E639" s="5"/>
      <c r="F639" s="5"/>
      <c r="G639" s="5"/>
      <c r="H639" s="5" t="s">
        <v>33</v>
      </c>
      <c r="I639" s="5" t="s">
        <v>47</v>
      </c>
      <c r="J639" s="16" t="s">
        <v>1842</v>
      </c>
      <c r="K639" s="16"/>
      <c r="L639" s="16"/>
      <c r="M639" s="14">
        <v>43739</v>
      </c>
      <c r="N639" s="14"/>
      <c r="O639" s="14">
        <v>43831</v>
      </c>
      <c r="P639" s="12">
        <v>12</v>
      </c>
      <c r="Q639" s="7" t="s">
        <v>50</v>
      </c>
      <c r="R639" s="18">
        <v>3530.4</v>
      </c>
      <c r="S639" s="5" t="s">
        <v>37</v>
      </c>
      <c r="T639" s="26" t="s">
        <v>38</v>
      </c>
      <c r="U639" s="4"/>
      <c r="V639" s="4"/>
      <c r="W639" s="5" t="s">
        <v>3035</v>
      </c>
      <c r="X639" s="5" t="s">
        <v>86</v>
      </c>
      <c r="Y639" s="5" t="s">
        <v>40</v>
      </c>
      <c r="Z639" s="5"/>
      <c r="AA639" s="12"/>
      <c r="AB639" s="199">
        <v>43839</v>
      </c>
      <c r="AC639" s="8" t="s">
        <v>1990</v>
      </c>
      <c r="AE639" s="223">
        <v>3530</v>
      </c>
    </row>
    <row r="640" spans="1:32" s="1" customFormat="1" ht="43.4" customHeight="1">
      <c r="A640" s="1119"/>
      <c r="B640" s="958" t="s">
        <v>56</v>
      </c>
      <c r="C640" s="966" t="s">
        <v>60</v>
      </c>
      <c r="D640" s="511" t="s">
        <v>57</v>
      </c>
      <c r="E640" s="511"/>
      <c r="F640" s="511"/>
      <c r="G640" s="511"/>
      <c r="H640" s="511" t="s">
        <v>58</v>
      </c>
      <c r="I640" s="519" t="s">
        <v>47</v>
      </c>
      <c r="J640" s="1578" t="s">
        <v>3036</v>
      </c>
      <c r="K640" s="512"/>
      <c r="L640" s="530">
        <v>43739</v>
      </c>
      <c r="M640" s="530"/>
      <c r="N640" s="530"/>
      <c r="O640" s="530">
        <v>43831</v>
      </c>
      <c r="P640" s="516" t="s">
        <v>60</v>
      </c>
      <c r="Q640" s="516" t="s">
        <v>45</v>
      </c>
      <c r="R640" s="599" t="s">
        <v>60</v>
      </c>
      <c r="S640" s="523" t="s">
        <v>60</v>
      </c>
      <c r="T640" s="1055" t="s">
        <v>60</v>
      </c>
      <c r="U640" s="515" t="s">
        <v>60</v>
      </c>
      <c r="V640" s="515"/>
      <c r="W640" s="519" t="s">
        <v>1868</v>
      </c>
      <c r="X640" s="120"/>
      <c r="Y640" s="120"/>
      <c r="Z640" s="120"/>
      <c r="AA640" s="120"/>
      <c r="AB640" s="120"/>
      <c r="AC640" s="120"/>
      <c r="AD640"/>
      <c r="AE640" s="186"/>
    </row>
    <row r="641" spans="1:32" s="1" customFormat="1" ht="43.4" customHeight="1">
      <c r="A641" s="1119"/>
      <c r="B641" s="958" t="s">
        <v>56</v>
      </c>
      <c r="C641" s="966" t="s">
        <v>3037</v>
      </c>
      <c r="D641" s="511" t="s">
        <v>57</v>
      </c>
      <c r="E641" s="511"/>
      <c r="F641" s="511"/>
      <c r="G641" s="511"/>
      <c r="H641" s="511" t="s">
        <v>58</v>
      </c>
      <c r="I641" s="519" t="s">
        <v>47</v>
      </c>
      <c r="J641" s="1578" t="s">
        <v>3038</v>
      </c>
      <c r="K641" s="512"/>
      <c r="L641" s="530">
        <v>43789</v>
      </c>
      <c r="M641" s="530"/>
      <c r="N641" s="530"/>
      <c r="O641" s="530">
        <v>43831</v>
      </c>
      <c r="P641" s="516">
        <v>48</v>
      </c>
      <c r="Q641" s="516">
        <v>48</v>
      </c>
      <c r="R641" s="599">
        <v>50000</v>
      </c>
      <c r="S641" s="523" t="s">
        <v>176</v>
      </c>
      <c r="T641" s="1055" t="s">
        <v>62</v>
      </c>
      <c r="U641" s="515" t="s">
        <v>589</v>
      </c>
      <c r="V641" s="515"/>
      <c r="W641" s="519" t="s">
        <v>2425</v>
      </c>
      <c r="X641" s="120"/>
      <c r="Y641" s="120"/>
      <c r="Z641" s="120"/>
      <c r="AA641" s="120"/>
      <c r="AB641" s="120"/>
      <c r="AC641" s="120"/>
      <c r="AD641"/>
      <c r="AE641" s="186"/>
    </row>
    <row r="642" spans="1:32" s="1" customFormat="1" ht="101.15" customHeight="1">
      <c r="A642" s="1119"/>
      <c r="B642" s="958" t="s">
        <v>56</v>
      </c>
      <c r="C642" s="968"/>
      <c r="D642" s="511" t="s">
        <v>32</v>
      </c>
      <c r="E642" s="511"/>
      <c r="F642" s="511"/>
      <c r="G642" s="511"/>
      <c r="H642" s="511" t="s">
        <v>308</v>
      </c>
      <c r="I642" s="519" t="s">
        <v>47</v>
      </c>
      <c r="J642" s="606" t="s">
        <v>3039</v>
      </c>
      <c r="K642" s="529"/>
      <c r="L642" s="602">
        <v>43617</v>
      </c>
      <c r="M642" s="602"/>
      <c r="N642" s="602"/>
      <c r="O642" s="597">
        <v>43832</v>
      </c>
      <c r="P642" s="516" t="s">
        <v>60</v>
      </c>
      <c r="Q642" s="516" t="s">
        <v>60</v>
      </c>
      <c r="R642" s="605" t="s">
        <v>60</v>
      </c>
      <c r="S642" s="523" t="s">
        <v>60</v>
      </c>
      <c r="T642" s="1055" t="s">
        <v>60</v>
      </c>
      <c r="U642" s="515"/>
      <c r="V642" s="515"/>
      <c r="W642" s="519" t="s">
        <v>3040</v>
      </c>
      <c r="X642" s="120"/>
      <c r="Y642" s="120"/>
      <c r="Z642" s="120"/>
      <c r="AA642" s="120"/>
      <c r="AB642" s="120"/>
      <c r="AC642" s="120"/>
      <c r="AD642"/>
      <c r="AE642" s="186"/>
    </row>
    <row r="643" spans="1:32" s="1" customFormat="1" ht="43.4" customHeight="1">
      <c r="A643" s="1119"/>
      <c r="B643" s="958" t="s">
        <v>56</v>
      </c>
      <c r="C643" s="968"/>
      <c r="D643" s="511" t="s">
        <v>32</v>
      </c>
      <c r="E643" s="511"/>
      <c r="F643" s="511"/>
      <c r="G643" s="511"/>
      <c r="H643" s="511" t="s">
        <v>308</v>
      </c>
      <c r="I643" s="519" t="s">
        <v>47</v>
      </c>
      <c r="J643" s="606" t="s">
        <v>3041</v>
      </c>
      <c r="K643" s="529"/>
      <c r="L643" s="612">
        <v>43617</v>
      </c>
      <c r="M643" s="612"/>
      <c r="N643" s="612"/>
      <c r="O643" s="515">
        <v>43832</v>
      </c>
      <c r="P643" s="516" t="s">
        <v>60</v>
      </c>
      <c r="Q643" s="516" t="s">
        <v>60</v>
      </c>
      <c r="R643" s="605" t="s">
        <v>60</v>
      </c>
      <c r="S643" s="523" t="s">
        <v>60</v>
      </c>
      <c r="T643" s="1055" t="s">
        <v>60</v>
      </c>
      <c r="U643" s="515"/>
      <c r="V643" s="515"/>
      <c r="W643" s="519" t="s">
        <v>3040</v>
      </c>
      <c r="X643" s="120"/>
      <c r="Y643" s="120"/>
      <c r="Z643" s="120"/>
      <c r="AA643" s="120"/>
      <c r="AB643" s="120"/>
      <c r="AC643" s="120"/>
      <c r="AD643"/>
      <c r="AE643" s="186"/>
    </row>
    <row r="644" spans="1:32" s="1" customFormat="1" ht="43.4" customHeight="1">
      <c r="A644" s="1119"/>
      <c r="B644" s="958" t="s">
        <v>56</v>
      </c>
      <c r="C644" s="966" t="s">
        <v>3042</v>
      </c>
      <c r="D644" s="511" t="s">
        <v>57</v>
      </c>
      <c r="E644" s="511"/>
      <c r="F644" s="511"/>
      <c r="G644" s="511"/>
      <c r="H644" s="511" t="s">
        <v>58</v>
      </c>
      <c r="I644" s="519" t="s">
        <v>47</v>
      </c>
      <c r="J644" s="1578" t="s">
        <v>3043</v>
      </c>
      <c r="K644" s="512"/>
      <c r="L644" s="530">
        <v>43709</v>
      </c>
      <c r="M644" s="530"/>
      <c r="N644" s="530"/>
      <c r="O644" s="530">
        <v>43832</v>
      </c>
      <c r="P644" s="530" t="s">
        <v>60</v>
      </c>
      <c r="Q644" s="530" t="s">
        <v>60</v>
      </c>
      <c r="R644" s="599">
        <v>80000</v>
      </c>
      <c r="S644" s="523" t="s">
        <v>1937</v>
      </c>
      <c r="T644" s="1055" t="s">
        <v>62</v>
      </c>
      <c r="U644" s="515" t="s">
        <v>3044</v>
      </c>
      <c r="V644" s="515"/>
      <c r="W644" s="519" t="s">
        <v>1940</v>
      </c>
      <c r="X644" s="120"/>
      <c r="Y644" s="120"/>
      <c r="Z644" s="120"/>
      <c r="AA644" s="120"/>
      <c r="AB644" s="120"/>
      <c r="AC644" s="120"/>
      <c r="AD644"/>
      <c r="AE644" s="186"/>
    </row>
    <row r="645" spans="1:32" s="1" customFormat="1" ht="58">
      <c r="A645" s="1119"/>
      <c r="B645" s="336"/>
      <c r="C645" s="72" t="s">
        <v>3045</v>
      </c>
      <c r="D645" s="5" t="s">
        <v>32</v>
      </c>
      <c r="E645" s="5"/>
      <c r="F645" s="5"/>
      <c r="G645" s="5"/>
      <c r="H645" s="5" t="s">
        <v>1670</v>
      </c>
      <c r="I645" s="5" t="s">
        <v>47</v>
      </c>
      <c r="J645" s="16" t="s">
        <v>3046</v>
      </c>
      <c r="K645" s="16"/>
      <c r="L645" s="5" t="e">
        <f>IF(OR(S645=#REF!,S645=#REF!,S645=#REF!,S645=#REF!,S645=#REF!,S645=#REF!,S645=#REF!,S645=#REF!),12,IF(OR(S645=#REF!,S645=#REF!,S645=#REF!,S645=#REF!,S645=#REF!,S645=#REF!,S645=#REF!),3,IF(S645=#REF!,1,IF(S645=#REF!,18,IF(OR(S645=#REF!,S645=#REF!,S645=#REF!,S645=#REF!,S645=#REF!),14,"Invalid proposed procurement method")))))</f>
        <v>#REF!</v>
      </c>
      <c r="M645" s="199">
        <f>IFERROR(EDATE($N645,-3),"Invalid procurement method or date entered")</f>
        <v>44066</v>
      </c>
      <c r="N645" s="182">
        <v>44158</v>
      </c>
      <c r="O645" s="182">
        <v>43834</v>
      </c>
      <c r="P645" s="2763">
        <v>36</v>
      </c>
      <c r="Q645" s="27">
        <v>36</v>
      </c>
      <c r="R645" s="41">
        <v>92000</v>
      </c>
      <c r="S645" s="207" t="s">
        <v>51</v>
      </c>
      <c r="T645" s="169" t="s">
        <v>38</v>
      </c>
      <c r="U645" s="53" t="s">
        <v>67</v>
      </c>
      <c r="V645" s="53"/>
      <c r="W645" s="5" t="s">
        <v>977</v>
      </c>
      <c r="X645" s="5" t="s">
        <v>254</v>
      </c>
      <c r="Y645" s="5" t="s">
        <v>40</v>
      </c>
      <c r="Z645" s="5"/>
      <c r="AA645" s="5"/>
      <c r="AB645" s="199" t="s">
        <v>132</v>
      </c>
      <c r="AC645" s="2875" t="s">
        <v>3047</v>
      </c>
      <c r="AD645" s="76" t="s">
        <v>979</v>
      </c>
      <c r="AE645" s="224"/>
    </row>
    <row r="646" spans="1:32" s="1" customFormat="1" ht="43.4" customHeight="1">
      <c r="A646" s="1119"/>
      <c r="B646" s="958" t="s">
        <v>56</v>
      </c>
      <c r="C646" s="966" t="s">
        <v>3048</v>
      </c>
      <c r="D646" s="511" t="s">
        <v>57</v>
      </c>
      <c r="E646" s="511"/>
      <c r="F646" s="511"/>
      <c r="G646" s="511"/>
      <c r="H646" s="511" t="s">
        <v>58</v>
      </c>
      <c r="I646" s="519" t="s">
        <v>47</v>
      </c>
      <c r="J646" s="1578" t="s">
        <v>3049</v>
      </c>
      <c r="K646" s="512"/>
      <c r="L646" s="530">
        <v>43805</v>
      </c>
      <c r="M646" s="530"/>
      <c r="N646" s="530"/>
      <c r="O646" s="530">
        <v>43836</v>
      </c>
      <c r="P646" s="530" t="s">
        <v>991</v>
      </c>
      <c r="Q646" s="1018" t="s">
        <v>991</v>
      </c>
      <c r="R646" s="599">
        <v>6000</v>
      </c>
      <c r="S646" s="1043" t="s">
        <v>3050</v>
      </c>
      <c r="T646" s="1055" t="s">
        <v>2455</v>
      </c>
      <c r="U646" s="515"/>
      <c r="V646" s="515"/>
      <c r="W646" s="533" t="s">
        <v>2417</v>
      </c>
      <c r="X646" s="120"/>
      <c r="Y646" s="120"/>
      <c r="Z646" s="120"/>
      <c r="AA646" s="120"/>
      <c r="AB646" s="120"/>
      <c r="AC646" s="120"/>
      <c r="AD646"/>
      <c r="AE646" s="186"/>
    </row>
    <row r="647" spans="1:32" s="1" customFormat="1" ht="130.5">
      <c r="A647" s="1184"/>
      <c r="B647" s="147" t="s">
        <v>44</v>
      </c>
      <c r="C647" s="2881" t="s">
        <v>3051</v>
      </c>
      <c r="D647" s="5" t="s">
        <v>32</v>
      </c>
      <c r="E647" s="5"/>
      <c r="F647" s="5"/>
      <c r="G647" s="5"/>
      <c r="H647" s="5" t="s">
        <v>862</v>
      </c>
      <c r="I647" s="5" t="s">
        <v>47</v>
      </c>
      <c r="J647" s="2752" t="s">
        <v>3052</v>
      </c>
      <c r="K647" s="2758"/>
      <c r="L647" s="2758"/>
      <c r="M647" s="2759">
        <v>43831</v>
      </c>
      <c r="N647" s="2759"/>
      <c r="O647" s="2759">
        <v>43843</v>
      </c>
      <c r="P647" s="12">
        <v>72</v>
      </c>
      <c r="Q647" s="2753">
        <v>72</v>
      </c>
      <c r="R647" s="19">
        <v>102296.4</v>
      </c>
      <c r="S647" s="207" t="s">
        <v>84</v>
      </c>
      <c r="T647" s="169" t="s">
        <v>62</v>
      </c>
      <c r="U647" s="4"/>
      <c r="V647" s="4"/>
      <c r="W647" s="5" t="s">
        <v>1076</v>
      </c>
      <c r="X647" s="2751" t="s">
        <v>543</v>
      </c>
      <c r="Y647" s="5" t="s">
        <v>40</v>
      </c>
      <c r="Z647" s="5"/>
      <c r="AA647" s="2881"/>
      <c r="AB647" s="45">
        <v>43861</v>
      </c>
      <c r="AC647" s="2758" t="s">
        <v>3053</v>
      </c>
      <c r="AD647" s="156"/>
      <c r="AE647" s="2884">
        <v>17049.400000000001</v>
      </c>
    </row>
    <row r="648" spans="1:32" s="1" customFormat="1" ht="29">
      <c r="A648" s="1183"/>
      <c r="B648" s="147" t="s">
        <v>44</v>
      </c>
      <c r="C648" s="72"/>
      <c r="D648" s="9" t="s">
        <v>32</v>
      </c>
      <c r="E648" s="9"/>
      <c r="F648" s="9"/>
      <c r="G648" s="9"/>
      <c r="H648" s="5" t="s">
        <v>33</v>
      </c>
      <c r="I648" s="12" t="s">
        <v>47</v>
      </c>
      <c r="J648" s="16" t="s">
        <v>1870</v>
      </c>
      <c r="K648" s="16"/>
      <c r="L648" s="16"/>
      <c r="M648" s="182">
        <v>43678</v>
      </c>
      <c r="N648" s="182"/>
      <c r="O648" s="182">
        <v>43849</v>
      </c>
      <c r="P648" s="12">
        <v>12</v>
      </c>
      <c r="Q648" s="7" t="s">
        <v>50</v>
      </c>
      <c r="R648" s="18">
        <v>6340</v>
      </c>
      <c r="S648" s="5" t="s">
        <v>45</v>
      </c>
      <c r="T648" s="26" t="s">
        <v>38</v>
      </c>
      <c r="U648" s="4"/>
      <c r="V648" s="4"/>
      <c r="W648" s="12" t="s">
        <v>262</v>
      </c>
      <c r="X648" s="5" t="s">
        <v>108</v>
      </c>
      <c r="Y648" s="5" t="s">
        <v>727</v>
      </c>
      <c r="Z648" s="5"/>
      <c r="AA648" s="5"/>
      <c r="AB648" s="199">
        <v>43728</v>
      </c>
      <c r="AC648" s="8" t="s">
        <v>3054</v>
      </c>
      <c r="AD648" s="35"/>
      <c r="AE648" s="224"/>
    </row>
    <row r="649" spans="1:32" s="1" customFormat="1" ht="43.4" customHeight="1">
      <c r="A649" s="1119"/>
      <c r="B649" s="336"/>
      <c r="C649" s="2881" t="s">
        <v>3055</v>
      </c>
      <c r="D649" s="46" t="s">
        <v>32</v>
      </c>
      <c r="E649" s="46"/>
      <c r="F649" s="46"/>
      <c r="G649" s="46"/>
      <c r="H649" s="2751" t="s">
        <v>1670</v>
      </c>
      <c r="I649" s="2751" t="s">
        <v>47</v>
      </c>
      <c r="J649" s="2752" t="s">
        <v>3056</v>
      </c>
      <c r="K649" s="2758"/>
      <c r="L649" s="5" t="e">
        <f>IF(OR(S649=#REF!,S649=#REF!,S649=#REF!,S649=#REF!,S649=#REF!,S649=#REF!,S649=#REF!,S649=#REF!),12,IF(OR(S649=#REF!,S649=#REF!,S649=#REF!,S649=#REF!,S649=#REF!,S649=#REF!,S649=#REF!),3,IF(S649=#REF!,1,IF(S649=#REF!,18,IF(OR(S649=#REF!,S649=#REF!,S649=#REF!,S649=#REF!,S649=#REF!),14,"Invalid proposed procurement method")))))</f>
        <v>#REF!</v>
      </c>
      <c r="M649" s="199">
        <f>IFERROR(EDATE($N649,-3),"Invalid procurement method or date entered")</f>
        <v>44066</v>
      </c>
      <c r="N649" s="2759">
        <v>44158</v>
      </c>
      <c r="O649" s="2759">
        <v>43850</v>
      </c>
      <c r="P649" s="2751">
        <v>28</v>
      </c>
      <c r="Q649" s="2751">
        <v>28</v>
      </c>
      <c r="R649" s="40">
        <v>9000</v>
      </c>
      <c r="S649" s="2751" t="s">
        <v>37</v>
      </c>
      <c r="T649" s="70" t="s">
        <v>38</v>
      </c>
      <c r="U649" s="46" t="s">
        <v>67</v>
      </c>
      <c r="V649" s="46"/>
      <c r="W649" s="2763" t="s">
        <v>617</v>
      </c>
      <c r="X649" s="2763" t="s">
        <v>254</v>
      </c>
      <c r="Y649" s="71" t="s">
        <v>40</v>
      </c>
      <c r="Z649" s="71"/>
      <c r="AA649" s="5" t="s">
        <v>70</v>
      </c>
      <c r="AB649" s="199" t="s">
        <v>132</v>
      </c>
      <c r="AC649" s="2758" t="s">
        <v>3057</v>
      </c>
      <c r="AD649" s="2765" t="s">
        <v>506</v>
      </c>
      <c r="AE649" s="2837"/>
    </row>
    <row r="650" spans="1:32" s="297" customFormat="1" ht="37.5">
      <c r="A650" s="1119"/>
      <c r="B650" s="958" t="s">
        <v>56</v>
      </c>
      <c r="C650" s="966" t="s">
        <v>3058</v>
      </c>
      <c r="D650" s="511" t="s">
        <v>57</v>
      </c>
      <c r="E650" s="511"/>
      <c r="F650" s="511"/>
      <c r="G650" s="511"/>
      <c r="H650" s="511" t="s">
        <v>58</v>
      </c>
      <c r="I650" s="519" t="s">
        <v>47</v>
      </c>
      <c r="J650" s="1578" t="s">
        <v>3059</v>
      </c>
      <c r="K650" s="512"/>
      <c r="L650" s="530">
        <v>43752</v>
      </c>
      <c r="M650" s="530"/>
      <c r="N650" s="530"/>
      <c r="O650" s="530">
        <v>43850</v>
      </c>
      <c r="P650" s="516">
        <v>5</v>
      </c>
      <c r="Q650" s="516">
        <v>5</v>
      </c>
      <c r="R650" s="599">
        <v>500000</v>
      </c>
      <c r="S650" s="523" t="s">
        <v>1937</v>
      </c>
      <c r="T650" s="1055" t="s">
        <v>310</v>
      </c>
      <c r="U650" s="515"/>
      <c r="V650" s="515"/>
      <c r="W650" s="533" t="s">
        <v>2417</v>
      </c>
      <c r="X650" s="120"/>
      <c r="Y650" s="120"/>
      <c r="Z650" s="120"/>
      <c r="AA650" s="120"/>
      <c r="AB650" s="120"/>
      <c r="AC650" s="120"/>
      <c r="AD650"/>
      <c r="AE650" s="186"/>
      <c r="AF650" s="1"/>
    </row>
    <row r="651" spans="1:32" s="297" customFormat="1" ht="37.5">
      <c r="A651" s="1119"/>
      <c r="B651" s="958" t="s">
        <v>56</v>
      </c>
      <c r="C651" s="966" t="s">
        <v>60</v>
      </c>
      <c r="D651" s="511" t="s">
        <v>57</v>
      </c>
      <c r="E651" s="511"/>
      <c r="F651" s="511"/>
      <c r="G651" s="511"/>
      <c r="H651" s="511" t="s">
        <v>58</v>
      </c>
      <c r="I651" s="519" t="s">
        <v>47</v>
      </c>
      <c r="J651" s="1578" t="s">
        <v>3060</v>
      </c>
      <c r="K651" s="512"/>
      <c r="L651" s="530">
        <v>43833</v>
      </c>
      <c r="M651" s="530"/>
      <c r="N651" s="530"/>
      <c r="O651" s="530">
        <v>43854</v>
      </c>
      <c r="P651" s="530" t="s">
        <v>60</v>
      </c>
      <c r="Q651" s="530" t="s">
        <v>60</v>
      </c>
      <c r="R651" s="599">
        <v>50000</v>
      </c>
      <c r="S651" s="523" t="s">
        <v>3061</v>
      </c>
      <c r="T651" s="1055" t="s">
        <v>62</v>
      </c>
      <c r="U651" s="515" t="s">
        <v>3062</v>
      </c>
      <c r="V651" s="515"/>
      <c r="W651" s="519" t="s">
        <v>3063</v>
      </c>
      <c r="X651" s="120"/>
      <c r="Y651" s="120"/>
      <c r="Z651" s="120"/>
      <c r="AA651" s="120"/>
      <c r="AB651" s="120"/>
      <c r="AC651" s="120"/>
      <c r="AD651"/>
      <c r="AE651" s="186"/>
      <c r="AF651" s="1"/>
    </row>
    <row r="652" spans="1:32" s="1" customFormat="1" ht="101.15" customHeight="1">
      <c r="A652" s="1184"/>
      <c r="B652" s="464" t="s">
        <v>100</v>
      </c>
      <c r="C652" s="470"/>
      <c r="D652" s="402" t="s">
        <v>122</v>
      </c>
      <c r="E652" s="402"/>
      <c r="F652" s="402"/>
      <c r="G652" s="402"/>
      <c r="H652" s="402" t="s">
        <v>103</v>
      </c>
      <c r="I652" s="402" t="s">
        <v>34</v>
      </c>
      <c r="J652" s="1584" t="s">
        <v>3064</v>
      </c>
      <c r="K652" s="402"/>
      <c r="L652" s="402"/>
      <c r="M652" s="374">
        <v>43739</v>
      </c>
      <c r="N652" s="402"/>
      <c r="O652" s="374">
        <v>43861</v>
      </c>
      <c r="P652" s="405">
        <v>12</v>
      </c>
      <c r="Q652" s="478">
        <v>12</v>
      </c>
      <c r="R652" s="404">
        <v>49000</v>
      </c>
      <c r="S652" s="405" t="s">
        <v>176</v>
      </c>
      <c r="T652" s="478" t="s">
        <v>38</v>
      </c>
      <c r="U652" s="405" t="s">
        <v>71</v>
      </c>
      <c r="V652" s="405"/>
      <c r="W652" s="402" t="s">
        <v>2802</v>
      </c>
      <c r="X652" s="402" t="s">
        <v>120</v>
      </c>
      <c r="Y652" s="402" t="s">
        <v>115</v>
      </c>
      <c r="Z652" s="402"/>
      <c r="AA652" s="406" t="s">
        <v>70</v>
      </c>
      <c r="AB652" s="407">
        <v>43861</v>
      </c>
      <c r="AC652" s="402" t="s">
        <v>3065</v>
      </c>
      <c r="AD652" s="411"/>
      <c r="AE652" s="485"/>
    </row>
    <row r="653" spans="1:32" s="1" customFormat="1" ht="58">
      <c r="A653" s="1188"/>
      <c r="B653" s="60"/>
      <c r="C653" s="72" t="s">
        <v>3066</v>
      </c>
      <c r="D653" s="5" t="s">
        <v>32</v>
      </c>
      <c r="E653" s="5"/>
      <c r="F653" s="5"/>
      <c r="G653" s="5"/>
      <c r="H653" s="5" t="s">
        <v>1670</v>
      </c>
      <c r="I653" s="5" t="s">
        <v>47</v>
      </c>
      <c r="J653" s="16" t="s">
        <v>3046</v>
      </c>
      <c r="K653" s="16"/>
      <c r="L653" s="16"/>
      <c r="M653" s="182">
        <v>43788</v>
      </c>
      <c r="N653" s="182"/>
      <c r="O653" s="182">
        <v>43862</v>
      </c>
      <c r="P653" s="2763">
        <v>36</v>
      </c>
      <c r="Q653" s="27">
        <v>36</v>
      </c>
      <c r="R653" s="18">
        <v>92000</v>
      </c>
      <c r="S653" s="207" t="s">
        <v>51</v>
      </c>
      <c r="T653" s="169" t="s">
        <v>38</v>
      </c>
      <c r="U653" s="53" t="s">
        <v>67</v>
      </c>
      <c r="V653" s="53"/>
      <c r="W653" s="5" t="s">
        <v>977</v>
      </c>
      <c r="X653" s="5" t="s">
        <v>86</v>
      </c>
      <c r="Y653" s="5" t="s">
        <v>40</v>
      </c>
      <c r="Z653" s="5"/>
      <c r="AA653" s="26"/>
      <c r="AB653" s="45" t="s">
        <v>3016</v>
      </c>
      <c r="AC653" s="8" t="s">
        <v>267</v>
      </c>
      <c r="AD653" s="76" t="s">
        <v>979</v>
      </c>
      <c r="AE653" s="224"/>
      <c r="AF653" s="2799"/>
    </row>
    <row r="654" spans="1:32" s="296" customFormat="1" ht="43.5">
      <c r="A654" s="2756"/>
      <c r="B654" s="336"/>
      <c r="C654" s="967" t="s">
        <v>2790</v>
      </c>
      <c r="D654" s="9" t="s">
        <v>32</v>
      </c>
      <c r="E654" s="9"/>
      <c r="F654" s="9"/>
      <c r="G654" s="9"/>
      <c r="H654" s="5" t="s">
        <v>127</v>
      </c>
      <c r="I654" s="5" t="s">
        <v>34</v>
      </c>
      <c r="J654" s="16" t="s">
        <v>2749</v>
      </c>
      <c r="K654" s="8"/>
      <c r="L654" s="8"/>
      <c r="M654" s="199">
        <v>44136</v>
      </c>
      <c r="N654" s="199"/>
      <c r="O654" s="199">
        <v>43862</v>
      </c>
      <c r="P654" s="12">
        <v>12</v>
      </c>
      <c r="Q654" s="12" t="s">
        <v>3067</v>
      </c>
      <c r="R654" s="18">
        <v>100000</v>
      </c>
      <c r="S654" s="12" t="s">
        <v>130</v>
      </c>
      <c r="T654" s="167" t="s">
        <v>62</v>
      </c>
      <c r="U654" s="48" t="s">
        <v>67</v>
      </c>
      <c r="V654" s="48"/>
      <c r="W654" s="5" t="s">
        <v>2750</v>
      </c>
      <c r="X654" s="5" t="s">
        <v>39</v>
      </c>
      <c r="Y654" s="5" t="s">
        <v>40</v>
      </c>
      <c r="Z654" s="5"/>
      <c r="AA654" s="5"/>
      <c r="AB654" s="199" t="s">
        <v>41</v>
      </c>
      <c r="AC654" s="8" t="s">
        <v>3068</v>
      </c>
      <c r="AD654" s="76" t="s">
        <v>2268</v>
      </c>
      <c r="AE654" s="164">
        <v>100000</v>
      </c>
      <c r="AF654" s="2799"/>
    </row>
    <row r="655" spans="1:32" s="1" customFormat="1" ht="25">
      <c r="A655" s="1119"/>
      <c r="B655" s="958" t="s">
        <v>56</v>
      </c>
      <c r="C655" s="966" t="s">
        <v>3069</v>
      </c>
      <c r="D655" s="511" t="s">
        <v>32</v>
      </c>
      <c r="E655" s="511"/>
      <c r="F655" s="511"/>
      <c r="G655" s="511"/>
      <c r="H655" s="511" t="s">
        <v>2650</v>
      </c>
      <c r="I655" s="519" t="s">
        <v>47</v>
      </c>
      <c r="J655" s="1578" t="s">
        <v>3070</v>
      </c>
      <c r="K655" s="512"/>
      <c r="L655" s="530">
        <v>43636</v>
      </c>
      <c r="M655" s="530"/>
      <c r="N655" s="530"/>
      <c r="O655" s="530">
        <v>43862</v>
      </c>
      <c r="P655" s="516">
        <v>4</v>
      </c>
      <c r="Q655" s="516" t="s">
        <v>3071</v>
      </c>
      <c r="R655" s="599">
        <v>30800000</v>
      </c>
      <c r="S655" s="523" t="s">
        <v>91</v>
      </c>
      <c r="T655" s="1055" t="s">
        <v>310</v>
      </c>
      <c r="U655" s="515"/>
      <c r="V655" s="515"/>
      <c r="W655" s="533" t="s">
        <v>2408</v>
      </c>
      <c r="X655" s="120"/>
      <c r="Y655" s="120"/>
      <c r="Z655" s="120"/>
      <c r="AA655" s="120"/>
      <c r="AB655" s="120"/>
      <c r="AC655" s="120"/>
      <c r="AD655"/>
      <c r="AE655" s="186"/>
      <c r="AF655" s="2799"/>
    </row>
    <row r="656" spans="1:32" s="1" customFormat="1" ht="37.5">
      <c r="A656" s="1119"/>
      <c r="B656" s="958" t="s">
        <v>56</v>
      </c>
      <c r="C656" s="966" t="s">
        <v>3072</v>
      </c>
      <c r="D656" s="511" t="s">
        <v>57</v>
      </c>
      <c r="E656" s="511"/>
      <c r="F656" s="511"/>
      <c r="G656" s="511"/>
      <c r="H656" s="511" t="s">
        <v>58</v>
      </c>
      <c r="I656" s="519" t="s">
        <v>47</v>
      </c>
      <c r="J656" s="1578" t="s">
        <v>3073</v>
      </c>
      <c r="K656" s="512"/>
      <c r="L656" s="530">
        <v>43832</v>
      </c>
      <c r="M656" s="530"/>
      <c r="N656" s="530"/>
      <c r="O656" s="530">
        <v>43863</v>
      </c>
      <c r="P656" s="530" t="s">
        <v>60</v>
      </c>
      <c r="Q656" s="530" t="s">
        <v>60</v>
      </c>
      <c r="R656" s="599">
        <v>100000</v>
      </c>
      <c r="S656" s="523" t="s">
        <v>1937</v>
      </c>
      <c r="T656" s="1055" t="s">
        <v>62</v>
      </c>
      <c r="U656" s="515" t="s">
        <v>3062</v>
      </c>
      <c r="V656" s="515"/>
      <c r="W656" s="519" t="s">
        <v>1940</v>
      </c>
      <c r="X656" s="120"/>
      <c r="Y656" s="120"/>
      <c r="Z656" s="120"/>
      <c r="AA656" s="120"/>
      <c r="AB656" s="120"/>
      <c r="AC656" s="120"/>
      <c r="AD656"/>
      <c r="AE656" s="186"/>
    </row>
    <row r="657" spans="1:32" s="1" customFormat="1" ht="43.4" customHeight="1">
      <c r="A657" s="1119"/>
      <c r="B657" s="958" t="s">
        <v>56</v>
      </c>
      <c r="C657" s="966" t="s">
        <v>3074</v>
      </c>
      <c r="D657" s="511" t="s">
        <v>57</v>
      </c>
      <c r="E657" s="511"/>
      <c r="F657" s="511"/>
      <c r="G657" s="511"/>
      <c r="H657" s="511" t="s">
        <v>58</v>
      </c>
      <c r="I657" s="519" t="s">
        <v>47</v>
      </c>
      <c r="J657" s="1578" t="s">
        <v>3075</v>
      </c>
      <c r="K657" s="512"/>
      <c r="L657" s="515">
        <v>43832</v>
      </c>
      <c r="M657" s="515"/>
      <c r="N657" s="515"/>
      <c r="O657" s="515">
        <v>43864</v>
      </c>
      <c r="P657" s="516">
        <v>1</v>
      </c>
      <c r="Q657" s="516">
        <v>1</v>
      </c>
      <c r="R657" s="599">
        <v>300000</v>
      </c>
      <c r="S657" s="523" t="s">
        <v>1937</v>
      </c>
      <c r="T657" s="1055" t="s">
        <v>62</v>
      </c>
      <c r="U657" s="515" t="s">
        <v>3076</v>
      </c>
      <c r="V657" s="515"/>
      <c r="W657" s="519" t="s">
        <v>3077</v>
      </c>
      <c r="X657" s="120"/>
      <c r="Y657" s="120"/>
      <c r="Z657" s="120"/>
      <c r="AA657" s="120"/>
      <c r="AB657" s="120"/>
      <c r="AC657" s="120"/>
      <c r="AD657"/>
      <c r="AE657" s="186"/>
    </row>
    <row r="658" spans="1:32" s="1" customFormat="1" ht="43.5">
      <c r="A658" s="1184"/>
      <c r="B658" s="147" t="s">
        <v>44</v>
      </c>
      <c r="C658" s="102"/>
      <c r="D658" s="8" t="s">
        <v>57</v>
      </c>
      <c r="E658" s="8"/>
      <c r="F658" s="8"/>
      <c r="G658" s="8"/>
      <c r="H658" s="8" t="s">
        <v>496</v>
      </c>
      <c r="I658" s="8" t="s">
        <v>34</v>
      </c>
      <c r="J658" s="16" t="s">
        <v>1902</v>
      </c>
      <c r="K658" s="8"/>
      <c r="L658" s="8"/>
      <c r="M658" s="62">
        <v>43739</v>
      </c>
      <c r="N658" s="62"/>
      <c r="O658" s="62">
        <v>43873</v>
      </c>
      <c r="P658" s="10">
        <v>24</v>
      </c>
      <c r="Q658" s="8" t="s">
        <v>160</v>
      </c>
      <c r="R658" s="158">
        <v>58500</v>
      </c>
      <c r="S658" s="8" t="s">
        <v>130</v>
      </c>
      <c r="T658" s="172" t="s">
        <v>38</v>
      </c>
      <c r="U658" s="10"/>
      <c r="V658" s="10"/>
      <c r="W658" s="8" t="s">
        <v>798</v>
      </c>
      <c r="X658" s="8" t="s">
        <v>39</v>
      </c>
      <c r="Y658" s="8" t="s">
        <v>40</v>
      </c>
      <c r="Z658" s="8"/>
      <c r="AA658" s="8"/>
      <c r="AB658" s="177"/>
      <c r="AC658" s="8" t="s">
        <v>251</v>
      </c>
      <c r="AD658" s="3"/>
      <c r="AE658" s="237"/>
    </row>
    <row r="659" spans="1:32" s="1" customFormat="1" ht="57.65" customHeight="1">
      <c r="A659" s="1184"/>
      <c r="B659" s="464" t="s">
        <v>100</v>
      </c>
      <c r="C659" s="470" t="s">
        <v>3078</v>
      </c>
      <c r="D659" s="416" t="s">
        <v>110</v>
      </c>
      <c r="E659" s="416"/>
      <c r="F659" s="416"/>
      <c r="G659" s="416"/>
      <c r="H659" s="416" t="s">
        <v>103</v>
      </c>
      <c r="I659" s="416" t="s">
        <v>34</v>
      </c>
      <c r="J659" s="1581" t="s">
        <v>3079</v>
      </c>
      <c r="K659" s="416"/>
      <c r="L659" s="416"/>
      <c r="M659" s="417">
        <v>43405</v>
      </c>
      <c r="N659" s="416"/>
      <c r="O659" s="417">
        <v>43876</v>
      </c>
      <c r="P659" s="418">
        <v>60</v>
      </c>
      <c r="Q659" s="418" t="s">
        <v>171</v>
      </c>
      <c r="R659" s="419">
        <v>60000</v>
      </c>
      <c r="S659" s="419" t="s">
        <v>130</v>
      </c>
      <c r="T659" s="482" t="s">
        <v>38</v>
      </c>
      <c r="U659" s="420" t="s">
        <v>71</v>
      </c>
      <c r="V659" s="420"/>
      <c r="W659" s="416" t="s">
        <v>3080</v>
      </c>
      <c r="X659" s="416" t="s">
        <v>120</v>
      </c>
      <c r="Y659" s="416" t="s">
        <v>115</v>
      </c>
      <c r="Z659" s="416"/>
      <c r="AA659" s="406" t="s">
        <v>70</v>
      </c>
      <c r="AB659" s="421">
        <v>43920</v>
      </c>
      <c r="AC659" s="408" t="s">
        <v>3081</v>
      </c>
      <c r="AD659" s="409"/>
      <c r="AE659" s="499"/>
    </row>
    <row r="660" spans="1:32" s="1" customFormat="1" ht="37.5">
      <c r="A660" s="1119"/>
      <c r="B660" s="958" t="s">
        <v>56</v>
      </c>
      <c r="C660" s="966" t="s">
        <v>3082</v>
      </c>
      <c r="D660" s="511" t="s">
        <v>122</v>
      </c>
      <c r="E660" s="511"/>
      <c r="F660" s="511"/>
      <c r="G660" s="511"/>
      <c r="H660" s="511" t="s">
        <v>308</v>
      </c>
      <c r="I660" s="519" t="s">
        <v>47</v>
      </c>
      <c r="J660" s="1578" t="s">
        <v>3083</v>
      </c>
      <c r="K660" s="512"/>
      <c r="L660" s="530">
        <v>43780</v>
      </c>
      <c r="M660" s="530"/>
      <c r="N660" s="530"/>
      <c r="O660" s="530">
        <v>43878</v>
      </c>
      <c r="P660" s="516">
        <v>2</v>
      </c>
      <c r="Q660" s="1009">
        <v>2</v>
      </c>
      <c r="R660" s="599">
        <v>250000</v>
      </c>
      <c r="S660" s="1043" t="s">
        <v>2110</v>
      </c>
      <c r="T660" s="1055" t="s">
        <v>62</v>
      </c>
      <c r="U660" s="515"/>
      <c r="V660" s="515"/>
      <c r="W660" s="533" t="s">
        <v>2408</v>
      </c>
      <c r="X660" s="120"/>
      <c r="Y660" s="120"/>
      <c r="Z660" s="120"/>
      <c r="AA660" s="120"/>
      <c r="AB660" s="120"/>
      <c r="AC660" s="120"/>
      <c r="AD660"/>
      <c r="AE660" s="186"/>
    </row>
    <row r="661" spans="1:32" s="1" customFormat="1" ht="57.65" customHeight="1">
      <c r="A661" s="1119"/>
      <c r="B661" s="958" t="s">
        <v>56</v>
      </c>
      <c r="C661" s="966" t="s">
        <v>3084</v>
      </c>
      <c r="D661" s="511" t="s">
        <v>57</v>
      </c>
      <c r="E661" s="511"/>
      <c r="F661" s="511"/>
      <c r="G661" s="511"/>
      <c r="H661" s="511" t="s">
        <v>58</v>
      </c>
      <c r="I661" s="519" t="s">
        <v>47</v>
      </c>
      <c r="J661" s="1578" t="s">
        <v>3085</v>
      </c>
      <c r="K661" s="512"/>
      <c r="L661" s="530">
        <v>43832</v>
      </c>
      <c r="M661" s="530"/>
      <c r="N661" s="530"/>
      <c r="O661" s="530">
        <v>43878</v>
      </c>
      <c r="P661" s="516">
        <v>1</v>
      </c>
      <c r="Q661" s="1009">
        <v>1</v>
      </c>
      <c r="R661" s="599">
        <v>520770</v>
      </c>
      <c r="S661" s="1043" t="s">
        <v>1937</v>
      </c>
      <c r="T661" s="1055" t="s">
        <v>310</v>
      </c>
      <c r="U661" s="515">
        <v>43700</v>
      </c>
      <c r="V661" s="515"/>
      <c r="W661" s="519" t="s">
        <v>3086</v>
      </c>
      <c r="X661" s="120"/>
      <c r="Y661" s="120"/>
      <c r="Z661" s="120"/>
      <c r="AA661" s="120"/>
      <c r="AB661" s="120"/>
      <c r="AC661" s="120"/>
      <c r="AD661"/>
      <c r="AE661" s="186"/>
    </row>
    <row r="662" spans="1:32" s="1" customFormat="1" ht="29.15" customHeight="1">
      <c r="A662" s="1184"/>
      <c r="B662" s="464" t="s">
        <v>100</v>
      </c>
      <c r="C662" s="470"/>
      <c r="D662" s="402" t="s">
        <v>122</v>
      </c>
      <c r="E662" s="402"/>
      <c r="F662" s="402"/>
      <c r="G662" s="402"/>
      <c r="H662" s="402" t="s">
        <v>197</v>
      </c>
      <c r="I662" s="402" t="s">
        <v>47</v>
      </c>
      <c r="J662" s="1584" t="s">
        <v>3087</v>
      </c>
      <c r="K662" s="402"/>
      <c r="L662" s="402"/>
      <c r="M662" s="374">
        <v>43709</v>
      </c>
      <c r="N662" s="402"/>
      <c r="O662" s="374">
        <v>43883</v>
      </c>
      <c r="P662" s="403">
        <v>12</v>
      </c>
      <c r="Q662" s="476">
        <v>12</v>
      </c>
      <c r="R662" s="404">
        <v>80000</v>
      </c>
      <c r="S662" s="405" t="s">
        <v>176</v>
      </c>
      <c r="T662" s="478" t="s">
        <v>38</v>
      </c>
      <c r="U662" s="405" t="s">
        <v>71</v>
      </c>
      <c r="V662" s="405"/>
      <c r="W662" s="402" t="s">
        <v>2802</v>
      </c>
      <c r="X662" s="402" t="s">
        <v>120</v>
      </c>
      <c r="Y662" s="402" t="s">
        <v>115</v>
      </c>
      <c r="Z662" s="402"/>
      <c r="AA662" s="1093" t="s">
        <v>70</v>
      </c>
      <c r="AB662" s="488">
        <v>43875</v>
      </c>
      <c r="AC662" s="402" t="s">
        <v>3065</v>
      </c>
      <c r="AD662" s="411"/>
      <c r="AE662" s="485"/>
    </row>
    <row r="663" spans="1:32" s="1" customFormat="1" ht="101.15" customHeight="1">
      <c r="A663" s="1119"/>
      <c r="B663" s="336"/>
      <c r="C663" s="72"/>
      <c r="D663" s="9" t="s">
        <v>32</v>
      </c>
      <c r="E663" s="9"/>
      <c r="F663" s="9"/>
      <c r="G663" s="9"/>
      <c r="H663" s="5" t="s">
        <v>33</v>
      </c>
      <c r="I663" s="12" t="s">
        <v>47</v>
      </c>
      <c r="J663" s="16" t="s">
        <v>1915</v>
      </c>
      <c r="K663" s="16"/>
      <c r="L663" s="16"/>
      <c r="M663" s="182">
        <v>43739</v>
      </c>
      <c r="N663" s="182"/>
      <c r="O663" s="182">
        <v>43887</v>
      </c>
      <c r="P663" s="12" t="s">
        <v>45</v>
      </c>
      <c r="Q663" s="25" t="s">
        <v>45</v>
      </c>
      <c r="R663" s="18" t="s">
        <v>45</v>
      </c>
      <c r="S663" s="5" t="s">
        <v>45</v>
      </c>
      <c r="T663" s="26" t="s">
        <v>38</v>
      </c>
      <c r="U663" s="12" t="s">
        <v>67</v>
      </c>
      <c r="V663" s="12"/>
      <c r="W663" s="12" t="s">
        <v>262</v>
      </c>
      <c r="X663" s="2751" t="s">
        <v>54</v>
      </c>
      <c r="Y663" s="5" t="s">
        <v>727</v>
      </c>
      <c r="Z663" s="5"/>
      <c r="AA663" s="5"/>
      <c r="AB663" s="199" t="s">
        <v>41</v>
      </c>
      <c r="AC663" s="8"/>
      <c r="AD663" s="76" t="s">
        <v>3088</v>
      </c>
      <c r="AE663" s="224">
        <v>4640</v>
      </c>
    </row>
    <row r="664" spans="1:32" s="3" customFormat="1" ht="43.4" customHeight="1">
      <c r="A664" s="1119"/>
      <c r="B664" s="958" t="s">
        <v>56</v>
      </c>
      <c r="C664" s="966" t="s">
        <v>3089</v>
      </c>
      <c r="D664" s="511" t="s">
        <v>57</v>
      </c>
      <c r="E664" s="511"/>
      <c r="F664" s="511"/>
      <c r="G664" s="511"/>
      <c r="H664" s="511" t="s">
        <v>58</v>
      </c>
      <c r="I664" s="519" t="s">
        <v>47</v>
      </c>
      <c r="J664" s="1578" t="s">
        <v>3090</v>
      </c>
      <c r="K664" s="512"/>
      <c r="L664" s="530">
        <v>43731</v>
      </c>
      <c r="M664" s="530"/>
      <c r="N664" s="530"/>
      <c r="O664" s="530">
        <v>43888</v>
      </c>
      <c r="P664" s="530" t="s">
        <v>3091</v>
      </c>
      <c r="Q664" s="1018" t="s">
        <v>3091</v>
      </c>
      <c r="R664" s="599">
        <v>75000</v>
      </c>
      <c r="S664" s="1043" t="s">
        <v>1937</v>
      </c>
      <c r="T664" s="1055" t="s">
        <v>62</v>
      </c>
      <c r="U664" s="515"/>
      <c r="V664" s="515"/>
      <c r="W664" s="533" t="s">
        <v>2417</v>
      </c>
      <c r="X664" s="120"/>
      <c r="Y664" s="120"/>
      <c r="Z664" s="120"/>
      <c r="AA664" s="186"/>
      <c r="AB664" s="186"/>
      <c r="AC664" s="120"/>
      <c r="AD664"/>
      <c r="AE664" s="186"/>
      <c r="AF664" s="1"/>
    </row>
    <row r="665" spans="1:32" s="1" customFormat="1" ht="43.4" customHeight="1">
      <c r="A665" s="1185"/>
      <c r="B665" s="60"/>
      <c r="C665" s="72" t="s">
        <v>3092</v>
      </c>
      <c r="D665" s="5" t="s">
        <v>57</v>
      </c>
      <c r="E665" s="5"/>
      <c r="F665" s="5"/>
      <c r="G665" s="5"/>
      <c r="H665" s="5" t="s">
        <v>496</v>
      </c>
      <c r="I665" s="5" t="s">
        <v>47</v>
      </c>
      <c r="J665" s="16" t="s">
        <v>3093</v>
      </c>
      <c r="K665" s="8"/>
      <c r="L665" s="8"/>
      <c r="M665" s="199">
        <v>43691</v>
      </c>
      <c r="N665" s="199"/>
      <c r="O665" s="199">
        <v>43891</v>
      </c>
      <c r="P665" s="5">
        <v>60</v>
      </c>
      <c r="Q665" s="7" t="s">
        <v>1871</v>
      </c>
      <c r="R665" s="18">
        <v>300000</v>
      </c>
      <c r="S665" s="7" t="s">
        <v>2110</v>
      </c>
      <c r="T665" s="26" t="s">
        <v>62</v>
      </c>
      <c r="U665" s="12" t="s">
        <v>67</v>
      </c>
      <c r="V665" s="12"/>
      <c r="W665" s="5" t="s">
        <v>798</v>
      </c>
      <c r="X665" s="5" t="s">
        <v>86</v>
      </c>
      <c r="Y665" s="5" t="s">
        <v>40</v>
      </c>
      <c r="Z665" s="5"/>
      <c r="AA665" s="5"/>
      <c r="AB665" s="199" t="s">
        <v>3016</v>
      </c>
      <c r="AC665" s="8" t="s">
        <v>3094</v>
      </c>
      <c r="AD665" s="76" t="s">
        <v>496</v>
      </c>
      <c r="AE665" s="164"/>
    </row>
    <row r="666" spans="1:32" s="1" customFormat="1" ht="43.4" customHeight="1">
      <c r="A666" s="1191"/>
      <c r="B666" s="60"/>
      <c r="C666" s="72" t="s">
        <v>3095</v>
      </c>
      <c r="D666" s="5" t="s">
        <v>57</v>
      </c>
      <c r="E666" s="5"/>
      <c r="F666" s="5"/>
      <c r="G666" s="5"/>
      <c r="H666" s="5" t="s">
        <v>496</v>
      </c>
      <c r="I666" s="5" t="s">
        <v>47</v>
      </c>
      <c r="J666" s="16" t="s">
        <v>3096</v>
      </c>
      <c r="K666" s="8"/>
      <c r="L666" s="8"/>
      <c r="M666" s="199">
        <v>43691</v>
      </c>
      <c r="N666" s="199"/>
      <c r="O666" s="199">
        <v>43891</v>
      </c>
      <c r="P666" s="5">
        <v>60</v>
      </c>
      <c r="Q666" s="7" t="s">
        <v>1871</v>
      </c>
      <c r="R666" s="18">
        <v>210000</v>
      </c>
      <c r="S666" s="7" t="s">
        <v>2110</v>
      </c>
      <c r="T666" s="26" t="s">
        <v>62</v>
      </c>
      <c r="U666" s="12" t="s">
        <v>67</v>
      </c>
      <c r="V666" s="12"/>
      <c r="W666" s="5" t="s">
        <v>798</v>
      </c>
      <c r="X666" s="5" t="s">
        <v>86</v>
      </c>
      <c r="Y666" s="5" t="s">
        <v>40</v>
      </c>
      <c r="Z666" s="5"/>
      <c r="AA666" s="5"/>
      <c r="AB666" s="199" t="s">
        <v>3016</v>
      </c>
      <c r="AC666" s="8" t="s">
        <v>3097</v>
      </c>
      <c r="AD666" s="76" t="s">
        <v>496</v>
      </c>
      <c r="AE666" s="164"/>
    </row>
    <row r="667" spans="1:32" s="1" customFormat="1" ht="43.4" customHeight="1">
      <c r="A667" s="1184"/>
      <c r="B667" s="147" t="s">
        <v>44</v>
      </c>
      <c r="C667" s="72" t="s">
        <v>3098</v>
      </c>
      <c r="D667" s="5" t="s">
        <v>57</v>
      </c>
      <c r="E667" s="5"/>
      <c r="F667" s="5"/>
      <c r="G667" s="5"/>
      <c r="H667" s="5" t="s">
        <v>496</v>
      </c>
      <c r="I667" s="5" t="s">
        <v>47</v>
      </c>
      <c r="J667" s="16" t="s">
        <v>3096</v>
      </c>
      <c r="K667" s="8"/>
      <c r="L667" s="8"/>
      <c r="M667" s="199">
        <v>43691</v>
      </c>
      <c r="N667" s="199"/>
      <c r="O667" s="199">
        <v>43891</v>
      </c>
      <c r="P667" s="5">
        <v>60</v>
      </c>
      <c r="Q667" s="7" t="s">
        <v>1871</v>
      </c>
      <c r="R667" s="18">
        <v>210000</v>
      </c>
      <c r="S667" s="7" t="s">
        <v>2110</v>
      </c>
      <c r="T667" s="26" t="s">
        <v>62</v>
      </c>
      <c r="U667" s="4"/>
      <c r="V667" s="4"/>
      <c r="W667" s="5" t="s">
        <v>798</v>
      </c>
      <c r="X667" s="5" t="s">
        <v>86</v>
      </c>
      <c r="Y667" s="5" t="s">
        <v>40</v>
      </c>
      <c r="Z667" s="5"/>
      <c r="AA667" s="5"/>
      <c r="AB667" s="2801">
        <v>43902</v>
      </c>
      <c r="AC667" s="8" t="s">
        <v>3099</v>
      </c>
      <c r="AD667" s="76" t="s">
        <v>496</v>
      </c>
      <c r="AE667" s="164"/>
    </row>
    <row r="668" spans="1:32" s="1" customFormat="1" ht="57.65" customHeight="1">
      <c r="A668" s="1119"/>
      <c r="B668" s="958" t="s">
        <v>56</v>
      </c>
      <c r="C668" s="966" t="s">
        <v>3100</v>
      </c>
      <c r="D668" s="511" t="s">
        <v>122</v>
      </c>
      <c r="E668" s="511"/>
      <c r="F668" s="511"/>
      <c r="G668" s="511"/>
      <c r="H668" s="511" t="s">
        <v>308</v>
      </c>
      <c r="I668" s="519" t="s">
        <v>47</v>
      </c>
      <c r="J668" s="1578" t="s">
        <v>3101</v>
      </c>
      <c r="K668" s="512"/>
      <c r="L668" s="530">
        <v>43794</v>
      </c>
      <c r="M668" s="530"/>
      <c r="N668" s="530"/>
      <c r="O668" s="530">
        <v>43891</v>
      </c>
      <c r="P668" s="516" t="s">
        <v>60</v>
      </c>
      <c r="Q668" s="1009" t="s">
        <v>60</v>
      </c>
      <c r="R668" s="599">
        <v>485000</v>
      </c>
      <c r="S668" s="1043" t="s">
        <v>2622</v>
      </c>
      <c r="T668" s="1055" t="s">
        <v>310</v>
      </c>
      <c r="U668" s="515" t="s">
        <v>3102</v>
      </c>
      <c r="V668" s="515"/>
      <c r="W668" s="519" t="s">
        <v>2448</v>
      </c>
      <c r="X668" s="120"/>
      <c r="Y668" s="120"/>
      <c r="Z668" s="120"/>
      <c r="AA668" s="120"/>
      <c r="AB668" s="120"/>
      <c r="AC668" s="120"/>
      <c r="AD668"/>
      <c r="AE668" s="186"/>
    </row>
    <row r="669" spans="1:32" s="1" customFormat="1" ht="29.15" customHeight="1">
      <c r="A669" s="1119"/>
      <c r="B669" s="958" t="s">
        <v>56</v>
      </c>
      <c r="C669" s="966" t="s">
        <v>3103</v>
      </c>
      <c r="D669" s="511" t="s">
        <v>57</v>
      </c>
      <c r="E669" s="511"/>
      <c r="F669" s="511"/>
      <c r="G669" s="511"/>
      <c r="H669" s="511" t="s">
        <v>58</v>
      </c>
      <c r="I669" s="519" t="s">
        <v>47</v>
      </c>
      <c r="J669" s="606" t="s">
        <v>3104</v>
      </c>
      <c r="K669" s="529"/>
      <c r="L669" s="529"/>
      <c r="M669" s="511">
        <v>6</v>
      </c>
      <c r="N669" s="514" t="str">
        <f>IF(O669="tbc","",(IFERROR(EDATE(#REF!,-3),"Invalid procurement method or date entered")))</f>
        <v>Invalid procurement method or date entered</v>
      </c>
      <c r="O669" s="514">
        <v>43891</v>
      </c>
      <c r="P669" s="536">
        <v>2</v>
      </c>
      <c r="Q669" s="1013">
        <v>2</v>
      </c>
      <c r="R669" s="538">
        <v>180000</v>
      </c>
      <c r="S669" s="1048" t="s">
        <v>176</v>
      </c>
      <c r="T669" s="1013" t="s">
        <v>62</v>
      </c>
      <c r="U669" s="514">
        <v>43700</v>
      </c>
      <c r="V669" s="514"/>
      <c r="W669" s="519" t="s">
        <v>2252</v>
      </c>
      <c r="X669" s="120"/>
      <c r="Y669" s="120"/>
      <c r="Z669" s="120"/>
      <c r="AA669" s="120"/>
      <c r="AB669" s="120"/>
      <c r="AC669" s="120"/>
      <c r="AD669"/>
      <c r="AE669" s="186"/>
    </row>
    <row r="670" spans="1:32" s="1" customFormat="1" ht="145">
      <c r="A670" s="1184"/>
      <c r="B670" s="147" t="s">
        <v>44</v>
      </c>
      <c r="C670" s="72" t="s">
        <v>2549</v>
      </c>
      <c r="D670" s="9" t="s">
        <v>32</v>
      </c>
      <c r="E670" s="9"/>
      <c r="F670" s="9"/>
      <c r="G670" s="9"/>
      <c r="H670" s="5" t="s">
        <v>33</v>
      </c>
      <c r="I670" s="5" t="s">
        <v>34</v>
      </c>
      <c r="J670" s="16" t="s">
        <v>2313</v>
      </c>
      <c r="K670" s="16"/>
      <c r="L670" s="16"/>
      <c r="M670" s="182">
        <v>43739</v>
      </c>
      <c r="N670" s="182"/>
      <c r="O670" s="182">
        <v>43894</v>
      </c>
      <c r="P670" s="12">
        <v>36</v>
      </c>
      <c r="Q670" s="13" t="s">
        <v>3105</v>
      </c>
      <c r="R670" s="18">
        <v>42750</v>
      </c>
      <c r="S670" s="5" t="s">
        <v>130</v>
      </c>
      <c r="T670" s="26" t="s">
        <v>38</v>
      </c>
      <c r="U670" s="4"/>
      <c r="V670" s="4"/>
      <c r="W670" s="5" t="s">
        <v>142</v>
      </c>
      <c r="X670" s="5" t="s">
        <v>39</v>
      </c>
      <c r="Y670" s="5" t="s">
        <v>40</v>
      </c>
      <c r="Z670" s="5"/>
      <c r="AA670" s="5"/>
      <c r="AB670" s="2801"/>
      <c r="AC670" s="8" t="s">
        <v>3106</v>
      </c>
      <c r="AE670" s="228">
        <v>14250</v>
      </c>
    </row>
    <row r="671" spans="1:32" s="1" customFormat="1" ht="72" customHeight="1">
      <c r="A671" s="1648">
        <v>44974</v>
      </c>
      <c r="B671" s="1569" t="s">
        <v>1168</v>
      </c>
      <c r="C671" s="1667" t="s">
        <v>3107</v>
      </c>
      <c r="D671" s="1664" t="s">
        <v>1178</v>
      </c>
      <c r="E671" s="1655" t="s">
        <v>1168</v>
      </c>
      <c r="F671" s="1655" t="s">
        <v>1170</v>
      </c>
      <c r="G671" s="1655" t="s">
        <v>1170</v>
      </c>
      <c r="H671" s="1655" t="s">
        <v>1170</v>
      </c>
      <c r="I671" s="1655" t="s">
        <v>1170</v>
      </c>
      <c r="J671" s="1698" t="s">
        <v>3108</v>
      </c>
      <c r="K671" s="1664" t="s">
        <v>3109</v>
      </c>
      <c r="L671" s="1655" t="s">
        <v>1170</v>
      </c>
      <c r="M671" s="1655" t="s">
        <v>1170</v>
      </c>
      <c r="N671" s="1655" t="s">
        <v>1170</v>
      </c>
      <c r="O671" s="1755">
        <v>43895</v>
      </c>
      <c r="P671" s="1755">
        <v>45230</v>
      </c>
      <c r="Q671" s="1664" t="s">
        <v>3110</v>
      </c>
      <c r="R671" s="1805">
        <v>47673</v>
      </c>
      <c r="S671" s="1664" t="s">
        <v>3111</v>
      </c>
      <c r="T671" s="1842" t="s">
        <v>1170</v>
      </c>
      <c r="U671" s="1655" t="s">
        <v>1170</v>
      </c>
      <c r="V671" s="1655"/>
      <c r="W671" s="1664" t="s">
        <v>3112</v>
      </c>
      <c r="X671" s="1664" t="s">
        <v>1175</v>
      </c>
      <c r="Y671" s="1664" t="s">
        <v>251</v>
      </c>
      <c r="Z671" s="1655" t="s">
        <v>1170</v>
      </c>
      <c r="AA671" s="1655" t="s">
        <v>1170</v>
      </c>
      <c r="AB671" s="1655" t="s">
        <v>1170</v>
      </c>
      <c r="AC671" s="1698" t="s">
        <v>3113</v>
      </c>
      <c r="AD671" s="1657" t="s">
        <v>1170</v>
      </c>
      <c r="AE671" s="1934">
        <v>47673</v>
      </c>
      <c r="AF671"/>
    </row>
    <row r="672" spans="1:32" s="1" customFormat="1" ht="43.4" customHeight="1">
      <c r="A672" s="1184"/>
      <c r="B672" s="147" t="s">
        <v>44</v>
      </c>
      <c r="C672" s="72"/>
      <c r="D672" s="9" t="s">
        <v>32</v>
      </c>
      <c r="E672" s="9"/>
      <c r="F672" s="9"/>
      <c r="G672" s="9"/>
      <c r="H672" s="5" t="s">
        <v>33</v>
      </c>
      <c r="I672" s="5" t="s">
        <v>47</v>
      </c>
      <c r="J672" s="16" t="s">
        <v>2202</v>
      </c>
      <c r="K672" s="8"/>
      <c r="L672" s="8"/>
      <c r="M672" s="14">
        <v>43894</v>
      </c>
      <c r="N672" s="14"/>
      <c r="O672" s="14">
        <v>43908</v>
      </c>
      <c r="P672" s="12">
        <v>12</v>
      </c>
      <c r="Q672" s="5" t="s">
        <v>50</v>
      </c>
      <c r="R672" s="18">
        <v>15195</v>
      </c>
      <c r="S672" s="5" t="s">
        <v>37</v>
      </c>
      <c r="T672" s="161" t="s">
        <v>38</v>
      </c>
      <c r="U672" s="4"/>
      <c r="V672" s="4"/>
      <c r="W672" s="5" t="s">
        <v>1640</v>
      </c>
      <c r="X672" s="5" t="s">
        <v>54</v>
      </c>
      <c r="Y672" s="5" t="s">
        <v>40</v>
      </c>
      <c r="Z672" s="5"/>
      <c r="AA672" s="5"/>
      <c r="AB672" s="199">
        <v>43894</v>
      </c>
      <c r="AC672" s="8" t="s">
        <v>3114</v>
      </c>
      <c r="AE672" s="227"/>
    </row>
    <row r="673" spans="1:32" s="296" customFormat="1" ht="37.5">
      <c r="A673" s="1119"/>
      <c r="B673" s="958" t="s">
        <v>56</v>
      </c>
      <c r="C673" s="966" t="s">
        <v>3115</v>
      </c>
      <c r="D673" s="511" t="s">
        <v>57</v>
      </c>
      <c r="E673" s="511"/>
      <c r="F673" s="511"/>
      <c r="G673" s="511"/>
      <c r="H673" s="511" t="s">
        <v>58</v>
      </c>
      <c r="I673" s="519" t="s">
        <v>47</v>
      </c>
      <c r="J673" s="608" t="s">
        <v>3116</v>
      </c>
      <c r="K673" s="603"/>
      <c r="L673" s="515">
        <v>43894</v>
      </c>
      <c r="M673" s="515"/>
      <c r="N673" s="515"/>
      <c r="O673" s="515">
        <v>43913</v>
      </c>
      <c r="P673" s="516">
        <v>1</v>
      </c>
      <c r="Q673" s="516">
        <v>1</v>
      </c>
      <c r="R673" s="599">
        <v>490000</v>
      </c>
      <c r="S673" s="515" t="s">
        <v>84</v>
      </c>
      <c r="T673" s="1055" t="s">
        <v>62</v>
      </c>
      <c r="U673" s="515" t="s">
        <v>60</v>
      </c>
      <c r="V673" s="515"/>
      <c r="W673" s="519" t="s">
        <v>943</v>
      </c>
      <c r="X673" s="120"/>
      <c r="Y673" s="120"/>
      <c r="Z673" s="120"/>
      <c r="AA673" s="120"/>
      <c r="AB673" s="120"/>
      <c r="AC673" s="120"/>
      <c r="AD673"/>
      <c r="AE673" s="186"/>
      <c r="AF673" s="1"/>
    </row>
    <row r="674" spans="1:32" s="296" customFormat="1" ht="217.5">
      <c r="A674" s="1185"/>
      <c r="B674" s="147"/>
      <c r="C674" s="72" t="s">
        <v>45</v>
      </c>
      <c r="D674" s="12" t="s">
        <v>80</v>
      </c>
      <c r="E674" s="12"/>
      <c r="F674" s="12"/>
      <c r="G674" s="12"/>
      <c r="H674" s="5" t="s">
        <v>33</v>
      </c>
      <c r="I674" s="5" t="s">
        <v>47</v>
      </c>
      <c r="J674" s="16" t="s">
        <v>3117</v>
      </c>
      <c r="K674" s="8"/>
      <c r="L674" s="8"/>
      <c r="M674" s="14">
        <v>43101</v>
      </c>
      <c r="N674" s="14"/>
      <c r="O674" s="14">
        <v>43917</v>
      </c>
      <c r="P674" s="12">
        <v>36</v>
      </c>
      <c r="Q674" s="5">
        <v>36</v>
      </c>
      <c r="R674" s="18">
        <v>540608.37</v>
      </c>
      <c r="S674" s="5" t="s">
        <v>84</v>
      </c>
      <c r="T674" s="26" t="s">
        <v>38</v>
      </c>
      <c r="U674" s="5" t="s">
        <v>2488</v>
      </c>
      <c r="V674" s="5"/>
      <c r="W674" s="5" t="s">
        <v>3118</v>
      </c>
      <c r="X674" s="5" t="s">
        <v>413</v>
      </c>
      <c r="Y674" s="5" t="s">
        <v>727</v>
      </c>
      <c r="Z674" s="5"/>
      <c r="AA674" s="5"/>
      <c r="AB674" s="199" t="s">
        <v>3016</v>
      </c>
      <c r="AC674" s="8" t="s">
        <v>3119</v>
      </c>
      <c r="AD674" s="76" t="s">
        <v>3120</v>
      </c>
      <c r="AE674" s="164"/>
      <c r="AF674" s="1"/>
    </row>
    <row r="675" spans="1:32" s="1" customFormat="1" ht="72.5">
      <c r="A675" s="1119"/>
      <c r="B675" s="60"/>
      <c r="C675" s="72" t="s">
        <v>45</v>
      </c>
      <c r="D675" s="9" t="s">
        <v>57</v>
      </c>
      <c r="E675" s="9"/>
      <c r="F675" s="9"/>
      <c r="G675" s="9"/>
      <c r="H675" s="5" t="s">
        <v>33</v>
      </c>
      <c r="I675" s="5" t="s">
        <v>34</v>
      </c>
      <c r="J675" s="16" t="s">
        <v>3121</v>
      </c>
      <c r="K675" s="8"/>
      <c r="L675" s="5" t="e">
        <f>IF(OR(S675=#REF!,S675=#REF!,S675=#REF!,S675=#REF!,S675=#REF!,S675=#REF!,S675=#REF!,S675=#REF!),12,IF(OR(S675=#REF!,S675=#REF!,S675=#REF!,S675=#REF!,S675=#REF!,S675=#REF!,S675=#REF!),3,IF(S675=#REF!,1,IF(S675=#REF!,18,IF(OR(S675=#REF!,S675=#REF!,S675=#REF!,S675=#REF!,S675=#REF!),14,"Invalid proposed procurement method")))))</f>
        <v>#REF!</v>
      </c>
      <c r="M675" s="199" t="str">
        <f>IFERROR(EDATE($N675,-3),"Invalid procurement method or date entered")</f>
        <v>Invalid procurement method or date entered</v>
      </c>
      <c r="N675" s="199" t="str">
        <f>IFERROR(EDATE(O675,-L675),"Invalid procurement method or date entered")</f>
        <v>Invalid procurement method or date entered</v>
      </c>
      <c r="O675" s="199">
        <v>43919</v>
      </c>
      <c r="P675" s="5">
        <v>30</v>
      </c>
      <c r="Q675" s="7" t="s">
        <v>3122</v>
      </c>
      <c r="R675" s="18">
        <v>60000</v>
      </c>
      <c r="S675" s="5" t="s">
        <v>529</v>
      </c>
      <c r="T675" s="167" t="s">
        <v>62</v>
      </c>
      <c r="U675" s="48" t="s">
        <v>67</v>
      </c>
      <c r="V675" s="48"/>
      <c r="W675" s="5" t="s">
        <v>3123</v>
      </c>
      <c r="X675" s="5" t="s">
        <v>54</v>
      </c>
      <c r="Y675" s="5" t="s">
        <v>727</v>
      </c>
      <c r="Z675" s="5"/>
      <c r="AA675" s="5" t="s">
        <v>38</v>
      </c>
      <c r="AB675" s="199" t="s">
        <v>41</v>
      </c>
      <c r="AC675" s="8" t="s">
        <v>3124</v>
      </c>
      <c r="AD675" s="80" t="s">
        <v>3125</v>
      </c>
      <c r="AE675" s="164"/>
    </row>
    <row r="676" spans="1:32" s="1" customFormat="1" ht="377">
      <c r="A676" s="1184"/>
      <c r="B676" s="147" t="s">
        <v>44</v>
      </c>
      <c r="C676" s="970" t="s">
        <v>3126</v>
      </c>
      <c r="D676" s="9" t="s">
        <v>32</v>
      </c>
      <c r="E676" s="9"/>
      <c r="F676" s="9"/>
      <c r="G676" s="9"/>
      <c r="H676" s="5" t="s">
        <v>502</v>
      </c>
      <c r="I676" s="12" t="s">
        <v>34</v>
      </c>
      <c r="J676" s="16" t="s">
        <v>3127</v>
      </c>
      <c r="K676" s="8"/>
      <c r="L676" s="8"/>
      <c r="M676" s="182">
        <v>43739</v>
      </c>
      <c r="N676" s="182"/>
      <c r="O676" s="182">
        <v>43921</v>
      </c>
      <c r="P676" s="5">
        <v>60</v>
      </c>
      <c r="Q676" s="25" t="s">
        <v>2375</v>
      </c>
      <c r="R676" s="18" t="s">
        <v>2062</v>
      </c>
      <c r="S676" s="31" t="s">
        <v>130</v>
      </c>
      <c r="T676" s="26" t="s">
        <v>38</v>
      </c>
      <c r="U676" s="12" t="s">
        <v>67</v>
      </c>
      <c r="V676" s="12"/>
      <c r="W676" s="5" t="s">
        <v>517</v>
      </c>
      <c r="X676" s="9" t="s">
        <v>39</v>
      </c>
      <c r="Y676" s="5" t="s">
        <v>115</v>
      </c>
      <c r="Z676" s="5"/>
      <c r="AA676" s="41"/>
      <c r="AB676" s="199">
        <v>43991</v>
      </c>
      <c r="AC676" s="8" t="s">
        <v>3128</v>
      </c>
      <c r="AD676" s="76" t="s">
        <v>979</v>
      </c>
      <c r="AE676" s="26" t="s">
        <v>3129</v>
      </c>
    </row>
    <row r="677" spans="1:32" s="1" customFormat="1" ht="37.5">
      <c r="A677" s="1119"/>
      <c r="B677" s="958" t="s">
        <v>56</v>
      </c>
      <c r="C677" s="966" t="s">
        <v>3130</v>
      </c>
      <c r="D677" s="511" t="s">
        <v>57</v>
      </c>
      <c r="E677" s="511"/>
      <c r="F677" s="511"/>
      <c r="G677" s="511"/>
      <c r="H677" s="511" t="s">
        <v>58</v>
      </c>
      <c r="I677" s="519" t="s">
        <v>47</v>
      </c>
      <c r="J677" s="1578" t="s">
        <v>3131</v>
      </c>
      <c r="K677" s="512"/>
      <c r="L677" s="515">
        <v>43800</v>
      </c>
      <c r="M677" s="515"/>
      <c r="N677" s="515"/>
      <c r="O677" s="515">
        <v>43921</v>
      </c>
      <c r="P677" s="516">
        <v>12</v>
      </c>
      <c r="Q677" s="516">
        <v>12</v>
      </c>
      <c r="R677" s="599">
        <v>4200000</v>
      </c>
      <c r="S677" s="515" t="s">
        <v>1937</v>
      </c>
      <c r="T677" s="1055" t="s">
        <v>310</v>
      </c>
      <c r="U677" s="515" t="s">
        <v>3132</v>
      </c>
      <c r="V677" s="515"/>
      <c r="W677" s="519" t="s">
        <v>3133</v>
      </c>
      <c r="X677" s="120"/>
      <c r="Y677" s="120"/>
      <c r="Z677" s="120"/>
      <c r="AA677" s="120"/>
      <c r="AB677" s="120"/>
      <c r="AC677" s="120"/>
      <c r="AD677"/>
      <c r="AE677" s="186"/>
    </row>
    <row r="678" spans="1:32" s="1" customFormat="1" ht="43.5">
      <c r="A678" s="1185"/>
      <c r="B678" s="336"/>
      <c r="C678" s="72" t="s">
        <v>3134</v>
      </c>
      <c r="D678" s="5" t="s">
        <v>32</v>
      </c>
      <c r="E678" s="5"/>
      <c r="F678" s="5"/>
      <c r="G678" s="5"/>
      <c r="H678" s="5" t="s">
        <v>127</v>
      </c>
      <c r="I678" s="12" t="s">
        <v>47</v>
      </c>
      <c r="J678" s="16" t="s">
        <v>3135</v>
      </c>
      <c r="K678" s="8"/>
      <c r="L678" s="8"/>
      <c r="M678" s="182">
        <v>43374</v>
      </c>
      <c r="N678" s="182"/>
      <c r="O678" s="182">
        <v>43922</v>
      </c>
      <c r="P678" s="12">
        <v>48</v>
      </c>
      <c r="Q678" s="13" t="s">
        <v>83</v>
      </c>
      <c r="R678" s="41">
        <v>180000</v>
      </c>
      <c r="S678" s="2751" t="s">
        <v>51</v>
      </c>
      <c r="T678" s="161" t="s">
        <v>62</v>
      </c>
      <c r="U678" s="14" t="s">
        <v>67</v>
      </c>
      <c r="V678" s="14"/>
      <c r="W678" s="12" t="s">
        <v>3136</v>
      </c>
      <c r="X678" s="5" t="s">
        <v>2179</v>
      </c>
      <c r="Y678" s="5" t="s">
        <v>727</v>
      </c>
      <c r="Z678" s="5"/>
      <c r="AA678" s="12"/>
      <c r="AB678" s="199" t="s">
        <v>41</v>
      </c>
      <c r="AC678" s="8" t="s">
        <v>3137</v>
      </c>
      <c r="AD678" s="76" t="s">
        <v>127</v>
      </c>
      <c r="AE678" s="224"/>
    </row>
    <row r="679" spans="1:32" s="1" customFormat="1" ht="72.5">
      <c r="A679" s="1119"/>
      <c r="B679" s="60"/>
      <c r="C679" s="2874" t="s">
        <v>45</v>
      </c>
      <c r="D679" s="2818" t="s">
        <v>32</v>
      </c>
      <c r="E679" s="2818"/>
      <c r="F679" s="2818"/>
      <c r="G679" s="2818"/>
      <c r="H679" s="2789" t="s">
        <v>33</v>
      </c>
      <c r="I679" s="2789" t="s">
        <v>47</v>
      </c>
      <c r="J679" s="2872" t="s">
        <v>2364</v>
      </c>
      <c r="K679" s="2872"/>
      <c r="L679" s="5" t="e">
        <f>IF(OR(S679=#REF!,S679=#REF!,S679=#REF!,S679=#REF!,S679=#REF!,S679=#REF!,S679=#REF!,S679=#REF!),12,IF(OR(S679=#REF!,S679=#REF!,S679=#REF!,S679=#REF!,S679=#REF!,S679=#REF!,S679=#REF!),3,IF(S679=#REF!,1,IF(S679=#REF!,18,IF(OR(S679=#REF!,S679=#REF!,S679=#REF!,S679=#REF!,S679=#REF!),14,"Invalid proposed procurement method")))))</f>
        <v>#REF!</v>
      </c>
      <c r="M679" s="199" t="str">
        <f>IFERROR(EDATE($N679,-3),"Invalid procurement method or date entered")</f>
        <v>Invalid procurement method or date entered</v>
      </c>
      <c r="N679" s="199" t="str">
        <f>IFERROR(EDATE(O679,-L679),"Invalid procurement method or date entered")</f>
        <v>Invalid procurement method or date entered</v>
      </c>
      <c r="O679" s="2852">
        <v>43922</v>
      </c>
      <c r="P679" s="2818">
        <v>12</v>
      </c>
      <c r="Q679" s="2819">
        <v>12</v>
      </c>
      <c r="R679" s="18">
        <v>60000</v>
      </c>
      <c r="S679" s="2885" t="s">
        <v>84</v>
      </c>
      <c r="T679" s="2819" t="s">
        <v>38</v>
      </c>
      <c r="U679" s="12" t="s">
        <v>67</v>
      </c>
      <c r="V679" s="12"/>
      <c r="W679" s="2818" t="s">
        <v>645</v>
      </c>
      <c r="X679" s="2789" t="s">
        <v>108</v>
      </c>
      <c r="Y679" s="2789" t="s">
        <v>727</v>
      </c>
      <c r="Z679" s="2789"/>
      <c r="AA679" s="2818" t="s">
        <v>38</v>
      </c>
      <c r="AB679" s="2801"/>
      <c r="AC679" s="2762" t="s">
        <v>3138</v>
      </c>
      <c r="AD679" s="80" t="s">
        <v>3125</v>
      </c>
      <c r="AE679" s="2870"/>
      <c r="AF679" s="2824"/>
    </row>
    <row r="680" spans="1:32" s="1" customFormat="1" ht="43.4" customHeight="1">
      <c r="A680" s="1191"/>
      <c r="B680" s="60"/>
      <c r="C680" s="72" t="s">
        <v>3139</v>
      </c>
      <c r="D680" s="5" t="s">
        <v>32</v>
      </c>
      <c r="E680" s="5"/>
      <c r="F680" s="5"/>
      <c r="G680" s="5"/>
      <c r="H680" s="5" t="s">
        <v>33</v>
      </c>
      <c r="I680" s="5" t="s">
        <v>47</v>
      </c>
      <c r="J680" s="16" t="s">
        <v>3140</v>
      </c>
      <c r="K680" s="16"/>
      <c r="L680" s="5" t="e">
        <f>IF(OR(S680=#REF!,S680=#REF!,S680=#REF!,S680=#REF!,S680=#REF!,S680=#REF!,S680=#REF!,S680=#REF!),12,IF(OR(S680=#REF!,S680=#REF!,S680=#REF!,S680=#REF!,S680=#REF!,S680=#REF!,S680=#REF!),3,IF(S680=#REF!,1,IF(S680=#REF!,18,IF(OR(S680=#REF!,S680=#REF!,S680=#REF!,S680=#REF!,S680=#REF!),14,"Invalid proposed procurement method")))))</f>
        <v>#REF!</v>
      </c>
      <c r="M680" s="199" t="str">
        <f>IFERROR(EDATE($N680,-3),"Invalid procurement method or date entered")</f>
        <v>Invalid procurement method or date entered</v>
      </c>
      <c r="N680" s="199" t="str">
        <f>IFERROR(EDATE(O680,-L680),"Invalid procurement method or date entered")</f>
        <v>Invalid procurement method or date entered</v>
      </c>
      <c r="O680" s="182">
        <v>43922</v>
      </c>
      <c r="P680" s="12">
        <v>12</v>
      </c>
      <c r="Q680" s="27">
        <v>12</v>
      </c>
      <c r="R680" s="18">
        <v>26000</v>
      </c>
      <c r="S680" s="31" t="s">
        <v>84</v>
      </c>
      <c r="T680" s="26" t="s">
        <v>38</v>
      </c>
      <c r="U680" s="12" t="s">
        <v>67</v>
      </c>
      <c r="V680" s="12"/>
      <c r="W680" s="46" t="s">
        <v>2543</v>
      </c>
      <c r="X680" s="5" t="s">
        <v>86</v>
      </c>
      <c r="Y680" s="5" t="s">
        <v>40</v>
      </c>
      <c r="Z680" s="5"/>
      <c r="AA680" s="5" t="s">
        <v>38</v>
      </c>
      <c r="AB680" s="199" t="s">
        <v>132</v>
      </c>
      <c r="AC680" s="8" t="s">
        <v>89</v>
      </c>
      <c r="AD680" s="80" t="s">
        <v>3141</v>
      </c>
      <c r="AE680" s="224"/>
      <c r="AF680" s="2824"/>
    </row>
    <row r="681" spans="1:32" s="35" customFormat="1" ht="57.65" customHeight="1">
      <c r="A681" s="1119"/>
      <c r="B681" s="60"/>
      <c r="C681" s="72" t="s">
        <v>3142</v>
      </c>
      <c r="D681" s="5" t="s">
        <v>32</v>
      </c>
      <c r="E681" s="5"/>
      <c r="F681" s="5"/>
      <c r="G681" s="5"/>
      <c r="H681" s="5" t="s">
        <v>33</v>
      </c>
      <c r="I681" s="5" t="s">
        <v>47</v>
      </c>
      <c r="J681" s="16" t="s">
        <v>1437</v>
      </c>
      <c r="K681" s="8"/>
      <c r="L681" s="5" t="e">
        <f>IF(OR(S681=#REF!,S681=#REF!,S681=#REF!,S681=#REF!,S681=#REF!,S681=#REF!,S681=#REF!,S681=#REF!),12,IF(OR(S681=#REF!,S681=#REF!,S681=#REF!,S681=#REF!,S681=#REF!,S681=#REF!,S681=#REF!),3,IF(S681=#REF!,1,IF(S681=#REF!,18,IF(OR(S681=#REF!,S681=#REF!,S681=#REF!,S681=#REF!,S681=#REF!),14,"Invalid proposed procurement method")))))</f>
        <v>#REF!</v>
      </c>
      <c r="M681" s="199" t="str">
        <f>IFERROR(EDATE($N681,-3),"Invalid procurement method or date entered")</f>
        <v>Invalid procurement method or date entered</v>
      </c>
      <c r="N681" s="199" t="str">
        <f>IFERROR(EDATE(O681,-L681),"Invalid procurement method or date entered")</f>
        <v>Invalid procurement method or date entered</v>
      </c>
      <c r="O681" s="14">
        <v>43922</v>
      </c>
      <c r="P681" s="12">
        <v>36</v>
      </c>
      <c r="Q681" s="5">
        <v>36</v>
      </c>
      <c r="R681" s="18">
        <v>44000</v>
      </c>
      <c r="S681" s="5" t="s">
        <v>84</v>
      </c>
      <c r="T681" s="161" t="s">
        <v>38</v>
      </c>
      <c r="U681" s="12" t="s">
        <v>67</v>
      </c>
      <c r="V681" s="12"/>
      <c r="W681" s="5" t="s">
        <v>142</v>
      </c>
      <c r="X681" s="46" t="s">
        <v>86</v>
      </c>
      <c r="Y681" s="5" t="s">
        <v>40</v>
      </c>
      <c r="Z681" s="5"/>
      <c r="AA681" s="5" t="s">
        <v>38</v>
      </c>
      <c r="AB681" s="199" t="s">
        <v>132</v>
      </c>
      <c r="AC681" s="8" t="s">
        <v>89</v>
      </c>
      <c r="AD681" s="80" t="s">
        <v>220</v>
      </c>
      <c r="AE681" s="223">
        <v>13500</v>
      </c>
      <c r="AF681" s="1"/>
    </row>
    <row r="682" spans="1:32" s="1" customFormat="1" ht="43.5">
      <c r="A682" s="1185"/>
      <c r="B682" s="336"/>
      <c r="C682" s="72" t="s">
        <v>3143</v>
      </c>
      <c r="D682" s="9" t="s">
        <v>32</v>
      </c>
      <c r="E682" s="9"/>
      <c r="F682" s="9"/>
      <c r="G682" s="9"/>
      <c r="H682" s="5" t="s">
        <v>2198</v>
      </c>
      <c r="I682" s="12" t="s">
        <v>47</v>
      </c>
      <c r="J682" s="16" t="s">
        <v>3144</v>
      </c>
      <c r="K682" s="16"/>
      <c r="L682" s="16"/>
      <c r="M682" s="182">
        <v>43555</v>
      </c>
      <c r="N682" s="182"/>
      <c r="O682" s="182">
        <v>43922</v>
      </c>
      <c r="P682" s="12" t="s">
        <v>187</v>
      </c>
      <c r="Q682" s="7" t="s">
        <v>1871</v>
      </c>
      <c r="R682" s="18">
        <v>2381430</v>
      </c>
      <c r="S682" s="5" t="s">
        <v>553</v>
      </c>
      <c r="T682" s="168" t="s">
        <v>45</v>
      </c>
      <c r="U682" s="47" t="s">
        <v>45</v>
      </c>
      <c r="V682" s="47"/>
      <c r="W682" s="12" t="s">
        <v>3145</v>
      </c>
      <c r="X682" s="5" t="s">
        <v>1764</v>
      </c>
      <c r="Y682" s="5" t="s">
        <v>115</v>
      </c>
      <c r="Z682" s="5"/>
      <c r="AA682" s="12"/>
      <c r="AB682" s="199" t="s">
        <v>41</v>
      </c>
      <c r="AC682" s="8" t="s">
        <v>89</v>
      </c>
      <c r="AD682" s="76" t="s">
        <v>3146</v>
      </c>
      <c r="AE682" s="224">
        <v>476286</v>
      </c>
    </row>
    <row r="683" spans="1:32" s="1" customFormat="1" ht="57.65" customHeight="1">
      <c r="A683" s="1119"/>
      <c r="B683" s="147"/>
      <c r="C683" s="72" t="s">
        <v>3147</v>
      </c>
      <c r="D683" s="9" t="s">
        <v>57</v>
      </c>
      <c r="E683" s="9"/>
      <c r="F683" s="9"/>
      <c r="G683" s="9"/>
      <c r="H683" s="46" t="s">
        <v>58</v>
      </c>
      <c r="I683" s="46" t="s">
        <v>47</v>
      </c>
      <c r="J683" s="69" t="s">
        <v>3148</v>
      </c>
      <c r="K683" s="69"/>
      <c r="L683" s="69"/>
      <c r="M683" s="199">
        <v>43556</v>
      </c>
      <c r="N683" s="199"/>
      <c r="O683" s="49">
        <v>43922</v>
      </c>
      <c r="P683" s="46">
        <v>48</v>
      </c>
      <c r="Q683" s="46">
        <v>48</v>
      </c>
      <c r="R683" s="18">
        <v>320000</v>
      </c>
      <c r="S683" s="46" t="s">
        <v>91</v>
      </c>
      <c r="T683" s="26" t="s">
        <v>70</v>
      </c>
      <c r="U683" s="182">
        <v>43854</v>
      </c>
      <c r="V683" s="182"/>
      <c r="W683" s="46" t="s">
        <v>1711</v>
      </c>
      <c r="X683" s="71" t="s">
        <v>3149</v>
      </c>
      <c r="Y683" s="5" t="s">
        <v>727</v>
      </c>
      <c r="Z683" s="5"/>
      <c r="AA683" s="69"/>
      <c r="AB683" s="199" t="s">
        <v>3150</v>
      </c>
      <c r="AC683" s="8" t="s">
        <v>3151</v>
      </c>
      <c r="AD683" s="76" t="s">
        <v>369</v>
      </c>
      <c r="AE683" s="238">
        <v>80000</v>
      </c>
      <c r="AF683" s="2799"/>
    </row>
    <row r="684" spans="1:32" s="35" customFormat="1" ht="57.65" customHeight="1">
      <c r="A684" s="1119"/>
      <c r="B684" s="147"/>
      <c r="C684" s="72"/>
      <c r="D684" s="5" t="s">
        <v>32</v>
      </c>
      <c r="E684" s="5"/>
      <c r="F684" s="5"/>
      <c r="G684" s="5"/>
      <c r="H684" s="5" t="s">
        <v>2562</v>
      </c>
      <c r="I684" s="5" t="s">
        <v>47</v>
      </c>
      <c r="J684" s="16" t="s">
        <v>3152</v>
      </c>
      <c r="K684" s="16"/>
      <c r="L684" s="16"/>
      <c r="M684" s="182">
        <v>43564</v>
      </c>
      <c r="N684" s="182"/>
      <c r="O684" s="182">
        <v>43922</v>
      </c>
      <c r="P684" s="12">
        <v>24</v>
      </c>
      <c r="Q684" s="12" t="s">
        <v>1345</v>
      </c>
      <c r="R684" s="18">
        <v>160000</v>
      </c>
      <c r="S684" s="2751" t="s">
        <v>84</v>
      </c>
      <c r="T684" s="26" t="s">
        <v>45</v>
      </c>
      <c r="U684" s="12" t="s">
        <v>45</v>
      </c>
      <c r="V684" s="12"/>
      <c r="W684" s="5" t="s">
        <v>1597</v>
      </c>
      <c r="X684" s="5" t="s">
        <v>2179</v>
      </c>
      <c r="Y684" s="5" t="s">
        <v>727</v>
      </c>
      <c r="Z684" s="5"/>
      <c r="AA684" s="5"/>
      <c r="AB684" s="199" t="s">
        <v>3016</v>
      </c>
      <c r="AC684" s="8" t="s">
        <v>3153</v>
      </c>
      <c r="AD684" s="76" t="s">
        <v>369</v>
      </c>
      <c r="AE684" s="224"/>
      <c r="AF684" s="1"/>
    </row>
    <row r="685" spans="1:32" s="1" customFormat="1" ht="72.5">
      <c r="A685" s="1184"/>
      <c r="B685" s="60"/>
      <c r="C685" s="72" t="s">
        <v>45</v>
      </c>
      <c r="D685" s="9" t="s">
        <v>32</v>
      </c>
      <c r="E685" s="9"/>
      <c r="F685" s="9"/>
      <c r="G685" s="9"/>
      <c r="H685" s="5" t="s">
        <v>363</v>
      </c>
      <c r="I685" s="5" t="s">
        <v>47</v>
      </c>
      <c r="J685" s="16" t="s">
        <v>364</v>
      </c>
      <c r="K685" s="16"/>
      <c r="L685" s="5" t="e">
        <f>IF(OR(S685=#REF!,S685=#REF!,S685=#REF!,S685=#REF!,S685=#REF!,S685=#REF!,S685=#REF!,S685=#REF!),12,IF(OR(S685=#REF!,S685=#REF!,S685=#REF!,S685=#REF!,S685=#REF!,S685=#REF!,S685=#REF!),3,IF(S685=#REF!,1,IF(S685=#REF!,18,IF(OR(S685=#REF!,S685=#REF!,S685=#REF!,S685=#REF!,S685=#REF!),14,"Invalid proposed procurement method")))))</f>
        <v>#REF!</v>
      </c>
      <c r="M685" s="199" t="str">
        <f>IFERROR(EDATE($N685,-3),"Invalid procurement method or date entered")</f>
        <v>Invalid procurement method or date entered</v>
      </c>
      <c r="N685" s="199" t="str">
        <f>IFERROR(EDATE(O685,-L685),"Invalid procurement method or date entered")</f>
        <v>Invalid procurement method or date entered</v>
      </c>
      <c r="O685" s="182">
        <v>43922</v>
      </c>
      <c r="P685" s="12">
        <v>12</v>
      </c>
      <c r="Q685" s="12">
        <v>12</v>
      </c>
      <c r="R685" s="18">
        <v>24616</v>
      </c>
      <c r="S685" s="2751" t="s">
        <v>37</v>
      </c>
      <c r="T685" s="26" t="s">
        <v>38</v>
      </c>
      <c r="U685" s="14" t="s">
        <v>67</v>
      </c>
      <c r="V685" s="14"/>
      <c r="W685" s="5" t="s">
        <v>367</v>
      </c>
      <c r="X685" s="5" t="s">
        <v>54</v>
      </c>
      <c r="Y685" s="5" t="s">
        <v>727</v>
      </c>
      <c r="Z685" s="5"/>
      <c r="AA685" s="5" t="s">
        <v>38</v>
      </c>
      <c r="AB685" s="199" t="s">
        <v>132</v>
      </c>
      <c r="AC685" s="8" t="s">
        <v>3154</v>
      </c>
      <c r="AD685" s="76" t="s">
        <v>369</v>
      </c>
      <c r="AE685" s="224"/>
    </row>
    <row r="686" spans="1:32" s="1" customFormat="1" ht="87">
      <c r="A686" s="1184"/>
      <c r="B686" s="60"/>
      <c r="C686" s="72" t="s">
        <v>3155</v>
      </c>
      <c r="D686" s="9" t="s">
        <v>57</v>
      </c>
      <c r="E686" s="9"/>
      <c r="F686" s="9"/>
      <c r="G686" s="9"/>
      <c r="H686" s="9" t="s">
        <v>165</v>
      </c>
      <c r="I686" s="5" t="s">
        <v>47</v>
      </c>
      <c r="J686" s="16" t="s">
        <v>3156</v>
      </c>
      <c r="K686" s="8"/>
      <c r="L686" s="5" t="e">
        <f>IF(OR(S686=#REF!,S686=#REF!,S686=#REF!,S686=#REF!,S686=#REF!,S686=#REF!,S686=#REF!,S686=#REF!),12,IF(OR(S686=#REF!,S686=#REF!,S686=#REF!,S686=#REF!,S686=#REF!,S686=#REF!,S686=#REF!),3,IF(S686=#REF!,1,IF(S686=#REF!,18,IF(OR(S686=#REF!,S686=#REF!,S686=#REF!,S686=#REF!,S686=#REF!),14,"Invalid proposed procurement method")))))</f>
        <v>#REF!</v>
      </c>
      <c r="M686" s="199" t="str">
        <f>IFERROR(EDATE($N686,-3),"Invalid procurement method or date entered")</f>
        <v>Invalid procurement method or date entered</v>
      </c>
      <c r="N686" s="199" t="str">
        <f>IFERROR(EDATE(O686,-L686),"Invalid procurement method or date entered")</f>
        <v>Invalid procurement method or date entered</v>
      </c>
      <c r="O686" s="199">
        <v>43922</v>
      </c>
      <c r="P686" s="5">
        <v>24</v>
      </c>
      <c r="Q686" s="5" t="s">
        <v>1345</v>
      </c>
      <c r="R686" s="18">
        <v>21600</v>
      </c>
      <c r="S686" s="5" t="s">
        <v>37</v>
      </c>
      <c r="T686" s="2819" t="s">
        <v>38</v>
      </c>
      <c r="U686" s="2818" t="s">
        <v>67</v>
      </c>
      <c r="V686" s="2818"/>
      <c r="W686" s="5" t="s">
        <v>633</v>
      </c>
      <c r="X686" s="5" t="s">
        <v>543</v>
      </c>
      <c r="Y686" s="5" t="s">
        <v>40</v>
      </c>
      <c r="Z686" s="5" t="s">
        <v>154</v>
      </c>
      <c r="AA686" s="9" t="s">
        <v>38</v>
      </c>
      <c r="AB686" s="199" t="s">
        <v>271</v>
      </c>
      <c r="AC686" s="8" t="s">
        <v>3157</v>
      </c>
      <c r="AD686" s="76" t="s">
        <v>165</v>
      </c>
      <c r="AE686" s="2876">
        <v>10800</v>
      </c>
    </row>
    <row r="687" spans="1:32" s="1" customFormat="1" ht="43.4" customHeight="1">
      <c r="A687" s="498"/>
      <c r="B687" s="147" t="s">
        <v>44</v>
      </c>
      <c r="C687" s="72" t="s">
        <v>557</v>
      </c>
      <c r="D687" s="4" t="s">
        <v>57</v>
      </c>
      <c r="E687" s="4"/>
      <c r="F687" s="4"/>
      <c r="G687" s="4"/>
      <c r="H687" s="5" t="s">
        <v>496</v>
      </c>
      <c r="I687" s="8" t="s">
        <v>47</v>
      </c>
      <c r="J687" s="16" t="s">
        <v>3158</v>
      </c>
      <c r="K687" s="16"/>
      <c r="L687" s="16"/>
      <c r="M687" s="14">
        <v>42826</v>
      </c>
      <c r="N687" s="14"/>
      <c r="O687" s="14">
        <v>43922</v>
      </c>
      <c r="P687" s="12">
        <v>36</v>
      </c>
      <c r="Q687" s="5">
        <v>36</v>
      </c>
      <c r="R687" s="18">
        <v>15000</v>
      </c>
      <c r="S687" s="5" t="s">
        <v>1763</v>
      </c>
      <c r="T687" s="161" t="s">
        <v>38</v>
      </c>
      <c r="U687" s="4"/>
      <c r="V687" s="4"/>
      <c r="W687" s="5" t="s">
        <v>798</v>
      </c>
      <c r="X687" s="12" t="s">
        <v>2286</v>
      </c>
      <c r="Y687" s="5" t="s">
        <v>40</v>
      </c>
      <c r="Z687" s="5"/>
      <c r="AA687" s="5"/>
      <c r="AB687" s="5"/>
      <c r="AC687" s="84" t="s">
        <v>3159</v>
      </c>
      <c r="AE687" s="229"/>
    </row>
    <row r="688" spans="1:32" s="1" customFormat="1" ht="29">
      <c r="A688" s="2756"/>
      <c r="B688" s="464" t="s">
        <v>100</v>
      </c>
      <c r="C688" s="470"/>
      <c r="D688" s="402" t="s">
        <v>122</v>
      </c>
      <c r="E688" s="402"/>
      <c r="F688" s="402"/>
      <c r="G688" s="402"/>
      <c r="H688" s="402" t="s">
        <v>197</v>
      </c>
      <c r="I688" s="402" t="s">
        <v>47</v>
      </c>
      <c r="J688" s="1584" t="s">
        <v>198</v>
      </c>
      <c r="K688" s="402"/>
      <c r="L688" s="402"/>
      <c r="M688" s="374">
        <v>43191</v>
      </c>
      <c r="N688" s="402"/>
      <c r="O688" s="374">
        <v>43922</v>
      </c>
      <c r="P688" s="376">
        <v>36</v>
      </c>
      <c r="Q688" s="475">
        <v>36</v>
      </c>
      <c r="R688" s="378">
        <v>582900</v>
      </c>
      <c r="S688" s="404" t="s">
        <v>84</v>
      </c>
      <c r="T688" s="475" t="s">
        <v>70</v>
      </c>
      <c r="U688" s="374">
        <v>43858</v>
      </c>
      <c r="V688" s="374"/>
      <c r="W688" s="402" t="s">
        <v>212</v>
      </c>
      <c r="X688" s="402" t="s">
        <v>120</v>
      </c>
      <c r="Y688" s="402" t="s">
        <v>251</v>
      </c>
      <c r="Z688" s="402"/>
      <c r="AA688" s="406" t="s">
        <v>70</v>
      </c>
      <c r="AB688" s="407">
        <v>43920</v>
      </c>
      <c r="AC688" s="408" t="s">
        <v>3160</v>
      </c>
      <c r="AD688" s="409"/>
      <c r="AE688" s="499"/>
    </row>
    <row r="689" spans="1:32" s="1" customFormat="1" ht="29">
      <c r="A689" s="1195"/>
      <c r="B689" s="147" t="s">
        <v>44</v>
      </c>
      <c r="C689" s="72" t="s">
        <v>3161</v>
      </c>
      <c r="D689" s="5" t="s">
        <v>32</v>
      </c>
      <c r="E689" s="5"/>
      <c r="F689" s="5"/>
      <c r="G689" s="5"/>
      <c r="H689" s="5" t="s">
        <v>33</v>
      </c>
      <c r="I689" s="5" t="s">
        <v>34</v>
      </c>
      <c r="J689" s="16" t="s">
        <v>3162</v>
      </c>
      <c r="K689" s="8"/>
      <c r="L689" s="8"/>
      <c r="M689" s="199">
        <v>43192</v>
      </c>
      <c r="N689" s="199"/>
      <c r="O689" s="199">
        <v>43922</v>
      </c>
      <c r="P689" s="5">
        <v>120</v>
      </c>
      <c r="Q689" s="25" t="s">
        <v>3163</v>
      </c>
      <c r="R689" s="18">
        <v>4000000</v>
      </c>
      <c r="S689" s="199" t="s">
        <v>130</v>
      </c>
      <c r="T689" s="163" t="s">
        <v>70</v>
      </c>
      <c r="U689" s="182">
        <v>43916</v>
      </c>
      <c r="V689" s="182"/>
      <c r="W689" s="5" t="s">
        <v>440</v>
      </c>
      <c r="X689" s="5" t="s">
        <v>86</v>
      </c>
      <c r="Y689" s="5" t="s">
        <v>40</v>
      </c>
      <c r="Z689" s="5"/>
      <c r="AA689" s="5"/>
      <c r="AB689" s="199">
        <v>43924</v>
      </c>
      <c r="AC689" s="36" t="s">
        <v>89</v>
      </c>
      <c r="AD689" s="76" t="s">
        <v>3164</v>
      </c>
      <c r="AE689" s="164"/>
    </row>
    <row r="690" spans="1:32" s="1" customFormat="1" ht="29">
      <c r="A690" s="1184"/>
      <c r="B690" s="147" t="s">
        <v>44</v>
      </c>
      <c r="C690" s="72" t="s">
        <v>3165</v>
      </c>
      <c r="D690" s="9" t="s">
        <v>122</v>
      </c>
      <c r="E690" s="9"/>
      <c r="F690" s="9"/>
      <c r="G690" s="9"/>
      <c r="H690" s="5" t="s">
        <v>33</v>
      </c>
      <c r="I690" s="12" t="s">
        <v>47</v>
      </c>
      <c r="J690" s="16" t="s">
        <v>3166</v>
      </c>
      <c r="K690" s="8"/>
      <c r="L690" s="8"/>
      <c r="M690" s="182">
        <v>43244</v>
      </c>
      <c r="N690" s="182"/>
      <c r="O690" s="182">
        <v>43922</v>
      </c>
      <c r="P690" s="13" t="s">
        <v>83</v>
      </c>
      <c r="Q690" s="28" t="s">
        <v>83</v>
      </c>
      <c r="R690" s="18">
        <v>3000000</v>
      </c>
      <c r="S690" s="31" t="s">
        <v>91</v>
      </c>
      <c r="T690" s="161" t="s">
        <v>38</v>
      </c>
      <c r="U690" s="14" t="s">
        <v>238</v>
      </c>
      <c r="V690" s="14"/>
      <c r="W690" s="5" t="s">
        <v>239</v>
      </c>
      <c r="X690" s="5" t="s">
        <v>86</v>
      </c>
      <c r="Y690" s="5" t="s">
        <v>40</v>
      </c>
      <c r="Z690" s="5"/>
      <c r="AA690" s="27"/>
      <c r="AB690" s="45">
        <v>43957</v>
      </c>
      <c r="AC690" s="33" t="s">
        <v>89</v>
      </c>
      <c r="AD690" s="76" t="s">
        <v>43</v>
      </c>
      <c r="AE690" s="224"/>
    </row>
    <row r="691" spans="1:32" s="1" customFormat="1" ht="29">
      <c r="A691" s="1184"/>
      <c r="B691" s="147" t="s">
        <v>44</v>
      </c>
      <c r="C691" s="72" t="s">
        <v>3165</v>
      </c>
      <c r="D691" s="9" t="s">
        <v>122</v>
      </c>
      <c r="E691" s="9"/>
      <c r="F691" s="9"/>
      <c r="G691" s="9"/>
      <c r="H691" s="5" t="s">
        <v>33</v>
      </c>
      <c r="I691" s="12" t="s">
        <v>47</v>
      </c>
      <c r="J691" s="16" t="s">
        <v>3166</v>
      </c>
      <c r="K691" s="8"/>
      <c r="L691" s="8"/>
      <c r="M691" s="182">
        <v>43244</v>
      </c>
      <c r="N691" s="182"/>
      <c r="O691" s="182">
        <v>43922</v>
      </c>
      <c r="P691" s="13" t="s">
        <v>83</v>
      </c>
      <c r="Q691" s="13" t="s">
        <v>83</v>
      </c>
      <c r="R691" s="18">
        <v>3000000</v>
      </c>
      <c r="S691" s="5" t="s">
        <v>91</v>
      </c>
      <c r="T691" s="161" t="s">
        <v>38</v>
      </c>
      <c r="U691" s="14" t="s">
        <v>238</v>
      </c>
      <c r="V691" s="14"/>
      <c r="W691" s="5" t="s">
        <v>239</v>
      </c>
      <c r="X691" s="5" t="s">
        <v>86</v>
      </c>
      <c r="Y691" s="5" t="s">
        <v>40</v>
      </c>
      <c r="Z691" s="5"/>
      <c r="AA691" s="12"/>
      <c r="AB691" s="199">
        <v>43957</v>
      </c>
      <c r="AC691" s="33" t="s">
        <v>89</v>
      </c>
      <c r="AD691" s="76" t="s">
        <v>43</v>
      </c>
      <c r="AE691" s="224"/>
    </row>
    <row r="692" spans="1:32" s="1" customFormat="1" ht="57.65" customHeight="1">
      <c r="A692" s="1184"/>
      <c r="B692" s="464" t="s">
        <v>100</v>
      </c>
      <c r="C692" s="469" t="s">
        <v>208</v>
      </c>
      <c r="D692" s="8" t="s">
        <v>122</v>
      </c>
      <c r="E692" s="8"/>
      <c r="F692" s="8"/>
      <c r="G692" s="8"/>
      <c r="H692" s="8" t="s">
        <v>103</v>
      </c>
      <c r="I692" s="8" t="s">
        <v>47</v>
      </c>
      <c r="J692" s="16" t="s">
        <v>3167</v>
      </c>
      <c r="K692" s="8"/>
      <c r="L692" s="8"/>
      <c r="M692" s="367">
        <v>43313</v>
      </c>
      <c r="N692" s="8"/>
      <c r="O692" s="367">
        <v>43922</v>
      </c>
      <c r="P692" s="369">
        <v>36</v>
      </c>
      <c r="Q692" s="383">
        <v>36</v>
      </c>
      <c r="R692" s="159">
        <v>99000</v>
      </c>
      <c r="S692" s="387" t="s">
        <v>176</v>
      </c>
      <c r="T692" s="480" t="s">
        <v>38</v>
      </c>
      <c r="U692" s="365" t="s">
        <v>71</v>
      </c>
      <c r="V692" s="365"/>
      <c r="W692" s="8" t="s">
        <v>124</v>
      </c>
      <c r="X692" s="8" t="s">
        <v>1738</v>
      </c>
      <c r="Y692" s="8" t="s">
        <v>1161</v>
      </c>
      <c r="Z692" s="8"/>
      <c r="AA692" s="366"/>
      <c r="AB692" s="366"/>
      <c r="AC692" s="431" t="s">
        <v>3168</v>
      </c>
      <c r="AD692" s="438"/>
      <c r="AE692" s="489"/>
    </row>
    <row r="693" spans="1:32" s="1" customFormat="1" ht="29">
      <c r="A693" s="1184"/>
      <c r="B693" s="147" t="s">
        <v>44</v>
      </c>
      <c r="C693" s="2863" t="s">
        <v>3169</v>
      </c>
      <c r="D693" s="8" t="s">
        <v>32</v>
      </c>
      <c r="E693" s="8"/>
      <c r="F693" s="8"/>
      <c r="G693" s="8"/>
      <c r="H693" s="5" t="s">
        <v>33</v>
      </c>
      <c r="I693" s="12" t="s">
        <v>47</v>
      </c>
      <c r="J693" s="16" t="s">
        <v>3170</v>
      </c>
      <c r="K693" s="16"/>
      <c r="L693" s="16"/>
      <c r="M693" s="182">
        <v>43313</v>
      </c>
      <c r="N693" s="182"/>
      <c r="O693" s="182">
        <v>43922</v>
      </c>
      <c r="P693" s="12">
        <v>36</v>
      </c>
      <c r="Q693" s="25" t="s">
        <v>98</v>
      </c>
      <c r="R693" s="41">
        <v>81480</v>
      </c>
      <c r="S693" s="31" t="s">
        <v>84</v>
      </c>
      <c r="T693" s="27" t="s">
        <v>38</v>
      </c>
      <c r="U693" s="174"/>
      <c r="V693" s="174"/>
      <c r="W693" s="12" t="s">
        <v>3171</v>
      </c>
      <c r="X693" s="5" t="s">
        <v>413</v>
      </c>
      <c r="Y693" s="5" t="s">
        <v>40</v>
      </c>
      <c r="Z693" s="5"/>
      <c r="AA693" s="5"/>
      <c r="AB693" s="199">
        <v>43472</v>
      </c>
      <c r="AC693" s="8" t="s">
        <v>89</v>
      </c>
      <c r="AD693" s="111"/>
      <c r="AE693" s="224"/>
      <c r="AF693" s="3"/>
    </row>
    <row r="694" spans="1:32" s="1" customFormat="1" ht="72.5">
      <c r="A694" s="1184"/>
      <c r="B694" s="464" t="s">
        <v>100</v>
      </c>
      <c r="C694" s="470"/>
      <c r="D694" s="402" t="s">
        <v>122</v>
      </c>
      <c r="E694" s="402"/>
      <c r="F694" s="402"/>
      <c r="G694" s="402"/>
      <c r="H694" s="402" t="s">
        <v>103</v>
      </c>
      <c r="I694" s="402" t="s">
        <v>47</v>
      </c>
      <c r="J694" s="1584" t="s">
        <v>3172</v>
      </c>
      <c r="K694" s="402"/>
      <c r="L694" s="402"/>
      <c r="M694" s="374">
        <v>43405</v>
      </c>
      <c r="N694" s="402"/>
      <c r="O694" s="374">
        <v>43922</v>
      </c>
      <c r="P694" s="376">
        <v>60</v>
      </c>
      <c r="Q694" s="376" t="s">
        <v>171</v>
      </c>
      <c r="R694" s="404">
        <v>3861540</v>
      </c>
      <c r="S694" s="404" t="s">
        <v>84</v>
      </c>
      <c r="T694" s="478" t="s">
        <v>70</v>
      </c>
      <c r="U694" s="374">
        <v>43851</v>
      </c>
      <c r="V694" s="374"/>
      <c r="W694" s="402" t="s">
        <v>3173</v>
      </c>
      <c r="X694" s="402" t="s">
        <v>120</v>
      </c>
      <c r="Y694" s="402" t="s">
        <v>727</v>
      </c>
      <c r="Z694" s="402"/>
      <c r="AA694" s="406" t="s">
        <v>70</v>
      </c>
      <c r="AB694" s="407">
        <v>43963</v>
      </c>
      <c r="AC694" s="408" t="s">
        <v>3174</v>
      </c>
      <c r="AD694" s="409"/>
      <c r="AE694" s="499"/>
    </row>
    <row r="695" spans="1:32" s="1" customFormat="1" ht="43.5">
      <c r="A695" s="1184"/>
      <c r="B695" s="147" t="s">
        <v>44</v>
      </c>
      <c r="C695" s="72" t="s">
        <v>3175</v>
      </c>
      <c r="D695" s="5" t="s">
        <v>32</v>
      </c>
      <c r="E695" s="5"/>
      <c r="F695" s="5"/>
      <c r="G695" s="5"/>
      <c r="H695" s="5" t="s">
        <v>33</v>
      </c>
      <c r="I695" s="12" t="s">
        <v>47</v>
      </c>
      <c r="J695" s="16" t="s">
        <v>3176</v>
      </c>
      <c r="K695" s="8"/>
      <c r="L695" s="8"/>
      <c r="M695" s="14">
        <v>43497</v>
      </c>
      <c r="N695" s="14"/>
      <c r="O695" s="14">
        <v>43922</v>
      </c>
      <c r="P695" s="12">
        <v>36</v>
      </c>
      <c r="Q695" s="5" t="s">
        <v>160</v>
      </c>
      <c r="R695" s="18">
        <v>165000</v>
      </c>
      <c r="S695" s="5" t="s">
        <v>2110</v>
      </c>
      <c r="T695" s="26" t="s">
        <v>62</v>
      </c>
      <c r="U695" s="12" t="s">
        <v>45</v>
      </c>
      <c r="V695" s="12"/>
      <c r="W695" s="5" t="s">
        <v>142</v>
      </c>
      <c r="X695" s="5" t="s">
        <v>86</v>
      </c>
      <c r="Y695" s="5" t="s">
        <v>40</v>
      </c>
      <c r="Z695" s="5"/>
      <c r="AA695" s="5"/>
      <c r="AB695" s="199">
        <v>43917</v>
      </c>
      <c r="AC695" s="8" t="s">
        <v>89</v>
      </c>
      <c r="AD695" s="76" t="s">
        <v>3120</v>
      </c>
      <c r="AE695" s="164"/>
    </row>
    <row r="696" spans="1:32" s="1" customFormat="1" ht="43.4" customHeight="1">
      <c r="A696" s="1184"/>
      <c r="B696" s="147" t="s">
        <v>44</v>
      </c>
      <c r="C696" s="72" t="s">
        <v>880</v>
      </c>
      <c r="D696" s="5" t="s">
        <v>57</v>
      </c>
      <c r="E696" s="5"/>
      <c r="F696" s="5"/>
      <c r="G696" s="5"/>
      <c r="H696" s="5" t="s">
        <v>363</v>
      </c>
      <c r="I696" s="12" t="s">
        <v>47</v>
      </c>
      <c r="J696" s="16" t="s">
        <v>881</v>
      </c>
      <c r="K696" s="16"/>
      <c r="L696" s="16"/>
      <c r="M696" s="182">
        <v>43556</v>
      </c>
      <c r="N696" s="182"/>
      <c r="O696" s="182">
        <v>43922</v>
      </c>
      <c r="P696" s="12">
        <v>48</v>
      </c>
      <c r="Q696" s="7" t="s">
        <v>258</v>
      </c>
      <c r="R696" s="18">
        <v>100000</v>
      </c>
      <c r="S696" s="5" t="s">
        <v>176</v>
      </c>
      <c r="T696" s="26" t="s">
        <v>38</v>
      </c>
      <c r="U696" s="182" t="s">
        <v>67</v>
      </c>
      <c r="V696" s="182"/>
      <c r="W696" s="12" t="s">
        <v>883</v>
      </c>
      <c r="X696" s="5" t="s">
        <v>715</v>
      </c>
      <c r="Y696" s="5" t="s">
        <v>40</v>
      </c>
      <c r="Z696" s="5"/>
      <c r="AA696" s="12"/>
      <c r="AB696" s="199">
        <v>43948</v>
      </c>
      <c r="AC696" s="8" t="s">
        <v>3177</v>
      </c>
      <c r="AD696" s="76" t="s">
        <v>369</v>
      </c>
      <c r="AE696" s="224"/>
    </row>
    <row r="697" spans="1:32" s="296" customFormat="1" ht="43.5">
      <c r="A697" s="2756"/>
      <c r="B697" s="147" t="s">
        <v>44</v>
      </c>
      <c r="C697" s="72" t="s">
        <v>314</v>
      </c>
      <c r="D697" s="8" t="s">
        <v>32</v>
      </c>
      <c r="E697" s="8"/>
      <c r="F697" s="8"/>
      <c r="G697" s="8"/>
      <c r="H697" s="5" t="s">
        <v>480</v>
      </c>
      <c r="I697" s="92" t="s">
        <v>34</v>
      </c>
      <c r="J697" s="16" t="s">
        <v>1976</v>
      </c>
      <c r="K697" s="16"/>
      <c r="L697" s="16"/>
      <c r="M697" s="90">
        <v>43556</v>
      </c>
      <c r="N697" s="90"/>
      <c r="O697" s="90">
        <v>43922</v>
      </c>
      <c r="P697" s="91">
        <v>60</v>
      </c>
      <c r="Q697" s="92" t="s">
        <v>2375</v>
      </c>
      <c r="R697" s="18">
        <v>25000</v>
      </c>
      <c r="S697" s="5" t="s">
        <v>130</v>
      </c>
      <c r="T697" s="162" t="s">
        <v>38</v>
      </c>
      <c r="U697" s="4"/>
      <c r="V697" s="4"/>
      <c r="W697" s="5" t="s">
        <v>1977</v>
      </c>
      <c r="X697" s="5" t="s">
        <v>254</v>
      </c>
      <c r="Y697" s="5" t="s">
        <v>40</v>
      </c>
      <c r="Z697" s="5"/>
      <c r="AA697" s="5"/>
      <c r="AB697" s="199">
        <v>43585</v>
      </c>
      <c r="AC697" s="8" t="s">
        <v>3178</v>
      </c>
      <c r="AD697" s="1"/>
      <c r="AE697" s="164"/>
      <c r="AF697" s="1"/>
    </row>
    <row r="698" spans="1:32" s="296" customFormat="1" ht="58">
      <c r="A698" s="2756"/>
      <c r="B698" s="147" t="s">
        <v>44</v>
      </c>
      <c r="C698" s="72" t="s">
        <v>3179</v>
      </c>
      <c r="D698" s="10" t="s">
        <v>32</v>
      </c>
      <c r="E698" s="10"/>
      <c r="F698" s="10"/>
      <c r="G698" s="10"/>
      <c r="H698" s="5" t="s">
        <v>502</v>
      </c>
      <c r="I698" s="5" t="s">
        <v>268</v>
      </c>
      <c r="J698" s="16" t="s">
        <v>503</v>
      </c>
      <c r="K698" s="16"/>
      <c r="L698" s="16"/>
      <c r="M698" s="182">
        <v>43556</v>
      </c>
      <c r="N698" s="182"/>
      <c r="O698" s="182">
        <v>43922</v>
      </c>
      <c r="P698" s="12">
        <v>36</v>
      </c>
      <c r="Q698" s="12">
        <v>36</v>
      </c>
      <c r="R698" s="18">
        <v>100800</v>
      </c>
      <c r="S698" s="5" t="s">
        <v>130</v>
      </c>
      <c r="T698" s="27" t="s">
        <v>38</v>
      </c>
      <c r="U698" s="4"/>
      <c r="V698" s="4"/>
      <c r="W698" s="5" t="s">
        <v>504</v>
      </c>
      <c r="X698" s="5" t="s">
        <v>1633</v>
      </c>
      <c r="Y698" s="5" t="s">
        <v>40</v>
      </c>
      <c r="Z698" s="5"/>
      <c r="AA698" s="5"/>
      <c r="AB698" s="199">
        <v>43601</v>
      </c>
      <c r="AC698" s="8" t="s">
        <v>3180</v>
      </c>
      <c r="AD698" s="1"/>
      <c r="AE698" s="224">
        <v>33600</v>
      </c>
      <c r="AF698" s="1"/>
    </row>
    <row r="699" spans="1:32" s="1" customFormat="1" ht="29">
      <c r="A699" s="1184"/>
      <c r="B699" s="147" t="s">
        <v>44</v>
      </c>
      <c r="C699" s="250" t="s">
        <v>3181</v>
      </c>
      <c r="D699" s="5" t="s">
        <v>32</v>
      </c>
      <c r="E699" s="5"/>
      <c r="F699" s="5"/>
      <c r="G699" s="5"/>
      <c r="H699" s="5" t="s">
        <v>33</v>
      </c>
      <c r="I699" s="12" t="s">
        <v>34</v>
      </c>
      <c r="J699" s="16" t="s">
        <v>3182</v>
      </c>
      <c r="K699" s="16"/>
      <c r="L699" s="16"/>
      <c r="M699" s="182">
        <v>43556</v>
      </c>
      <c r="N699" s="182"/>
      <c r="O699" s="182">
        <v>43922</v>
      </c>
      <c r="P699" s="12">
        <v>48</v>
      </c>
      <c r="Q699" s="13" t="s">
        <v>656</v>
      </c>
      <c r="R699" s="18">
        <v>147961</v>
      </c>
      <c r="S699" s="5" t="s">
        <v>130</v>
      </c>
      <c r="T699" s="27" t="s">
        <v>38</v>
      </c>
      <c r="U699" s="4"/>
      <c r="V699" s="4"/>
      <c r="W699" s="12" t="s">
        <v>2474</v>
      </c>
      <c r="X699" s="5" t="s">
        <v>413</v>
      </c>
      <c r="Y699" s="5" t="s">
        <v>727</v>
      </c>
      <c r="Z699" s="5"/>
      <c r="AA699" s="7"/>
      <c r="AB699" s="2759">
        <v>43766</v>
      </c>
      <c r="AC699" s="8" t="s">
        <v>3183</v>
      </c>
      <c r="AE699" s="164"/>
    </row>
    <row r="700" spans="1:32" s="1" customFormat="1" ht="58">
      <c r="A700" s="1184"/>
      <c r="B700" s="147" t="s">
        <v>44</v>
      </c>
      <c r="C700" s="72" t="s">
        <v>3184</v>
      </c>
      <c r="D700" s="5" t="s">
        <v>32</v>
      </c>
      <c r="E700" s="5"/>
      <c r="F700" s="5"/>
      <c r="G700" s="5"/>
      <c r="H700" s="5" t="s">
        <v>80</v>
      </c>
      <c r="I700" s="5" t="s">
        <v>47</v>
      </c>
      <c r="J700" s="16" t="s">
        <v>1951</v>
      </c>
      <c r="K700" s="16"/>
      <c r="L700" s="16"/>
      <c r="M700" s="182">
        <v>43570</v>
      </c>
      <c r="N700" s="182"/>
      <c r="O700" s="182">
        <v>43922</v>
      </c>
      <c r="P700" s="12">
        <v>24</v>
      </c>
      <c r="Q700" s="25" t="s">
        <v>391</v>
      </c>
      <c r="R700" s="18">
        <v>4550000</v>
      </c>
      <c r="S700" s="2797" t="s">
        <v>91</v>
      </c>
      <c r="T700" s="26" t="s">
        <v>70</v>
      </c>
      <c r="U700" s="182">
        <v>43916</v>
      </c>
      <c r="V700" s="182"/>
      <c r="W700" s="5" t="s">
        <v>3185</v>
      </c>
      <c r="X700" s="5" t="s">
        <v>86</v>
      </c>
      <c r="Y700" s="5" t="s">
        <v>40</v>
      </c>
      <c r="Z700" s="5"/>
      <c r="AA700" s="5"/>
      <c r="AB700" s="199">
        <v>43928</v>
      </c>
      <c r="AC700" s="8" t="s">
        <v>89</v>
      </c>
      <c r="AD700" s="76" t="s">
        <v>80</v>
      </c>
      <c r="AE700" s="224"/>
    </row>
    <row r="701" spans="1:32" s="1" customFormat="1" ht="58">
      <c r="A701" s="1184"/>
      <c r="B701" s="147" t="s">
        <v>44</v>
      </c>
      <c r="C701" s="72" t="s">
        <v>3186</v>
      </c>
      <c r="D701" s="9" t="s">
        <v>57</v>
      </c>
      <c r="E701" s="9"/>
      <c r="F701" s="9"/>
      <c r="G701" s="9"/>
      <c r="H701" s="5" t="s">
        <v>46</v>
      </c>
      <c r="I701" s="12" t="s">
        <v>47</v>
      </c>
      <c r="J701" s="16" t="s">
        <v>3187</v>
      </c>
      <c r="K701" s="16"/>
      <c r="L701" s="16"/>
      <c r="M701" s="182">
        <v>43586</v>
      </c>
      <c r="N701" s="182"/>
      <c r="O701" s="182">
        <v>43922</v>
      </c>
      <c r="P701" s="78">
        <v>48</v>
      </c>
      <c r="Q701" s="78">
        <v>48</v>
      </c>
      <c r="R701" s="18" t="s">
        <v>3188</v>
      </c>
      <c r="S701" s="182" t="s">
        <v>91</v>
      </c>
      <c r="T701" s="167" t="s">
        <v>70</v>
      </c>
      <c r="U701" s="4"/>
      <c r="V701" s="4"/>
      <c r="W701" s="5" t="s">
        <v>3189</v>
      </c>
      <c r="X701" s="5" t="s">
        <v>715</v>
      </c>
      <c r="Y701" s="5" t="s">
        <v>40</v>
      </c>
      <c r="Z701" s="5"/>
      <c r="AA701" s="12"/>
      <c r="AB701" s="199">
        <v>43839</v>
      </c>
      <c r="AC701" s="33" t="s">
        <v>3190</v>
      </c>
      <c r="AE701" s="164" t="s">
        <v>3188</v>
      </c>
    </row>
    <row r="702" spans="1:32" s="1" customFormat="1" ht="87">
      <c r="A702" s="1184"/>
      <c r="B702" s="147" t="s">
        <v>44</v>
      </c>
      <c r="C702" s="72"/>
      <c r="D702" s="9" t="s">
        <v>32</v>
      </c>
      <c r="E702" s="9"/>
      <c r="F702" s="9"/>
      <c r="G702" s="9"/>
      <c r="H702" s="5" t="s">
        <v>33</v>
      </c>
      <c r="I702" s="5" t="s">
        <v>47</v>
      </c>
      <c r="J702" s="16" t="s">
        <v>1998</v>
      </c>
      <c r="K702" s="16"/>
      <c r="L702" s="16"/>
      <c r="M702" s="182">
        <v>43617</v>
      </c>
      <c r="N702" s="182"/>
      <c r="O702" s="182">
        <v>43922</v>
      </c>
      <c r="P702" s="12">
        <v>48</v>
      </c>
      <c r="Q702" s="13" t="s">
        <v>215</v>
      </c>
      <c r="R702" s="18">
        <v>85000</v>
      </c>
      <c r="S702" s="5" t="s">
        <v>2110</v>
      </c>
      <c r="T702" s="167" t="s">
        <v>62</v>
      </c>
      <c r="U702" s="4"/>
      <c r="V702" s="4"/>
      <c r="W702" s="5" t="s">
        <v>3191</v>
      </c>
      <c r="X702" s="46" t="s">
        <v>413</v>
      </c>
      <c r="Y702" s="5" t="s">
        <v>115</v>
      </c>
      <c r="Z702" s="5"/>
      <c r="AA702" s="5"/>
      <c r="AB702" s="199">
        <v>43801</v>
      </c>
      <c r="AC702" s="84" t="s">
        <v>3192</v>
      </c>
      <c r="AD702"/>
      <c r="AE702" s="224">
        <v>20471</v>
      </c>
      <c r="AF702" s="2799"/>
    </row>
    <row r="703" spans="1:32" s="1" customFormat="1" ht="57.65" customHeight="1">
      <c r="A703" s="1184"/>
      <c r="B703" s="147" t="s">
        <v>44</v>
      </c>
      <c r="C703" s="72" t="s">
        <v>2332</v>
      </c>
      <c r="D703" s="5" t="s">
        <v>122</v>
      </c>
      <c r="E703" s="5"/>
      <c r="F703" s="5"/>
      <c r="G703" s="5"/>
      <c r="H703" s="5" t="s">
        <v>33</v>
      </c>
      <c r="I703" s="5" t="s">
        <v>34</v>
      </c>
      <c r="J703" s="16" t="s">
        <v>3193</v>
      </c>
      <c r="K703" s="16"/>
      <c r="L703" s="16"/>
      <c r="M703" s="182">
        <v>43617</v>
      </c>
      <c r="N703" s="182"/>
      <c r="O703" s="182">
        <v>43922</v>
      </c>
      <c r="P703" s="12">
        <v>12</v>
      </c>
      <c r="Q703" s="27">
        <v>12</v>
      </c>
      <c r="R703" s="18">
        <v>139356.47</v>
      </c>
      <c r="S703" s="31" t="s">
        <v>529</v>
      </c>
      <c r="T703" s="26" t="s">
        <v>62</v>
      </c>
      <c r="U703" s="4"/>
      <c r="V703" s="4"/>
      <c r="W703" s="5" t="s">
        <v>142</v>
      </c>
      <c r="X703" s="46" t="s">
        <v>543</v>
      </c>
      <c r="Y703" s="5" t="s">
        <v>40</v>
      </c>
      <c r="Z703" s="5"/>
      <c r="AA703" s="5"/>
      <c r="AB703" s="199">
        <v>43893</v>
      </c>
      <c r="AC703" s="8" t="s">
        <v>3194</v>
      </c>
      <c r="AE703" s="164">
        <v>24935</v>
      </c>
      <c r="AF703" s="2799"/>
    </row>
    <row r="704" spans="1:32" s="1" customFormat="1" ht="43.4" customHeight="1">
      <c r="A704" s="2756"/>
      <c r="B704" s="147" t="s">
        <v>44</v>
      </c>
      <c r="C704" s="72" t="s">
        <v>3195</v>
      </c>
      <c r="D704" s="5" t="s">
        <v>32</v>
      </c>
      <c r="E704" s="5"/>
      <c r="F704" s="5"/>
      <c r="G704" s="5"/>
      <c r="H704" s="5" t="s">
        <v>33</v>
      </c>
      <c r="I704" s="5" t="s">
        <v>47</v>
      </c>
      <c r="J704" s="16" t="s">
        <v>3196</v>
      </c>
      <c r="K704" s="8"/>
      <c r="L704" s="8"/>
      <c r="M704" s="14">
        <v>43617</v>
      </c>
      <c r="N704" s="14"/>
      <c r="O704" s="14">
        <v>43922</v>
      </c>
      <c r="P704" s="12">
        <v>12</v>
      </c>
      <c r="Q704" s="26">
        <v>12</v>
      </c>
      <c r="R704" s="18">
        <v>28252</v>
      </c>
      <c r="S704" s="31" t="s">
        <v>84</v>
      </c>
      <c r="T704" s="26" t="s">
        <v>38</v>
      </c>
      <c r="U704" s="4"/>
      <c r="V704" s="4"/>
      <c r="W704" s="5" t="s">
        <v>2490</v>
      </c>
      <c r="X704" s="46" t="s">
        <v>86</v>
      </c>
      <c r="Y704" s="5" t="s">
        <v>40</v>
      </c>
      <c r="Z704" s="5"/>
      <c r="AA704" s="5"/>
      <c r="AB704" s="199">
        <v>43901</v>
      </c>
      <c r="AC704" s="8" t="s">
        <v>267</v>
      </c>
      <c r="AD704" s="76" t="s">
        <v>3120</v>
      </c>
      <c r="AE704" s="223">
        <v>28252</v>
      </c>
    </row>
    <row r="705" spans="1:32" s="35" customFormat="1" ht="188.5">
      <c r="A705" s="1184"/>
      <c r="B705" s="464" t="s">
        <v>100</v>
      </c>
      <c r="C705" s="470"/>
      <c r="D705" s="402" t="s">
        <v>110</v>
      </c>
      <c r="E705" s="402"/>
      <c r="F705" s="402"/>
      <c r="G705" s="402"/>
      <c r="H705" s="402" t="s">
        <v>116</v>
      </c>
      <c r="I705" s="402" t="s">
        <v>34</v>
      </c>
      <c r="J705" s="1584" t="s">
        <v>451</v>
      </c>
      <c r="K705" s="402"/>
      <c r="L705" s="402"/>
      <c r="M705" s="374">
        <v>43647</v>
      </c>
      <c r="N705" s="402"/>
      <c r="O705" s="374">
        <v>43922</v>
      </c>
      <c r="P705" s="403">
        <v>120</v>
      </c>
      <c r="Q705" s="403" t="s">
        <v>171</v>
      </c>
      <c r="R705" s="404">
        <v>449658</v>
      </c>
      <c r="S705" s="405" t="s">
        <v>130</v>
      </c>
      <c r="T705" s="478" t="s">
        <v>45</v>
      </c>
      <c r="U705" s="405"/>
      <c r="V705" s="405"/>
      <c r="W705" s="402" t="s">
        <v>3080</v>
      </c>
      <c r="X705" s="402" t="s">
        <v>120</v>
      </c>
      <c r="Y705" s="402" t="s">
        <v>115</v>
      </c>
      <c r="Z705" s="402"/>
      <c r="AA705" s="406" t="s">
        <v>38</v>
      </c>
      <c r="AB705" s="407">
        <v>43962</v>
      </c>
      <c r="AC705" s="408" t="s">
        <v>3197</v>
      </c>
      <c r="AD705" s="409"/>
      <c r="AE705" s="499"/>
      <c r="AF705" s="1"/>
    </row>
    <row r="706" spans="1:32" s="1" customFormat="1" ht="29">
      <c r="A706" s="1184"/>
      <c r="B706" s="464" t="s">
        <v>100</v>
      </c>
      <c r="C706" s="470"/>
      <c r="D706" s="402" t="s">
        <v>110</v>
      </c>
      <c r="E706" s="402"/>
      <c r="F706" s="402"/>
      <c r="G706" s="402"/>
      <c r="H706" s="402" t="s">
        <v>103</v>
      </c>
      <c r="I706" s="402" t="s">
        <v>34</v>
      </c>
      <c r="J706" s="1584" t="s">
        <v>3198</v>
      </c>
      <c r="K706" s="402"/>
      <c r="L706" s="402"/>
      <c r="M706" s="374">
        <v>43647</v>
      </c>
      <c r="N706" s="402"/>
      <c r="O706" s="374">
        <v>43922</v>
      </c>
      <c r="P706" s="403">
        <v>30</v>
      </c>
      <c r="Q706" s="403" t="s">
        <v>3199</v>
      </c>
      <c r="R706" s="404">
        <v>58951.5</v>
      </c>
      <c r="S706" s="404" t="s">
        <v>176</v>
      </c>
      <c r="T706" s="478" t="s">
        <v>38</v>
      </c>
      <c r="U706" s="405" t="s">
        <v>71</v>
      </c>
      <c r="V706" s="405"/>
      <c r="W706" s="422" t="s">
        <v>3200</v>
      </c>
      <c r="X706" s="402" t="s">
        <v>120</v>
      </c>
      <c r="Y706" s="402" t="s">
        <v>115</v>
      </c>
      <c r="Z706" s="402"/>
      <c r="AA706" s="406" t="s">
        <v>70</v>
      </c>
      <c r="AB706" s="407">
        <v>43962</v>
      </c>
      <c r="AC706" s="408" t="s">
        <v>3201</v>
      </c>
      <c r="AD706" s="409"/>
      <c r="AE706" s="499"/>
    </row>
    <row r="707" spans="1:32" s="1" customFormat="1" ht="58">
      <c r="A707" s="1184"/>
      <c r="B707" s="147" t="s">
        <v>44</v>
      </c>
      <c r="C707" s="72" t="s">
        <v>3202</v>
      </c>
      <c r="D707" s="5" t="s">
        <v>57</v>
      </c>
      <c r="E707" s="5"/>
      <c r="F707" s="5"/>
      <c r="G707" s="5"/>
      <c r="H707" s="2751" t="s">
        <v>165</v>
      </c>
      <c r="I707" s="2751" t="s">
        <v>47</v>
      </c>
      <c r="J707" s="2752" t="s">
        <v>3203</v>
      </c>
      <c r="K707" s="2752"/>
      <c r="L707" s="2752"/>
      <c r="M707" s="14">
        <v>43647</v>
      </c>
      <c r="N707" s="14"/>
      <c r="O707" s="14">
        <v>43922</v>
      </c>
      <c r="P707" s="2763">
        <v>48</v>
      </c>
      <c r="Q707" s="2751" t="s">
        <v>215</v>
      </c>
      <c r="R707" s="18">
        <v>22217516.18</v>
      </c>
      <c r="S707" s="2751" t="s">
        <v>91</v>
      </c>
      <c r="T707" s="2886" t="s">
        <v>70</v>
      </c>
      <c r="U707" s="4"/>
      <c r="V707" s="4"/>
      <c r="W707" s="2751" t="s">
        <v>167</v>
      </c>
      <c r="X707" s="5" t="s">
        <v>543</v>
      </c>
      <c r="Y707" s="5" t="s">
        <v>40</v>
      </c>
      <c r="Z707" s="5"/>
      <c r="AA707" s="5"/>
      <c r="AB707" s="199">
        <v>43872</v>
      </c>
      <c r="AC707" s="8" t="s">
        <v>2678</v>
      </c>
      <c r="AD707"/>
      <c r="AE707" s="223" t="s">
        <v>3204</v>
      </c>
    </row>
    <row r="708" spans="1:32" s="35" customFormat="1" ht="43.5">
      <c r="A708" s="1184"/>
      <c r="B708" s="464" t="s">
        <v>100</v>
      </c>
      <c r="C708" s="470"/>
      <c r="D708" s="402" t="s">
        <v>122</v>
      </c>
      <c r="E708" s="402"/>
      <c r="F708" s="402"/>
      <c r="G708" s="402"/>
      <c r="H708" s="402" t="s">
        <v>103</v>
      </c>
      <c r="I708" s="402" t="s">
        <v>34</v>
      </c>
      <c r="J708" s="1584" t="s">
        <v>3205</v>
      </c>
      <c r="K708" s="402"/>
      <c r="L708" s="402"/>
      <c r="M708" s="374">
        <v>43678</v>
      </c>
      <c r="N708" s="402"/>
      <c r="O708" s="374">
        <v>43922</v>
      </c>
      <c r="P708" s="375">
        <v>36</v>
      </c>
      <c r="Q708" s="375" t="s">
        <v>3206</v>
      </c>
      <c r="R708" s="404">
        <v>174000</v>
      </c>
      <c r="S708" s="404" t="s">
        <v>51</v>
      </c>
      <c r="T708" s="478" t="s">
        <v>38</v>
      </c>
      <c r="U708" s="405" t="s">
        <v>71</v>
      </c>
      <c r="V708" s="405"/>
      <c r="W708" s="402" t="s">
        <v>3207</v>
      </c>
      <c r="X708" s="402" t="s">
        <v>120</v>
      </c>
      <c r="Y708" s="402" t="s">
        <v>727</v>
      </c>
      <c r="Z708" s="402"/>
      <c r="AA708" s="406" t="s">
        <v>70</v>
      </c>
      <c r="AB708" s="407">
        <v>43902</v>
      </c>
      <c r="AC708" s="408" t="s">
        <v>3208</v>
      </c>
      <c r="AD708" s="409"/>
      <c r="AE708" s="499"/>
      <c r="AF708" s="1"/>
    </row>
    <row r="709" spans="1:32" s="1" customFormat="1" ht="29">
      <c r="A709" s="1184"/>
      <c r="B709" s="464" t="s">
        <v>100</v>
      </c>
      <c r="C709" s="470"/>
      <c r="D709" s="402" t="s">
        <v>122</v>
      </c>
      <c r="E709" s="402"/>
      <c r="F709" s="402"/>
      <c r="G709" s="402"/>
      <c r="H709" s="402" t="s">
        <v>103</v>
      </c>
      <c r="I709" s="402" t="s">
        <v>34</v>
      </c>
      <c r="J709" s="1584" t="s">
        <v>3209</v>
      </c>
      <c r="K709" s="402"/>
      <c r="L709" s="402"/>
      <c r="M709" s="374">
        <v>43678</v>
      </c>
      <c r="N709" s="402"/>
      <c r="O709" s="374">
        <v>43922</v>
      </c>
      <c r="P709" s="375">
        <v>60</v>
      </c>
      <c r="Q709" s="375" t="s">
        <v>187</v>
      </c>
      <c r="R709" s="404">
        <v>1548915</v>
      </c>
      <c r="S709" s="404" t="s">
        <v>130</v>
      </c>
      <c r="T709" s="478" t="s">
        <v>70</v>
      </c>
      <c r="U709" s="405" t="s">
        <v>45</v>
      </c>
      <c r="V709" s="405"/>
      <c r="W709" s="402" t="s">
        <v>3207</v>
      </c>
      <c r="X709" s="402" t="s">
        <v>120</v>
      </c>
      <c r="Y709" s="402" t="s">
        <v>727</v>
      </c>
      <c r="Z709" s="402"/>
      <c r="AA709" s="406" t="s">
        <v>70</v>
      </c>
      <c r="AB709" s="407">
        <v>43900</v>
      </c>
      <c r="AC709" s="408" t="s">
        <v>3210</v>
      </c>
      <c r="AD709" s="409"/>
      <c r="AE709" s="499"/>
    </row>
    <row r="710" spans="1:32" s="1" customFormat="1" ht="29">
      <c r="A710" s="1184"/>
      <c r="B710" s="464" t="s">
        <v>100</v>
      </c>
      <c r="C710" s="470"/>
      <c r="D710" s="975" t="s">
        <v>110</v>
      </c>
      <c r="E710" s="975"/>
      <c r="F710" s="975"/>
      <c r="G710" s="975"/>
      <c r="H710" s="424" t="s">
        <v>116</v>
      </c>
      <c r="I710" s="424" t="s">
        <v>47</v>
      </c>
      <c r="J710" s="408" t="s">
        <v>3211</v>
      </c>
      <c r="K710" s="408"/>
      <c r="L710" s="408"/>
      <c r="M710" s="425">
        <v>43725</v>
      </c>
      <c r="N710" s="408"/>
      <c r="O710" s="425">
        <v>43922</v>
      </c>
      <c r="P710" s="403">
        <v>18</v>
      </c>
      <c r="Q710" s="403">
        <v>18</v>
      </c>
      <c r="R710" s="426">
        <v>770000</v>
      </c>
      <c r="S710" s="403" t="s">
        <v>176</v>
      </c>
      <c r="T710" s="476" t="s">
        <v>70</v>
      </c>
      <c r="U710" s="425">
        <v>43782</v>
      </c>
      <c r="V710" s="425"/>
      <c r="W710" s="408" t="s">
        <v>566</v>
      </c>
      <c r="X710" s="408" t="s">
        <v>413</v>
      </c>
      <c r="Y710" s="408" t="s">
        <v>727</v>
      </c>
      <c r="Z710" s="408"/>
      <c r="AA710" s="410"/>
      <c r="AB710" s="415">
        <v>43992</v>
      </c>
      <c r="AC710" s="408" t="s">
        <v>3212</v>
      </c>
      <c r="AD710" s="409"/>
      <c r="AE710" s="499"/>
      <c r="AF710" s="35"/>
    </row>
    <row r="711" spans="1:32" s="1" customFormat="1" ht="29">
      <c r="A711" s="1184"/>
      <c r="B711" s="464" t="s">
        <v>100</v>
      </c>
      <c r="C711" s="470"/>
      <c r="D711" s="975" t="s">
        <v>110</v>
      </c>
      <c r="E711" s="975"/>
      <c r="F711" s="975"/>
      <c r="G711" s="975"/>
      <c r="H711" s="424" t="s">
        <v>116</v>
      </c>
      <c r="I711" s="424" t="s">
        <v>34</v>
      </c>
      <c r="J711" s="408" t="s">
        <v>3213</v>
      </c>
      <c r="K711" s="408"/>
      <c r="L711" s="408"/>
      <c r="M711" s="425">
        <v>43725</v>
      </c>
      <c r="N711" s="408"/>
      <c r="O711" s="425">
        <v>43922</v>
      </c>
      <c r="P711" s="403">
        <v>24</v>
      </c>
      <c r="Q711" s="403" t="s">
        <v>1345</v>
      </c>
      <c r="R711" s="426" t="s">
        <v>3214</v>
      </c>
      <c r="S711" s="403" t="s">
        <v>84</v>
      </c>
      <c r="T711" s="476" t="s">
        <v>38</v>
      </c>
      <c r="U711" s="405" t="s">
        <v>71</v>
      </c>
      <c r="V711" s="405"/>
      <c r="W711" s="408" t="s">
        <v>566</v>
      </c>
      <c r="X711" s="408" t="s">
        <v>413</v>
      </c>
      <c r="Y711" s="408" t="s">
        <v>727</v>
      </c>
      <c r="Z711" s="408"/>
      <c r="AA711" s="410"/>
      <c r="AB711" s="415">
        <v>43992</v>
      </c>
      <c r="AC711" s="408" t="s">
        <v>3215</v>
      </c>
      <c r="AD711" s="409"/>
      <c r="AE711" s="499"/>
    </row>
    <row r="712" spans="1:32" s="1" customFormat="1" ht="29">
      <c r="A712" s="1184"/>
      <c r="B712" s="464" t="s">
        <v>100</v>
      </c>
      <c r="C712" s="470"/>
      <c r="D712" s="402" t="s">
        <v>193</v>
      </c>
      <c r="E712" s="402"/>
      <c r="F712" s="402"/>
      <c r="G712" s="402"/>
      <c r="H712" s="402" t="s">
        <v>116</v>
      </c>
      <c r="I712" s="402" t="s">
        <v>34</v>
      </c>
      <c r="J712" s="1584" t="s">
        <v>194</v>
      </c>
      <c r="K712" s="402"/>
      <c r="L712" s="402"/>
      <c r="M712" s="374">
        <v>43739</v>
      </c>
      <c r="N712" s="402"/>
      <c r="O712" s="374">
        <v>43922</v>
      </c>
      <c r="P712" s="376">
        <v>6</v>
      </c>
      <c r="Q712" s="475">
        <v>6</v>
      </c>
      <c r="R712" s="377">
        <v>300000</v>
      </c>
      <c r="S712" s="404" t="s">
        <v>84</v>
      </c>
      <c r="T712" s="478" t="s">
        <v>70</v>
      </c>
      <c r="U712" s="412" t="s">
        <v>45</v>
      </c>
      <c r="V712" s="412"/>
      <c r="W712" s="402" t="s">
        <v>2886</v>
      </c>
      <c r="X712" s="402" t="s">
        <v>108</v>
      </c>
      <c r="Y712" s="402" t="s">
        <v>727</v>
      </c>
      <c r="Z712" s="402"/>
      <c r="AA712" s="406"/>
      <c r="AB712" s="407">
        <v>43864</v>
      </c>
      <c r="AC712" s="408" t="s">
        <v>3216</v>
      </c>
      <c r="AD712" s="409"/>
      <c r="AE712" s="499"/>
    </row>
    <row r="713" spans="1:32" s="1" customFormat="1" ht="29.15" customHeight="1">
      <c r="A713" s="1184"/>
      <c r="B713" s="147" t="s">
        <v>44</v>
      </c>
      <c r="C713" s="72" t="s">
        <v>3217</v>
      </c>
      <c r="D713" s="5" t="s">
        <v>32</v>
      </c>
      <c r="E713" s="5"/>
      <c r="F713" s="5"/>
      <c r="G713" s="5"/>
      <c r="H713" s="5" t="s">
        <v>33</v>
      </c>
      <c r="I713" s="5" t="s">
        <v>34</v>
      </c>
      <c r="J713" s="16" t="s">
        <v>3218</v>
      </c>
      <c r="K713" s="8"/>
      <c r="L713" s="8"/>
      <c r="M713" s="182">
        <v>43770</v>
      </c>
      <c r="N713" s="182"/>
      <c r="O713" s="182">
        <v>43922</v>
      </c>
      <c r="P713" s="12">
        <v>24</v>
      </c>
      <c r="Q713" s="25" t="s">
        <v>36</v>
      </c>
      <c r="R713" s="41">
        <v>23137.5</v>
      </c>
      <c r="S713" s="41" t="s">
        <v>130</v>
      </c>
      <c r="T713" s="164" t="s">
        <v>38</v>
      </c>
      <c r="U713" s="4"/>
      <c r="V713" s="4"/>
      <c r="W713" s="5" t="s">
        <v>2558</v>
      </c>
      <c r="X713" s="5" t="s">
        <v>39</v>
      </c>
      <c r="Y713" s="5" t="s">
        <v>40</v>
      </c>
      <c r="Z713" s="5"/>
      <c r="AA713" s="120"/>
      <c r="AB713" s="199"/>
      <c r="AC713" s="8" t="s">
        <v>3219</v>
      </c>
      <c r="AE713" s="164" t="s">
        <v>2560</v>
      </c>
      <c r="AF713" s="35"/>
    </row>
    <row r="714" spans="1:32" s="1" customFormat="1" ht="29.15" customHeight="1">
      <c r="A714" s="1184"/>
      <c r="B714" s="147" t="s">
        <v>44</v>
      </c>
      <c r="C714" s="72" t="s">
        <v>3220</v>
      </c>
      <c r="D714" s="5" t="s">
        <v>32</v>
      </c>
      <c r="E714" s="5"/>
      <c r="F714" s="5"/>
      <c r="G714" s="5"/>
      <c r="H714" s="5" t="s">
        <v>33</v>
      </c>
      <c r="I714" s="12" t="s">
        <v>47</v>
      </c>
      <c r="J714" s="16" t="s">
        <v>1403</v>
      </c>
      <c r="K714" s="16"/>
      <c r="L714" s="16"/>
      <c r="M714" s="182">
        <v>43770</v>
      </c>
      <c r="N714" s="182"/>
      <c r="O714" s="182">
        <v>43922</v>
      </c>
      <c r="P714" s="12">
        <v>36</v>
      </c>
      <c r="Q714" s="28" t="s">
        <v>98</v>
      </c>
      <c r="R714" s="18">
        <v>10000</v>
      </c>
      <c r="S714" s="31" t="s">
        <v>37</v>
      </c>
      <c r="T714" s="26" t="s">
        <v>38</v>
      </c>
      <c r="U714" s="4"/>
      <c r="V714" s="4"/>
      <c r="W714" s="5" t="s">
        <v>3221</v>
      </c>
      <c r="X714" s="5" t="s">
        <v>2179</v>
      </c>
      <c r="Y714" s="5" t="s">
        <v>115</v>
      </c>
      <c r="Z714" s="5"/>
      <c r="AA714" s="26"/>
      <c r="AB714" s="2882">
        <v>43803</v>
      </c>
      <c r="AC714" s="8" t="s">
        <v>3222</v>
      </c>
      <c r="AD714"/>
      <c r="AE714" s="224"/>
    </row>
    <row r="715" spans="1:32" s="1" customFormat="1" ht="174">
      <c r="A715" s="1184"/>
      <c r="B715" s="147" t="s">
        <v>44</v>
      </c>
      <c r="C715" s="972" t="s">
        <v>146</v>
      </c>
      <c r="D715" s="9" t="s">
        <v>32</v>
      </c>
      <c r="E715" s="9"/>
      <c r="F715" s="9"/>
      <c r="G715" s="9"/>
      <c r="H715" s="5" t="s">
        <v>33</v>
      </c>
      <c r="I715" s="2763" t="s">
        <v>34</v>
      </c>
      <c r="J715" s="2752" t="s">
        <v>147</v>
      </c>
      <c r="K715" s="2758"/>
      <c r="L715" s="2758"/>
      <c r="M715" s="2764">
        <v>43770</v>
      </c>
      <c r="N715" s="2764"/>
      <c r="O715" s="2764">
        <v>43922</v>
      </c>
      <c r="P715" s="2763">
        <v>48</v>
      </c>
      <c r="Q715" s="2751" t="s">
        <v>3223</v>
      </c>
      <c r="R715" s="18">
        <v>200000</v>
      </c>
      <c r="S715" s="5" t="s">
        <v>130</v>
      </c>
      <c r="T715" s="171" t="s">
        <v>62</v>
      </c>
      <c r="U715" s="4"/>
      <c r="V715" s="4"/>
      <c r="W715" s="2763" t="s">
        <v>2521</v>
      </c>
      <c r="X715" s="5" t="s">
        <v>39</v>
      </c>
      <c r="Y715" s="5" t="s">
        <v>40</v>
      </c>
      <c r="Z715" s="5"/>
      <c r="AA715" s="2763"/>
      <c r="AB715" s="2759">
        <v>43910</v>
      </c>
      <c r="AC715" s="33" t="s">
        <v>3224</v>
      </c>
      <c r="AD715" s="76" t="s">
        <v>3120</v>
      </c>
      <c r="AE715" s="2867">
        <v>50000</v>
      </c>
    </row>
    <row r="716" spans="1:32" s="1" customFormat="1" ht="86.9" customHeight="1">
      <c r="A716" s="1184"/>
      <c r="B716" s="147" t="s">
        <v>44</v>
      </c>
      <c r="C716" s="72" t="s">
        <v>3225</v>
      </c>
      <c r="D716" s="5" t="s">
        <v>32</v>
      </c>
      <c r="E716" s="5"/>
      <c r="F716" s="5"/>
      <c r="G716" s="5"/>
      <c r="H716" s="5" t="s">
        <v>33</v>
      </c>
      <c r="I716" s="5" t="s">
        <v>47</v>
      </c>
      <c r="J716" s="16" t="s">
        <v>2546</v>
      </c>
      <c r="K716" s="16"/>
      <c r="L716" s="16"/>
      <c r="M716" s="182">
        <v>43800</v>
      </c>
      <c r="N716" s="182"/>
      <c r="O716" s="182">
        <v>43922</v>
      </c>
      <c r="P716" s="12">
        <v>12</v>
      </c>
      <c r="Q716" s="25" t="s">
        <v>50</v>
      </c>
      <c r="R716" s="18">
        <v>640</v>
      </c>
      <c r="S716" s="31" t="s">
        <v>37</v>
      </c>
      <c r="T716" s="26" t="s">
        <v>38</v>
      </c>
      <c r="U716" s="173"/>
      <c r="V716" s="173"/>
      <c r="W716" s="5" t="s">
        <v>2547</v>
      </c>
      <c r="X716" s="2751" t="s">
        <v>2179</v>
      </c>
      <c r="Y716" s="5" t="s">
        <v>40</v>
      </c>
      <c r="Z716" s="5"/>
      <c r="AA716" s="12"/>
      <c r="AB716" s="199">
        <v>43839</v>
      </c>
      <c r="AC716" s="84" t="s">
        <v>3226</v>
      </c>
      <c r="AD716"/>
      <c r="AE716" s="224"/>
    </row>
    <row r="717" spans="1:32" s="1" customFormat="1" ht="29">
      <c r="A717" s="1184"/>
      <c r="B717" s="147" t="s">
        <v>44</v>
      </c>
      <c r="C717" s="2881"/>
      <c r="D717" s="2751" t="s">
        <v>32</v>
      </c>
      <c r="E717" s="2751"/>
      <c r="F717" s="2751"/>
      <c r="G717" s="2751"/>
      <c r="H717" s="5" t="s">
        <v>127</v>
      </c>
      <c r="I717" s="2751" t="s">
        <v>47</v>
      </c>
      <c r="J717" s="2752" t="s">
        <v>135</v>
      </c>
      <c r="K717" s="2758"/>
      <c r="L717" s="2758"/>
      <c r="M717" s="2759">
        <v>43804</v>
      </c>
      <c r="N717" s="2759"/>
      <c r="O717" s="2759">
        <v>43922</v>
      </c>
      <c r="P717" s="12">
        <v>48</v>
      </c>
      <c r="Q717" s="2753" t="s">
        <v>215</v>
      </c>
      <c r="R717" s="18">
        <v>100000</v>
      </c>
      <c r="S717" s="199" t="s">
        <v>45</v>
      </c>
      <c r="T717" s="26" t="s">
        <v>38</v>
      </c>
      <c r="U717" s="14" t="s">
        <v>67</v>
      </c>
      <c r="V717" s="14"/>
      <c r="W717" s="5" t="s">
        <v>137</v>
      </c>
      <c r="X717" s="2751" t="s">
        <v>2179</v>
      </c>
      <c r="Y717" s="2751" t="s">
        <v>40</v>
      </c>
      <c r="Z717" s="2751"/>
      <c r="AA717" s="2758"/>
      <c r="AB717" s="199">
        <v>43983</v>
      </c>
      <c r="AC717" s="2758" t="s">
        <v>3227</v>
      </c>
      <c r="AD717" s="76" t="s">
        <v>2268</v>
      </c>
      <c r="AE717" s="2881"/>
    </row>
    <row r="718" spans="1:32" s="3" customFormat="1" ht="101.5">
      <c r="A718" s="1184"/>
      <c r="B718" s="147" t="s">
        <v>44</v>
      </c>
      <c r="C718" s="72"/>
      <c r="D718" s="9" t="s">
        <v>32</v>
      </c>
      <c r="E718" s="9"/>
      <c r="F718" s="9"/>
      <c r="G718" s="9"/>
      <c r="H718" s="5" t="s">
        <v>502</v>
      </c>
      <c r="I718" s="5" t="s">
        <v>34</v>
      </c>
      <c r="J718" s="16" t="s">
        <v>503</v>
      </c>
      <c r="K718" s="16"/>
      <c r="L718" s="16"/>
      <c r="M718" s="182">
        <v>43831</v>
      </c>
      <c r="N718" s="182"/>
      <c r="O718" s="182">
        <v>43922</v>
      </c>
      <c r="P718" s="12">
        <v>12</v>
      </c>
      <c r="Q718" s="27">
        <v>12</v>
      </c>
      <c r="R718" s="18">
        <v>33600</v>
      </c>
      <c r="S718" s="20" t="s">
        <v>130</v>
      </c>
      <c r="T718" s="170" t="s">
        <v>45</v>
      </c>
      <c r="U718" s="4"/>
      <c r="V718" s="4"/>
      <c r="W718" s="5" t="s">
        <v>504</v>
      </c>
      <c r="X718" s="5" t="s">
        <v>39</v>
      </c>
      <c r="Y718" s="5" t="s">
        <v>40</v>
      </c>
      <c r="Z718" s="5"/>
      <c r="AA718" s="26"/>
      <c r="AB718" s="45"/>
      <c r="AC718" s="8" t="s">
        <v>3228</v>
      </c>
      <c r="AD718" s="1"/>
      <c r="AE718" s="224">
        <v>33600</v>
      </c>
      <c r="AF718" s="1"/>
    </row>
    <row r="719" spans="1:32" s="1" customFormat="1" ht="29">
      <c r="A719" s="1184"/>
      <c r="B719" s="147" t="s">
        <v>44</v>
      </c>
      <c r="C719" s="72" t="s">
        <v>3229</v>
      </c>
      <c r="D719" s="9" t="s">
        <v>32</v>
      </c>
      <c r="E719" s="9"/>
      <c r="F719" s="9"/>
      <c r="G719" s="9"/>
      <c r="H719" s="5" t="s">
        <v>304</v>
      </c>
      <c r="I719" s="12" t="s">
        <v>47</v>
      </c>
      <c r="J719" s="16" t="s">
        <v>3230</v>
      </c>
      <c r="K719" s="8"/>
      <c r="L719" s="8"/>
      <c r="M719" s="182">
        <v>43836</v>
      </c>
      <c r="N719" s="182"/>
      <c r="O719" s="182">
        <v>43922</v>
      </c>
      <c r="P719" s="12">
        <v>36</v>
      </c>
      <c r="Q719" s="7" t="s">
        <v>98</v>
      </c>
      <c r="R719" s="18">
        <v>29215</v>
      </c>
      <c r="S719" s="5" t="s">
        <v>84</v>
      </c>
      <c r="T719" s="26" t="s">
        <v>38</v>
      </c>
      <c r="U719" s="4"/>
      <c r="V719" s="4"/>
      <c r="W719" s="5" t="s">
        <v>3231</v>
      </c>
      <c r="X719" s="5" t="s">
        <v>54</v>
      </c>
      <c r="Y719" s="5" t="s">
        <v>727</v>
      </c>
      <c r="Z719" s="5"/>
      <c r="AA719" s="5"/>
      <c r="AB719" s="199">
        <v>43900</v>
      </c>
      <c r="AC719" s="8" t="s">
        <v>3232</v>
      </c>
      <c r="AE719" s="231"/>
    </row>
    <row r="720" spans="1:32" s="1" customFormat="1" ht="43.4" customHeight="1">
      <c r="A720" s="1184"/>
      <c r="B720" s="147" t="s">
        <v>44</v>
      </c>
      <c r="C720" s="72" t="s">
        <v>3229</v>
      </c>
      <c r="D720" s="9" t="s">
        <v>32</v>
      </c>
      <c r="E720" s="9"/>
      <c r="F720" s="9"/>
      <c r="G720" s="9"/>
      <c r="H720" s="5" t="s">
        <v>304</v>
      </c>
      <c r="I720" s="12" t="s">
        <v>47</v>
      </c>
      <c r="J720" s="16" t="s">
        <v>3233</v>
      </c>
      <c r="K720" s="8"/>
      <c r="L720" s="8"/>
      <c r="M720" s="182">
        <v>43836</v>
      </c>
      <c r="N720" s="182"/>
      <c r="O720" s="182">
        <v>43922</v>
      </c>
      <c r="P720" s="12">
        <v>36</v>
      </c>
      <c r="Q720" s="7" t="s">
        <v>98</v>
      </c>
      <c r="R720" s="18">
        <v>17000</v>
      </c>
      <c r="S720" s="5" t="s">
        <v>84</v>
      </c>
      <c r="T720" s="26" t="s">
        <v>38</v>
      </c>
      <c r="U720" s="4"/>
      <c r="V720" s="4"/>
      <c r="W720" s="5" t="s">
        <v>3231</v>
      </c>
      <c r="X720" s="5" t="s">
        <v>54</v>
      </c>
      <c r="Y720" s="5" t="s">
        <v>727</v>
      </c>
      <c r="Z720" s="5"/>
      <c r="AA720" s="5"/>
      <c r="AB720" s="199">
        <v>43900</v>
      </c>
      <c r="AC720" s="8" t="s">
        <v>3232</v>
      </c>
      <c r="AE720" s="231"/>
    </row>
    <row r="721" spans="1:32" s="1" customFormat="1" ht="29">
      <c r="A721" s="1184"/>
      <c r="B721" s="147" t="s">
        <v>44</v>
      </c>
      <c r="C721" s="72" t="s">
        <v>3229</v>
      </c>
      <c r="D721" s="9" t="s">
        <v>32</v>
      </c>
      <c r="E721" s="9"/>
      <c r="F721" s="9"/>
      <c r="G721" s="9"/>
      <c r="H721" s="5" t="s">
        <v>304</v>
      </c>
      <c r="I721" s="12" t="s">
        <v>47</v>
      </c>
      <c r="J721" s="16" t="s">
        <v>3234</v>
      </c>
      <c r="K721" s="8"/>
      <c r="L721" s="8"/>
      <c r="M721" s="182">
        <v>43836</v>
      </c>
      <c r="N721" s="182"/>
      <c r="O721" s="182">
        <v>43922</v>
      </c>
      <c r="P721" s="12">
        <v>36</v>
      </c>
      <c r="Q721" s="25" t="s">
        <v>98</v>
      </c>
      <c r="R721" s="18">
        <v>25580</v>
      </c>
      <c r="S721" s="31" t="s">
        <v>84</v>
      </c>
      <c r="T721" s="26" t="s">
        <v>38</v>
      </c>
      <c r="U721" s="4"/>
      <c r="V721" s="4"/>
      <c r="W721" s="5" t="s">
        <v>3231</v>
      </c>
      <c r="X721" s="5" t="s">
        <v>54</v>
      </c>
      <c r="Y721" s="5" t="s">
        <v>727</v>
      </c>
      <c r="Z721" s="5"/>
      <c r="AA721" s="26"/>
      <c r="AB721" s="45">
        <v>43900</v>
      </c>
      <c r="AC721" s="8" t="s">
        <v>3232</v>
      </c>
      <c r="AE721" s="231"/>
    </row>
    <row r="722" spans="1:32" s="1" customFormat="1" ht="116">
      <c r="A722" s="1119"/>
      <c r="B722" s="336"/>
      <c r="C722" s="72"/>
      <c r="D722" s="9" t="s">
        <v>57</v>
      </c>
      <c r="E722" s="9"/>
      <c r="F722" s="9"/>
      <c r="G722" s="9"/>
      <c r="H722" s="5" t="s">
        <v>496</v>
      </c>
      <c r="I722" s="5" t="s">
        <v>47</v>
      </c>
      <c r="J722" s="16" t="s">
        <v>3158</v>
      </c>
      <c r="K722" s="16"/>
      <c r="L722" s="16"/>
      <c r="M722" s="14">
        <v>43922</v>
      </c>
      <c r="N722" s="14"/>
      <c r="O722" s="14">
        <v>43922</v>
      </c>
      <c r="P722" s="78">
        <v>36</v>
      </c>
      <c r="Q722" s="78">
        <v>36</v>
      </c>
      <c r="R722" s="41">
        <v>10000</v>
      </c>
      <c r="S722" s="5" t="s">
        <v>37</v>
      </c>
      <c r="T722" s="185" t="s">
        <v>38</v>
      </c>
      <c r="U722" s="15" t="s">
        <v>67</v>
      </c>
      <c r="V722" s="15"/>
      <c r="W722" s="5" t="s">
        <v>798</v>
      </c>
      <c r="X722" s="5" t="s">
        <v>94</v>
      </c>
      <c r="Y722" s="5" t="s">
        <v>40</v>
      </c>
      <c r="Z722" s="5"/>
      <c r="AA722" s="5"/>
      <c r="AB722" s="199" t="s">
        <v>3016</v>
      </c>
      <c r="AC722" s="6" t="s">
        <v>3235</v>
      </c>
      <c r="AD722" s="76" t="s">
        <v>496</v>
      </c>
      <c r="AE722" s="164" t="s">
        <v>3236</v>
      </c>
    </row>
    <row r="723" spans="1:32" s="1" customFormat="1" ht="37.5">
      <c r="A723" s="1119"/>
      <c r="B723" s="958" t="s">
        <v>56</v>
      </c>
      <c r="C723" s="577" t="s">
        <v>71</v>
      </c>
      <c r="D723" s="611" t="s">
        <v>57</v>
      </c>
      <c r="E723" s="611"/>
      <c r="F723" s="611"/>
      <c r="G723" s="611"/>
      <c r="H723" s="511" t="s">
        <v>58</v>
      </c>
      <c r="I723" s="512" t="s">
        <v>47</v>
      </c>
      <c r="J723" s="1577" t="s">
        <v>3148</v>
      </c>
      <c r="K723" s="579"/>
      <c r="L723" s="597">
        <v>43556</v>
      </c>
      <c r="M723" s="597"/>
      <c r="N723" s="597"/>
      <c r="O723" s="597">
        <v>43922</v>
      </c>
      <c r="P723" s="516">
        <v>48</v>
      </c>
      <c r="Q723" s="516">
        <v>48</v>
      </c>
      <c r="R723" s="598">
        <v>320000</v>
      </c>
      <c r="S723" s="523" t="s">
        <v>45</v>
      </c>
      <c r="T723" s="1055"/>
      <c r="U723" s="515"/>
      <c r="V723" s="515"/>
      <c r="W723" s="519" t="s">
        <v>1711</v>
      </c>
      <c r="X723" s="120"/>
      <c r="Y723" s="120"/>
      <c r="Z723" s="120"/>
      <c r="AA723" s="120"/>
      <c r="AB723" s="120"/>
      <c r="AC723" s="120"/>
      <c r="AD723"/>
      <c r="AE723" s="186"/>
    </row>
    <row r="724" spans="1:32" s="1" customFormat="1" ht="43.4" customHeight="1">
      <c r="A724" s="1119"/>
      <c r="B724" s="958" t="s">
        <v>56</v>
      </c>
      <c r="C724" s="510" t="s">
        <v>3237</v>
      </c>
      <c r="D724" s="611" t="s">
        <v>57</v>
      </c>
      <c r="E724" s="611"/>
      <c r="F724" s="611"/>
      <c r="G724" s="611"/>
      <c r="H724" s="511" t="s">
        <v>58</v>
      </c>
      <c r="I724" s="519" t="s">
        <v>47</v>
      </c>
      <c r="J724" s="1578" t="s">
        <v>3238</v>
      </c>
      <c r="K724" s="512"/>
      <c r="L724" s="597">
        <v>43467</v>
      </c>
      <c r="M724" s="597"/>
      <c r="N724" s="597"/>
      <c r="O724" s="597">
        <v>43922</v>
      </c>
      <c r="P724" s="536" t="s">
        <v>3239</v>
      </c>
      <c r="Q724" s="1013" t="s">
        <v>1119</v>
      </c>
      <c r="R724" s="607" t="s">
        <v>60</v>
      </c>
      <c r="S724" s="1043" t="s">
        <v>60</v>
      </c>
      <c r="T724" s="1055" t="s">
        <v>38</v>
      </c>
      <c r="U724" s="515"/>
      <c r="V724" s="515"/>
      <c r="W724" s="511" t="s">
        <v>3240</v>
      </c>
      <c r="X724" s="120"/>
      <c r="Y724" s="120"/>
      <c r="Z724" s="120"/>
      <c r="AA724" s="120"/>
      <c r="AB724" s="120"/>
      <c r="AC724" s="120"/>
      <c r="AD724"/>
      <c r="AE724" s="186"/>
    </row>
    <row r="725" spans="1:32" s="1" customFormat="1" ht="43.4" customHeight="1">
      <c r="A725" s="1119"/>
      <c r="B725" s="958" t="s">
        <v>56</v>
      </c>
      <c r="C725" s="510" t="s">
        <v>3241</v>
      </c>
      <c r="D725" s="611" t="s">
        <v>110</v>
      </c>
      <c r="E725" s="611"/>
      <c r="F725" s="611"/>
      <c r="G725" s="611"/>
      <c r="H725" s="511" t="s">
        <v>103</v>
      </c>
      <c r="I725" s="519" t="s">
        <v>34</v>
      </c>
      <c r="J725" s="1578" t="s">
        <v>3242</v>
      </c>
      <c r="K725" s="512"/>
      <c r="L725" s="530">
        <v>43405</v>
      </c>
      <c r="M725" s="530"/>
      <c r="N725" s="530"/>
      <c r="O725" s="530">
        <v>43922</v>
      </c>
      <c r="P725" s="516">
        <v>48</v>
      </c>
      <c r="Q725" s="1009" t="s">
        <v>82</v>
      </c>
      <c r="R725" s="599">
        <v>1342270</v>
      </c>
      <c r="S725" s="1043" t="s">
        <v>130</v>
      </c>
      <c r="T725" s="1055" t="s">
        <v>310</v>
      </c>
      <c r="U725" s="515"/>
      <c r="V725" s="515"/>
      <c r="W725" s="533" t="s">
        <v>3243</v>
      </c>
      <c r="X725" s="120"/>
      <c r="Y725" s="120"/>
      <c r="Z725" s="120"/>
      <c r="AA725" s="120"/>
      <c r="AB725" s="120"/>
      <c r="AC725" s="120"/>
      <c r="AD725"/>
      <c r="AE725" s="186"/>
    </row>
    <row r="726" spans="1:32" s="1" customFormat="1" ht="29.15" customHeight="1">
      <c r="A726" s="1119"/>
      <c r="B726" s="958" t="s">
        <v>56</v>
      </c>
      <c r="C726" s="510" t="s">
        <v>3244</v>
      </c>
      <c r="D726" s="611" t="s">
        <v>57</v>
      </c>
      <c r="E726" s="611"/>
      <c r="F726" s="611"/>
      <c r="G726" s="611"/>
      <c r="H726" s="511" t="s">
        <v>58</v>
      </c>
      <c r="I726" s="519" t="s">
        <v>47</v>
      </c>
      <c r="J726" s="1578" t="s">
        <v>3245</v>
      </c>
      <c r="K726" s="512"/>
      <c r="L726" s="530">
        <v>43435</v>
      </c>
      <c r="M726" s="530"/>
      <c r="N726" s="530"/>
      <c r="O726" s="530">
        <v>43922</v>
      </c>
      <c r="P726" s="516" t="s">
        <v>1119</v>
      </c>
      <c r="Q726" s="516" t="s">
        <v>1119</v>
      </c>
      <c r="R726" s="599">
        <v>7500000</v>
      </c>
      <c r="S726" s="1043" t="s">
        <v>91</v>
      </c>
      <c r="T726" s="1055" t="s">
        <v>310</v>
      </c>
      <c r="U726" s="515" t="s">
        <v>3076</v>
      </c>
      <c r="V726" s="515"/>
      <c r="W726" s="519" t="s">
        <v>651</v>
      </c>
      <c r="X726" s="120"/>
      <c r="Y726" s="120"/>
      <c r="Z726" s="120"/>
      <c r="AA726" s="186"/>
      <c r="AB726" s="186"/>
      <c r="AC726" s="120"/>
      <c r="AD726"/>
      <c r="AE726" s="186"/>
      <c r="AF726" s="2799"/>
    </row>
    <row r="727" spans="1:32" s="1" customFormat="1" ht="43.4" customHeight="1">
      <c r="A727" s="1119"/>
      <c r="B727" s="958" t="s">
        <v>56</v>
      </c>
      <c r="C727" s="510" t="s">
        <v>3246</v>
      </c>
      <c r="D727" s="611" t="s">
        <v>57</v>
      </c>
      <c r="E727" s="611"/>
      <c r="F727" s="611"/>
      <c r="G727" s="611"/>
      <c r="H727" s="511" t="s">
        <v>58</v>
      </c>
      <c r="I727" s="519" t="s">
        <v>47</v>
      </c>
      <c r="J727" s="1578" t="s">
        <v>3247</v>
      </c>
      <c r="K727" s="512"/>
      <c r="L727" s="530">
        <v>43435</v>
      </c>
      <c r="M727" s="530"/>
      <c r="N727" s="530"/>
      <c r="O727" s="530">
        <v>43922</v>
      </c>
      <c r="P727" s="516">
        <v>48</v>
      </c>
      <c r="Q727" s="516">
        <v>48</v>
      </c>
      <c r="R727" s="599">
        <v>300000000</v>
      </c>
      <c r="S727" s="523" t="s">
        <v>91</v>
      </c>
      <c r="T727" s="1055" t="s">
        <v>310</v>
      </c>
      <c r="U727" s="515" t="s">
        <v>3076</v>
      </c>
      <c r="V727" s="515"/>
      <c r="W727" s="519" t="s">
        <v>3248</v>
      </c>
      <c r="X727" s="120"/>
      <c r="Y727" s="120"/>
      <c r="Z727" s="120"/>
      <c r="AA727" s="120"/>
      <c r="AB727" s="120"/>
      <c r="AC727" s="120"/>
      <c r="AD727"/>
      <c r="AE727" s="186"/>
      <c r="AF727" s="2799"/>
    </row>
    <row r="728" spans="1:32" s="1" customFormat="1" ht="43.4" customHeight="1">
      <c r="A728" s="1119"/>
      <c r="B728" s="958" t="s">
        <v>56</v>
      </c>
      <c r="C728" s="510" t="s">
        <v>3249</v>
      </c>
      <c r="D728" s="611" t="s">
        <v>57</v>
      </c>
      <c r="E728" s="611"/>
      <c r="F728" s="611"/>
      <c r="G728" s="611"/>
      <c r="H728" s="511" t="s">
        <v>58</v>
      </c>
      <c r="I728" s="519" t="s">
        <v>47</v>
      </c>
      <c r="J728" s="1578" t="s">
        <v>3250</v>
      </c>
      <c r="K728" s="512"/>
      <c r="L728" s="515">
        <v>43739</v>
      </c>
      <c r="M728" s="515"/>
      <c r="N728" s="515"/>
      <c r="O728" s="515">
        <v>43922</v>
      </c>
      <c r="P728" s="516" t="s">
        <v>1119</v>
      </c>
      <c r="Q728" s="516" t="s">
        <v>1119</v>
      </c>
      <c r="R728" s="599">
        <v>9000000</v>
      </c>
      <c r="S728" s="515" t="s">
        <v>91</v>
      </c>
      <c r="T728" s="1055" t="s">
        <v>310</v>
      </c>
      <c r="U728" s="515" t="s">
        <v>3076</v>
      </c>
      <c r="V728" s="515"/>
      <c r="W728" s="519" t="s">
        <v>651</v>
      </c>
      <c r="X728" s="120"/>
      <c r="Y728" s="120"/>
      <c r="Z728" s="120"/>
      <c r="AA728" s="120"/>
      <c r="AB728" s="120"/>
      <c r="AC728" s="120"/>
      <c r="AD728"/>
      <c r="AE728" s="186"/>
    </row>
    <row r="729" spans="1:32" s="1" customFormat="1" ht="37.5">
      <c r="A729" s="1119"/>
      <c r="B729" s="958" t="s">
        <v>56</v>
      </c>
      <c r="C729" s="510" t="s">
        <v>60</v>
      </c>
      <c r="D729" s="611" t="s">
        <v>57</v>
      </c>
      <c r="E729" s="611"/>
      <c r="F729" s="611"/>
      <c r="G729" s="611"/>
      <c r="H729" s="511" t="s">
        <v>58</v>
      </c>
      <c r="I729" s="510" t="s">
        <v>47</v>
      </c>
      <c r="J729" s="1580" t="s">
        <v>3251</v>
      </c>
      <c r="K729" s="533"/>
      <c r="L729" s="511">
        <v>1</v>
      </c>
      <c r="M729" s="514">
        <f>IF(O729="tbc","",(IFERROR(EDATE($N729,-3),"Invalid procurement method or date entered")))</f>
        <v>43800</v>
      </c>
      <c r="N729" s="514">
        <f>IF(O729="tbc","",(IFERROR(EDATE(O729,-L729),"Invalid procurement method or date entered")))</f>
        <v>43891</v>
      </c>
      <c r="O729" s="534">
        <v>43922</v>
      </c>
      <c r="P729" s="535">
        <v>48</v>
      </c>
      <c r="Q729" s="535" t="s">
        <v>60</v>
      </c>
      <c r="R729" s="528">
        <v>20000</v>
      </c>
      <c r="S729" s="510" t="s">
        <v>176</v>
      </c>
      <c r="T729" s="1058" t="s">
        <v>2455</v>
      </c>
      <c r="U729" s="515" t="s">
        <v>60</v>
      </c>
      <c r="V729" s="515"/>
      <c r="W729" s="569" t="s">
        <v>3252</v>
      </c>
      <c r="X729" s="120"/>
      <c r="Y729" s="120"/>
      <c r="Z729" s="120"/>
      <c r="AA729" s="120"/>
      <c r="AB729" s="120"/>
      <c r="AC729" s="120"/>
      <c r="AD729"/>
      <c r="AE729" s="186"/>
    </row>
    <row r="730" spans="1:32" s="1" customFormat="1" ht="43.4" customHeight="1">
      <c r="A730" s="1184"/>
      <c r="B730" s="147" t="s">
        <v>44</v>
      </c>
      <c r="C730" s="4" t="s">
        <v>3253</v>
      </c>
      <c r="D730" s="31" t="s">
        <v>32</v>
      </c>
      <c r="E730" s="31"/>
      <c r="F730" s="31"/>
      <c r="G730" s="31"/>
      <c r="H730" s="2751" t="s">
        <v>33</v>
      </c>
      <c r="I730" s="2751" t="s">
        <v>47</v>
      </c>
      <c r="J730" s="2752" t="s">
        <v>3254</v>
      </c>
      <c r="K730" s="2752"/>
      <c r="L730" s="2752"/>
      <c r="M730" s="199">
        <v>43662</v>
      </c>
      <c r="N730" s="199"/>
      <c r="O730" s="182">
        <v>43924</v>
      </c>
      <c r="P730" s="2751">
        <v>36</v>
      </c>
      <c r="Q730" s="2753">
        <v>36</v>
      </c>
      <c r="R730" s="18">
        <v>26747.25</v>
      </c>
      <c r="S730" s="2797" t="s">
        <v>84</v>
      </c>
      <c r="T730" s="2753" t="s">
        <v>38</v>
      </c>
      <c r="U730" s="2763" t="s">
        <v>67</v>
      </c>
      <c r="V730" s="2763"/>
      <c r="W730" s="2751" t="s">
        <v>1667</v>
      </c>
      <c r="X730" s="5" t="s">
        <v>543</v>
      </c>
      <c r="Y730" s="5" t="s">
        <v>40</v>
      </c>
      <c r="Z730" s="5"/>
      <c r="AA730" s="2751"/>
      <c r="AB730" s="199">
        <v>43951</v>
      </c>
      <c r="AC730" s="2758" t="s">
        <v>3255</v>
      </c>
      <c r="AD730" s="76" t="s">
        <v>3256</v>
      </c>
      <c r="AE730" s="2884">
        <v>8915.75</v>
      </c>
    </row>
    <row r="731" spans="1:32" s="1" customFormat="1" ht="37.5">
      <c r="A731" s="1119"/>
      <c r="B731" s="958" t="s">
        <v>56</v>
      </c>
      <c r="C731" s="510" t="s">
        <v>3257</v>
      </c>
      <c r="D731" s="611" t="s">
        <v>122</v>
      </c>
      <c r="E731" s="611"/>
      <c r="F731" s="611"/>
      <c r="G731" s="611"/>
      <c r="H731" s="511" t="s">
        <v>308</v>
      </c>
      <c r="I731" s="519" t="s">
        <v>47</v>
      </c>
      <c r="J731" s="1578" t="s">
        <v>3258</v>
      </c>
      <c r="K731" s="512"/>
      <c r="L731" s="530">
        <v>43832</v>
      </c>
      <c r="M731" s="530"/>
      <c r="N731" s="530"/>
      <c r="O731" s="530">
        <v>43927</v>
      </c>
      <c r="P731" s="516">
        <v>4</v>
      </c>
      <c r="Q731" s="1009">
        <v>4</v>
      </c>
      <c r="R731" s="599">
        <v>366000</v>
      </c>
      <c r="S731" s="1043" t="s">
        <v>2110</v>
      </c>
      <c r="T731" s="1055" t="s">
        <v>62</v>
      </c>
      <c r="U731" s="515">
        <v>43896</v>
      </c>
      <c r="V731" s="515"/>
      <c r="W731" s="519" t="s">
        <v>2448</v>
      </c>
      <c r="X731" s="120"/>
      <c r="Y731" s="120"/>
      <c r="Z731" s="120"/>
      <c r="AA731" s="120"/>
      <c r="AB731" s="120"/>
      <c r="AC731" s="120"/>
      <c r="AD731"/>
      <c r="AE731" s="186"/>
    </row>
    <row r="732" spans="1:32" s="1" customFormat="1" ht="145">
      <c r="A732" s="1119"/>
      <c r="B732" s="336"/>
      <c r="C732" s="4" t="s">
        <v>67</v>
      </c>
      <c r="D732" s="32" t="s">
        <v>32</v>
      </c>
      <c r="E732" s="32"/>
      <c r="F732" s="32"/>
      <c r="G732" s="32"/>
      <c r="H732" s="5" t="s">
        <v>33</v>
      </c>
      <c r="I732" s="5" t="s">
        <v>34</v>
      </c>
      <c r="J732" s="16" t="s">
        <v>2017</v>
      </c>
      <c r="K732" s="16"/>
      <c r="L732" s="16"/>
      <c r="M732" s="182">
        <v>43800</v>
      </c>
      <c r="N732" s="182"/>
      <c r="O732" s="182">
        <v>43931</v>
      </c>
      <c r="P732" s="12">
        <v>12</v>
      </c>
      <c r="Q732" s="25" t="s">
        <v>50</v>
      </c>
      <c r="R732" s="18">
        <v>2512</v>
      </c>
      <c r="S732" s="5" t="s">
        <v>130</v>
      </c>
      <c r="T732" s="26" t="s">
        <v>38</v>
      </c>
      <c r="U732" s="49" t="s">
        <v>67</v>
      </c>
      <c r="V732" s="49"/>
      <c r="W732" s="12" t="s">
        <v>262</v>
      </c>
      <c r="X732" s="2751" t="s">
        <v>39</v>
      </c>
      <c r="Y732" s="5" t="s">
        <v>1161</v>
      </c>
      <c r="Z732" s="5"/>
      <c r="AA732" s="26"/>
      <c r="AB732" s="45" t="s">
        <v>3016</v>
      </c>
      <c r="AC732" s="8" t="s">
        <v>3259</v>
      </c>
      <c r="AD732" s="56"/>
      <c r="AE732" s="224">
        <v>2512.09</v>
      </c>
    </row>
    <row r="733" spans="1:32" s="1" customFormat="1" ht="43.4" customHeight="1">
      <c r="A733" s="1184"/>
      <c r="B733" s="60"/>
      <c r="C733" s="4"/>
      <c r="D733" s="32" t="s">
        <v>32</v>
      </c>
      <c r="E733" s="32"/>
      <c r="F733" s="32"/>
      <c r="G733" s="32"/>
      <c r="H733" s="5" t="s">
        <v>33</v>
      </c>
      <c r="I733" s="12" t="s">
        <v>47</v>
      </c>
      <c r="J733" s="16" t="s">
        <v>1638</v>
      </c>
      <c r="K733" s="16"/>
      <c r="L733" s="16"/>
      <c r="M733" s="182">
        <v>43709</v>
      </c>
      <c r="N733" s="182"/>
      <c r="O733" s="182">
        <v>43936</v>
      </c>
      <c r="P733" s="12">
        <v>12</v>
      </c>
      <c r="Q733" s="7" t="s">
        <v>50</v>
      </c>
      <c r="R733" s="18">
        <v>3819.9</v>
      </c>
      <c r="S733" s="5" t="s">
        <v>45</v>
      </c>
      <c r="T733" s="26" t="s">
        <v>38</v>
      </c>
      <c r="U733" s="14" t="s">
        <v>67</v>
      </c>
      <c r="V733" s="14"/>
      <c r="W733" s="12" t="s">
        <v>262</v>
      </c>
      <c r="X733" s="5" t="s">
        <v>54</v>
      </c>
      <c r="Y733" s="5" t="s">
        <v>727</v>
      </c>
      <c r="Z733" s="5"/>
      <c r="AA733" s="5"/>
      <c r="AB733" s="199" t="s">
        <v>41</v>
      </c>
      <c r="AC733" s="8" t="s">
        <v>3260</v>
      </c>
      <c r="AD733" s="76" t="s">
        <v>3088</v>
      </c>
      <c r="AE733" s="224">
        <v>3819.9</v>
      </c>
    </row>
    <row r="734" spans="1:32" s="1" customFormat="1" ht="43.4" customHeight="1">
      <c r="A734" s="1184"/>
      <c r="B734" s="147" t="s">
        <v>44</v>
      </c>
      <c r="C734" s="4" t="s">
        <v>3261</v>
      </c>
      <c r="D734" s="176" t="s">
        <v>32</v>
      </c>
      <c r="E734" s="176"/>
      <c r="F734" s="176"/>
      <c r="G734" s="176"/>
      <c r="H734" s="16" t="s">
        <v>33</v>
      </c>
      <c r="I734" s="16" t="s">
        <v>34</v>
      </c>
      <c r="J734" s="16" t="s">
        <v>2023</v>
      </c>
      <c r="K734" s="16"/>
      <c r="L734" s="16"/>
      <c r="M734" s="248">
        <v>43709</v>
      </c>
      <c r="N734" s="248"/>
      <c r="O734" s="248">
        <v>43941</v>
      </c>
      <c r="P734" s="4">
        <v>48</v>
      </c>
      <c r="Q734" s="1797" t="s">
        <v>656</v>
      </c>
      <c r="R734" s="249">
        <v>18000</v>
      </c>
      <c r="S734" s="16" t="s">
        <v>130</v>
      </c>
      <c r="T734" s="250" t="s">
        <v>38</v>
      </c>
      <c r="U734" s="251" t="s">
        <v>67</v>
      </c>
      <c r="V734" s="251"/>
      <c r="W734" s="4" t="s">
        <v>2025</v>
      </c>
      <c r="X734" s="16" t="s">
        <v>39</v>
      </c>
      <c r="Y734" s="16" t="s">
        <v>225</v>
      </c>
      <c r="Z734" s="16"/>
      <c r="AA734" s="250"/>
      <c r="AB734" s="1898">
        <v>43920</v>
      </c>
      <c r="AC734" s="16" t="s">
        <v>3262</v>
      </c>
      <c r="AD734" s="1" t="s">
        <v>285</v>
      </c>
      <c r="AE734" s="252">
        <v>9500</v>
      </c>
      <c r="AF734" s="35"/>
    </row>
    <row r="735" spans="1:32" s="1" customFormat="1" ht="29">
      <c r="A735" s="1196"/>
      <c r="B735" s="60"/>
      <c r="C735" s="4"/>
      <c r="D735" s="31" t="s">
        <v>32</v>
      </c>
      <c r="E735" s="31"/>
      <c r="F735" s="31"/>
      <c r="G735" s="31"/>
      <c r="H735" s="5" t="s">
        <v>33</v>
      </c>
      <c r="I735" s="12" t="s">
        <v>47</v>
      </c>
      <c r="J735" s="16" t="s">
        <v>570</v>
      </c>
      <c r="K735" s="16"/>
      <c r="L735" s="16"/>
      <c r="M735" s="182">
        <v>43739</v>
      </c>
      <c r="N735" s="182"/>
      <c r="O735" s="182">
        <v>43945</v>
      </c>
      <c r="P735" s="12" t="s">
        <v>45</v>
      </c>
      <c r="Q735" s="27" t="s">
        <v>45</v>
      </c>
      <c r="R735" s="18" t="s">
        <v>3263</v>
      </c>
      <c r="S735" s="31" t="s">
        <v>45</v>
      </c>
      <c r="T735" s="26" t="s">
        <v>38</v>
      </c>
      <c r="U735" s="12" t="s">
        <v>67</v>
      </c>
      <c r="V735" s="12"/>
      <c r="W735" s="12" t="s">
        <v>383</v>
      </c>
      <c r="X735" s="5" t="s">
        <v>2179</v>
      </c>
      <c r="Y735" s="5" t="s">
        <v>727</v>
      </c>
      <c r="Z735" s="5"/>
      <c r="AA735" s="12"/>
      <c r="AB735" s="199" t="s">
        <v>3016</v>
      </c>
      <c r="AC735" s="8" t="s">
        <v>3264</v>
      </c>
      <c r="AD735" s="76" t="s">
        <v>2339</v>
      </c>
      <c r="AE735" s="224">
        <v>778</v>
      </c>
    </row>
    <row r="736" spans="1:32" s="1" customFormat="1" ht="62.5">
      <c r="A736" s="1119"/>
      <c r="B736" s="958" t="s">
        <v>56</v>
      </c>
      <c r="C736" s="510" t="s">
        <v>3265</v>
      </c>
      <c r="D736" s="611" t="s">
        <v>57</v>
      </c>
      <c r="E736" s="611"/>
      <c r="F736" s="611"/>
      <c r="G736" s="611"/>
      <c r="H736" s="511" t="s">
        <v>58</v>
      </c>
      <c r="I736" s="519" t="s">
        <v>47</v>
      </c>
      <c r="J736" s="1578" t="s">
        <v>3266</v>
      </c>
      <c r="K736" s="512"/>
      <c r="L736" s="512"/>
      <c r="M736" s="511">
        <v>12</v>
      </c>
      <c r="N736" s="514" t="str">
        <f>IF(O736="tbc","",(IFERROR(EDATE(#REF!,-3),"Invalid procurement method or date entered")))</f>
        <v>Invalid procurement method or date entered</v>
      </c>
      <c r="O736" s="515">
        <v>43951</v>
      </c>
      <c r="P736" s="516">
        <v>1</v>
      </c>
      <c r="Q736" s="1009">
        <v>1</v>
      </c>
      <c r="R736" s="528">
        <v>170000</v>
      </c>
      <c r="S736" s="515" t="s">
        <v>75</v>
      </c>
      <c r="T736" s="1055" t="s">
        <v>62</v>
      </c>
      <c r="U736" s="515" t="s">
        <v>60</v>
      </c>
      <c r="V736" s="515"/>
      <c r="W736" s="519" t="s">
        <v>3267</v>
      </c>
      <c r="X736" s="120"/>
      <c r="Y736" s="120"/>
      <c r="Z736" s="120"/>
      <c r="AA736" s="120"/>
      <c r="AB736" s="120"/>
      <c r="AC736" s="120"/>
      <c r="AD736"/>
      <c r="AE736" s="186"/>
    </row>
    <row r="737" spans="1:32" s="1" customFormat="1" ht="43.5">
      <c r="A737" s="1184"/>
      <c r="B737" s="60"/>
      <c r="C737" s="8" t="s">
        <v>3268</v>
      </c>
      <c r="D737" s="31" t="s">
        <v>32</v>
      </c>
      <c r="E737" s="31"/>
      <c r="F737" s="31"/>
      <c r="G737" s="31"/>
      <c r="H737" s="5" t="s">
        <v>127</v>
      </c>
      <c r="I737" s="5" t="s">
        <v>47</v>
      </c>
      <c r="J737" s="16" t="s">
        <v>3269</v>
      </c>
      <c r="K737" s="8"/>
      <c r="L737" s="8"/>
      <c r="M737" s="199">
        <v>43943</v>
      </c>
      <c r="N737" s="199"/>
      <c r="O737" s="199">
        <v>43952</v>
      </c>
      <c r="P737" s="5">
        <v>3</v>
      </c>
      <c r="Q737" s="26" t="s">
        <v>3270</v>
      </c>
      <c r="R737" s="18">
        <v>60000</v>
      </c>
      <c r="S737" s="31" t="s">
        <v>84</v>
      </c>
      <c r="T737" s="26" t="s">
        <v>38</v>
      </c>
      <c r="U737" s="182" t="s">
        <v>67</v>
      </c>
      <c r="V737" s="182"/>
      <c r="W737" s="2789" t="s">
        <v>425</v>
      </c>
      <c r="X737" s="5" t="s">
        <v>2179</v>
      </c>
      <c r="Y737" s="5" t="s">
        <v>727</v>
      </c>
      <c r="Z737" s="5"/>
      <c r="AA737" s="26"/>
      <c r="AB737" s="45" t="s">
        <v>3016</v>
      </c>
      <c r="AC737" s="8" t="s">
        <v>3271</v>
      </c>
      <c r="AD737" s="76" t="s">
        <v>2268</v>
      </c>
      <c r="AE737" s="26"/>
      <c r="AF737" s="35"/>
    </row>
    <row r="738" spans="1:32" s="1" customFormat="1" ht="37.5">
      <c r="A738" s="1119"/>
      <c r="B738" s="958" t="s">
        <v>56</v>
      </c>
      <c r="C738" s="510" t="s">
        <v>3272</v>
      </c>
      <c r="D738" s="611" t="s">
        <v>122</v>
      </c>
      <c r="E738" s="611"/>
      <c r="F738" s="611"/>
      <c r="G738" s="611"/>
      <c r="H738" s="511" t="s">
        <v>308</v>
      </c>
      <c r="I738" s="519" t="s">
        <v>47</v>
      </c>
      <c r="J738" s="1578" t="s">
        <v>3273</v>
      </c>
      <c r="K738" s="512"/>
      <c r="L738" s="530">
        <v>43684</v>
      </c>
      <c r="M738" s="530"/>
      <c r="N738" s="530"/>
      <c r="O738" s="530">
        <v>43952</v>
      </c>
      <c r="P738" s="516">
        <v>12</v>
      </c>
      <c r="Q738" s="1009">
        <v>12</v>
      </c>
      <c r="R738" s="599">
        <v>6238000</v>
      </c>
      <c r="S738" s="1043" t="s">
        <v>91</v>
      </c>
      <c r="T738" s="1055" t="s">
        <v>310</v>
      </c>
      <c r="U738" s="515">
        <v>43896</v>
      </c>
      <c r="V738" s="515"/>
      <c r="W738" s="519" t="s">
        <v>3040</v>
      </c>
      <c r="X738" s="120"/>
      <c r="Y738" s="120"/>
      <c r="Z738" s="120"/>
      <c r="AA738" s="120"/>
      <c r="AB738" s="120"/>
      <c r="AC738" s="120"/>
      <c r="AD738"/>
      <c r="AE738" s="186"/>
    </row>
    <row r="739" spans="1:32" s="1" customFormat="1" ht="87">
      <c r="A739" s="1185"/>
      <c r="B739" s="60"/>
      <c r="C739" s="4" t="s">
        <v>3274</v>
      </c>
      <c r="D739" s="32" t="s">
        <v>32</v>
      </c>
      <c r="E739" s="32"/>
      <c r="F739" s="32"/>
      <c r="G739" s="32"/>
      <c r="H739" s="5" t="s">
        <v>33</v>
      </c>
      <c r="I739" s="5" t="s">
        <v>34</v>
      </c>
      <c r="J739" s="16" t="s">
        <v>3275</v>
      </c>
      <c r="K739" s="8"/>
      <c r="L739" s="8"/>
      <c r="M739" s="199">
        <v>43739</v>
      </c>
      <c r="N739" s="199"/>
      <c r="O739" s="199">
        <v>43962</v>
      </c>
      <c r="P739" s="5">
        <v>12</v>
      </c>
      <c r="Q739" s="7" t="s">
        <v>1345</v>
      </c>
      <c r="R739" s="18">
        <v>40000</v>
      </c>
      <c r="S739" s="5" t="s">
        <v>130</v>
      </c>
      <c r="T739" s="163" t="s">
        <v>612</v>
      </c>
      <c r="U739" s="12" t="s">
        <v>67</v>
      </c>
      <c r="V739" s="12"/>
      <c r="W739" s="5" t="s">
        <v>142</v>
      </c>
      <c r="X739" s="5" t="s">
        <v>543</v>
      </c>
      <c r="Y739" s="5" t="s">
        <v>40</v>
      </c>
      <c r="Z739" s="5"/>
      <c r="AA739" s="5"/>
      <c r="AB739" s="199" t="s">
        <v>3016</v>
      </c>
      <c r="AC739" s="8" t="s">
        <v>3276</v>
      </c>
      <c r="AD739" s="76" t="s">
        <v>3120</v>
      </c>
      <c r="AE739" s="164">
        <v>20000</v>
      </c>
    </row>
    <row r="740" spans="1:32" s="1" customFormat="1" ht="62.5">
      <c r="A740" s="1119"/>
      <c r="B740" s="958" t="s">
        <v>56</v>
      </c>
      <c r="C740" s="510" t="s">
        <v>3277</v>
      </c>
      <c r="D740" s="611" t="s">
        <v>57</v>
      </c>
      <c r="E740" s="611"/>
      <c r="F740" s="611"/>
      <c r="G740" s="611"/>
      <c r="H740" s="511" t="s">
        <v>58</v>
      </c>
      <c r="I740" s="519" t="s">
        <v>47</v>
      </c>
      <c r="J740" s="1578" t="s">
        <v>3278</v>
      </c>
      <c r="K740" s="512"/>
      <c r="L740" s="530">
        <v>43864</v>
      </c>
      <c r="M740" s="530"/>
      <c r="N740" s="530"/>
      <c r="O740" s="530">
        <v>43973</v>
      </c>
      <c r="P740" s="516">
        <v>2</v>
      </c>
      <c r="Q740" s="1009">
        <v>2</v>
      </c>
      <c r="R740" s="599">
        <v>1408000</v>
      </c>
      <c r="S740" s="1043" t="s">
        <v>1937</v>
      </c>
      <c r="T740" s="1055" t="s">
        <v>310</v>
      </c>
      <c r="U740" s="515" t="s">
        <v>60</v>
      </c>
      <c r="V740" s="515"/>
      <c r="W740" s="519" t="s">
        <v>3279</v>
      </c>
      <c r="X740" s="120"/>
      <c r="Y740" s="120"/>
      <c r="Z740" s="120"/>
      <c r="AA740" s="120"/>
      <c r="AB740" s="120"/>
      <c r="AC740" s="120"/>
      <c r="AD740"/>
      <c r="AE740" s="186"/>
    </row>
    <row r="741" spans="1:32" s="1" customFormat="1" ht="25">
      <c r="A741" s="1119"/>
      <c r="B741" s="958" t="s">
        <v>56</v>
      </c>
      <c r="C741" s="510" t="s">
        <v>3280</v>
      </c>
      <c r="D741" s="611" t="s">
        <v>122</v>
      </c>
      <c r="E741" s="611"/>
      <c r="F741" s="611"/>
      <c r="G741" s="611"/>
      <c r="H741" s="511" t="s">
        <v>308</v>
      </c>
      <c r="I741" s="519" t="s">
        <v>47</v>
      </c>
      <c r="J741" s="1578" t="s">
        <v>3281</v>
      </c>
      <c r="K741" s="512"/>
      <c r="L741" s="511">
        <v>12</v>
      </c>
      <c r="M741" s="514">
        <f>IF(O741="tbc","",(IFERROR(EDATE($N741,-3),"Invalid procurement method or date entered")))</f>
        <v>43520</v>
      </c>
      <c r="N741" s="514">
        <f>IF(O741="tbc","",(IFERROR(EDATE(O741,-L741),"Invalid procurement method or date entered")))</f>
        <v>43609</v>
      </c>
      <c r="O741" s="515">
        <v>43975</v>
      </c>
      <c r="P741" s="516">
        <v>13</v>
      </c>
      <c r="Q741" s="1009">
        <v>13</v>
      </c>
      <c r="R741" s="528">
        <v>5350000</v>
      </c>
      <c r="S741" s="1044" t="s">
        <v>91</v>
      </c>
      <c r="T741" s="1055" t="s">
        <v>310</v>
      </c>
      <c r="U741" s="515" t="s">
        <v>60</v>
      </c>
      <c r="V741" s="515"/>
      <c r="W741" s="569" t="s">
        <v>577</v>
      </c>
      <c r="X741" s="120"/>
      <c r="Y741" s="120"/>
      <c r="Z741" s="120"/>
      <c r="AA741" s="186"/>
      <c r="AB741" s="186"/>
      <c r="AC741" s="120"/>
      <c r="AD741"/>
      <c r="AE741" s="186"/>
    </row>
    <row r="742" spans="1:32" s="1" customFormat="1" ht="37.5">
      <c r="A742" s="1119"/>
      <c r="B742" s="958" t="s">
        <v>56</v>
      </c>
      <c r="C742" s="510" t="s">
        <v>3282</v>
      </c>
      <c r="D742" s="611" t="s">
        <v>57</v>
      </c>
      <c r="E742" s="611"/>
      <c r="F742" s="611"/>
      <c r="G742" s="611"/>
      <c r="H742" s="511" t="s">
        <v>58</v>
      </c>
      <c r="I742" s="519" t="s">
        <v>47</v>
      </c>
      <c r="J742" s="1578" t="s">
        <v>3283</v>
      </c>
      <c r="K742" s="512"/>
      <c r="L742" s="530">
        <v>43650</v>
      </c>
      <c r="M742" s="530"/>
      <c r="N742" s="530"/>
      <c r="O742" s="530">
        <v>43978</v>
      </c>
      <c r="P742" s="516">
        <v>2</v>
      </c>
      <c r="Q742" s="516">
        <v>2</v>
      </c>
      <c r="R742" s="599">
        <v>1193600</v>
      </c>
      <c r="S742" s="523" t="s">
        <v>1937</v>
      </c>
      <c r="T742" s="1055" t="s">
        <v>310</v>
      </c>
      <c r="U742" s="515"/>
      <c r="V742" s="515"/>
      <c r="W742" s="533" t="s">
        <v>2417</v>
      </c>
      <c r="X742" s="120"/>
      <c r="Y742" s="120"/>
      <c r="Z742" s="120"/>
      <c r="AA742" s="120"/>
      <c r="AB742" s="120"/>
      <c r="AC742" s="120"/>
      <c r="AD742"/>
      <c r="AE742" s="186"/>
    </row>
    <row r="743" spans="1:32" s="1" customFormat="1" ht="43.5">
      <c r="A743" s="1185"/>
      <c r="B743" s="60"/>
      <c r="C743" s="4" t="s">
        <v>3284</v>
      </c>
      <c r="D743" s="32" t="s">
        <v>32</v>
      </c>
      <c r="E743" s="32"/>
      <c r="F743" s="32"/>
      <c r="G743" s="32"/>
      <c r="H743" s="5" t="s">
        <v>496</v>
      </c>
      <c r="I743" s="5" t="s">
        <v>47</v>
      </c>
      <c r="J743" s="16" t="s">
        <v>1878</v>
      </c>
      <c r="K743" s="8"/>
      <c r="L743" s="8"/>
      <c r="M743" s="199">
        <v>43647</v>
      </c>
      <c r="N743" s="199"/>
      <c r="O743" s="199">
        <v>43980</v>
      </c>
      <c r="P743" s="5">
        <v>12</v>
      </c>
      <c r="Q743" s="7" t="s">
        <v>418</v>
      </c>
      <c r="R743" s="18">
        <v>202250</v>
      </c>
      <c r="S743" s="5" t="s">
        <v>84</v>
      </c>
      <c r="T743" s="163" t="s">
        <v>70</v>
      </c>
      <c r="U743" s="12">
        <v>43894</v>
      </c>
      <c r="V743" s="12"/>
      <c r="W743" s="5" t="s">
        <v>2982</v>
      </c>
      <c r="X743" s="5" t="s">
        <v>86</v>
      </c>
      <c r="Y743" s="5" t="s">
        <v>40</v>
      </c>
      <c r="Z743" s="5"/>
      <c r="AA743" s="5"/>
      <c r="AB743" s="199" t="s">
        <v>3016</v>
      </c>
      <c r="AC743" s="8" t="s">
        <v>89</v>
      </c>
      <c r="AD743" s="76" t="s">
        <v>496</v>
      </c>
      <c r="AE743" s="337">
        <v>387661</v>
      </c>
    </row>
    <row r="744" spans="1:32" s="1" customFormat="1" ht="406">
      <c r="A744" s="1184"/>
      <c r="B744" s="336"/>
      <c r="C744" s="54" t="s">
        <v>3285</v>
      </c>
      <c r="D744" s="32" t="s">
        <v>32</v>
      </c>
      <c r="E744" s="32"/>
      <c r="F744" s="32"/>
      <c r="G744" s="32"/>
      <c r="H744" s="5" t="s">
        <v>33</v>
      </c>
      <c r="I744" s="5" t="s">
        <v>34</v>
      </c>
      <c r="J744" s="16" t="s">
        <v>3286</v>
      </c>
      <c r="K744" s="8"/>
      <c r="L744" s="8"/>
      <c r="M744" s="199">
        <v>43617</v>
      </c>
      <c r="N744" s="199"/>
      <c r="O744" s="199">
        <v>43983</v>
      </c>
      <c r="P744" s="12">
        <v>36</v>
      </c>
      <c r="Q744" s="5" t="s">
        <v>3287</v>
      </c>
      <c r="R744" s="18">
        <v>57158</v>
      </c>
      <c r="S744" s="5" t="s">
        <v>130</v>
      </c>
      <c r="T744" s="167" t="s">
        <v>62</v>
      </c>
      <c r="U744" s="48" t="s">
        <v>67</v>
      </c>
      <c r="V744" s="48"/>
      <c r="W744" s="5" t="s">
        <v>3288</v>
      </c>
      <c r="X744" s="5" t="s">
        <v>39</v>
      </c>
      <c r="Y744" s="5" t="s">
        <v>225</v>
      </c>
      <c r="Z744" s="5"/>
      <c r="AA744" s="5"/>
      <c r="AB744" s="199" t="s">
        <v>3016</v>
      </c>
      <c r="AC744" s="8" t="s">
        <v>3289</v>
      </c>
      <c r="AD744" s="56"/>
      <c r="AE744" s="164" t="s">
        <v>3290</v>
      </c>
    </row>
    <row r="745" spans="1:32" s="1" customFormat="1" ht="72.5">
      <c r="A745" s="1184"/>
      <c r="B745" s="336"/>
      <c r="C745" s="2755" t="s">
        <v>2654</v>
      </c>
      <c r="D745" s="32" t="s">
        <v>32</v>
      </c>
      <c r="E745" s="32"/>
      <c r="F745" s="32"/>
      <c r="G745" s="32"/>
      <c r="H745" s="5" t="s">
        <v>2629</v>
      </c>
      <c r="I745" s="5" t="s">
        <v>34</v>
      </c>
      <c r="J745" s="16" t="s">
        <v>2630</v>
      </c>
      <c r="K745" s="16"/>
      <c r="L745" s="16"/>
      <c r="M745" s="14">
        <v>43709</v>
      </c>
      <c r="N745" s="14"/>
      <c r="O745" s="14">
        <v>43983</v>
      </c>
      <c r="P745" s="5">
        <v>33</v>
      </c>
      <c r="Q745" s="5" t="s">
        <v>3291</v>
      </c>
      <c r="R745" s="18">
        <v>1000000</v>
      </c>
      <c r="S745" s="5" t="s">
        <v>130</v>
      </c>
      <c r="T745" s="171" t="s">
        <v>70</v>
      </c>
      <c r="U745" s="51" t="s">
        <v>45</v>
      </c>
      <c r="V745" s="51"/>
      <c r="W745" s="5" t="s">
        <v>3292</v>
      </c>
      <c r="X745" s="5" t="s">
        <v>283</v>
      </c>
      <c r="Y745" s="5" t="s">
        <v>115</v>
      </c>
      <c r="Z745" s="5"/>
      <c r="AA745" s="5"/>
      <c r="AB745" s="199" t="s">
        <v>3016</v>
      </c>
      <c r="AC745" s="8" t="s">
        <v>3293</v>
      </c>
      <c r="AD745" s="76" t="s">
        <v>285</v>
      </c>
      <c r="AE745" s="164">
        <v>350000</v>
      </c>
    </row>
    <row r="746" spans="1:32" s="1" customFormat="1" ht="58">
      <c r="A746" s="1119"/>
      <c r="B746" s="60"/>
      <c r="C746" s="4" t="s">
        <v>3294</v>
      </c>
      <c r="D746" s="32" t="s">
        <v>57</v>
      </c>
      <c r="E746" s="32"/>
      <c r="F746" s="32"/>
      <c r="G746" s="32"/>
      <c r="H746" s="2751" t="s">
        <v>46</v>
      </c>
      <c r="I746" s="2751" t="s">
        <v>47</v>
      </c>
      <c r="J746" s="2752" t="s">
        <v>3295</v>
      </c>
      <c r="K746" s="2752"/>
      <c r="L746" s="2752"/>
      <c r="M746" s="199">
        <v>43709</v>
      </c>
      <c r="N746" s="199"/>
      <c r="O746" s="49">
        <v>43983</v>
      </c>
      <c r="P746" s="2751">
        <v>15</v>
      </c>
      <c r="Q746" s="2751">
        <v>15</v>
      </c>
      <c r="R746" s="18">
        <v>670000</v>
      </c>
      <c r="S746" s="2751" t="s">
        <v>84</v>
      </c>
      <c r="T746" s="2886" t="s">
        <v>70</v>
      </c>
      <c r="U746" s="53">
        <v>43949</v>
      </c>
      <c r="V746" s="53"/>
      <c r="W746" s="2751" t="s">
        <v>3296</v>
      </c>
      <c r="X746" s="2751" t="s">
        <v>715</v>
      </c>
      <c r="Y746" s="5" t="s">
        <v>727</v>
      </c>
      <c r="Z746" s="5"/>
      <c r="AA746" s="2880"/>
      <c r="AB746" s="45" t="s">
        <v>3016</v>
      </c>
      <c r="AC746" s="2758" t="s">
        <v>3297</v>
      </c>
      <c r="AD746" s="76" t="s">
        <v>46</v>
      </c>
      <c r="AE746" s="2876" t="s">
        <v>3298</v>
      </c>
    </row>
    <row r="747" spans="1:32" s="1" customFormat="1" ht="29">
      <c r="A747" s="2756"/>
      <c r="B747" s="464" t="s">
        <v>100</v>
      </c>
      <c r="C747" s="362" t="s">
        <v>1305</v>
      </c>
      <c r="D747" s="118" t="s">
        <v>110</v>
      </c>
      <c r="E747" s="118"/>
      <c r="F747" s="118"/>
      <c r="G747" s="118"/>
      <c r="H747" s="8" t="s">
        <v>103</v>
      </c>
      <c r="I747" s="8" t="s">
        <v>47</v>
      </c>
      <c r="J747" s="16" t="s">
        <v>3299</v>
      </c>
      <c r="K747" s="8"/>
      <c r="L747" s="8"/>
      <c r="M747" s="367">
        <v>43191</v>
      </c>
      <c r="N747" s="8"/>
      <c r="O747" s="367">
        <v>43983</v>
      </c>
      <c r="P747" s="368">
        <v>60</v>
      </c>
      <c r="Q747" s="384" t="s">
        <v>187</v>
      </c>
      <c r="R747" s="371">
        <v>2390599</v>
      </c>
      <c r="S747" s="387" t="s">
        <v>105</v>
      </c>
      <c r="T747" s="390" t="s">
        <v>70</v>
      </c>
      <c r="U747" s="388">
        <v>43630</v>
      </c>
      <c r="V747" s="388"/>
      <c r="W747" s="8" t="s">
        <v>1308</v>
      </c>
      <c r="X747" s="8" t="s">
        <v>1764</v>
      </c>
      <c r="Y747" s="8" t="s">
        <v>727</v>
      </c>
      <c r="Z747" s="8"/>
      <c r="AA747" s="160"/>
      <c r="AB747" s="160" t="s">
        <v>3300</v>
      </c>
      <c r="AC747" s="177"/>
      <c r="AD747" s="432"/>
      <c r="AE747" s="487"/>
      <c r="AF747" s="3"/>
    </row>
    <row r="748" spans="1:32" s="1" customFormat="1" ht="72.5">
      <c r="A748" s="2756"/>
      <c r="B748" s="464" t="s">
        <v>100</v>
      </c>
      <c r="C748" s="362" t="s">
        <v>71</v>
      </c>
      <c r="D748" s="118" t="s">
        <v>122</v>
      </c>
      <c r="E748" s="118"/>
      <c r="F748" s="118"/>
      <c r="G748" s="118"/>
      <c r="H748" s="8" t="s">
        <v>197</v>
      </c>
      <c r="I748" s="8" t="s">
        <v>34</v>
      </c>
      <c r="J748" s="16" t="s">
        <v>698</v>
      </c>
      <c r="K748" s="8"/>
      <c r="L748" s="8"/>
      <c r="M748" s="367">
        <v>43522</v>
      </c>
      <c r="N748" s="8"/>
      <c r="O748" s="367">
        <v>43983</v>
      </c>
      <c r="P748" s="369">
        <v>24</v>
      </c>
      <c r="Q748" s="369" t="s">
        <v>1345</v>
      </c>
      <c r="R748" s="159">
        <v>64000</v>
      </c>
      <c r="S748" s="5" t="s">
        <v>51</v>
      </c>
      <c r="T748" s="481" t="s">
        <v>38</v>
      </c>
      <c r="U748" s="357" t="s">
        <v>71</v>
      </c>
      <c r="V748" s="357"/>
      <c r="W748" s="8" t="s">
        <v>699</v>
      </c>
      <c r="X748" s="8" t="s">
        <v>1764</v>
      </c>
      <c r="Y748" s="8" t="s">
        <v>115</v>
      </c>
      <c r="Z748" s="8"/>
      <c r="AA748" s="366"/>
      <c r="AB748" s="366"/>
      <c r="AC748" s="431" t="s">
        <v>3301</v>
      </c>
      <c r="AD748" s="438"/>
      <c r="AE748" s="489"/>
    </row>
    <row r="749" spans="1:32" s="1" customFormat="1" ht="87">
      <c r="A749" s="1184"/>
      <c r="B749" s="147" t="s">
        <v>44</v>
      </c>
      <c r="C749" s="4" t="s">
        <v>1102</v>
      </c>
      <c r="D749" s="31" t="s">
        <v>32</v>
      </c>
      <c r="E749" s="31"/>
      <c r="F749" s="31"/>
      <c r="G749" s="31"/>
      <c r="H749" s="5" t="s">
        <v>33</v>
      </c>
      <c r="I749" s="5" t="s">
        <v>47</v>
      </c>
      <c r="J749" s="16" t="s">
        <v>3302</v>
      </c>
      <c r="K749" s="8"/>
      <c r="L749" s="8"/>
      <c r="M749" s="14">
        <v>43678</v>
      </c>
      <c r="N749" s="14"/>
      <c r="O749" s="14">
        <v>43983</v>
      </c>
      <c r="P749" s="12">
        <v>50</v>
      </c>
      <c r="Q749" s="5" t="s">
        <v>3303</v>
      </c>
      <c r="R749" s="18">
        <v>55000</v>
      </c>
      <c r="S749" s="199" t="s">
        <v>84</v>
      </c>
      <c r="T749" s="26" t="s">
        <v>62</v>
      </c>
      <c r="U749" s="4"/>
      <c r="V749" s="4"/>
      <c r="W749" s="5" t="s">
        <v>3304</v>
      </c>
      <c r="X749" s="5" t="s">
        <v>86</v>
      </c>
      <c r="Y749" s="5" t="s">
        <v>40</v>
      </c>
      <c r="Z749" s="5"/>
      <c r="AA749" s="26"/>
      <c r="AB749" s="45">
        <v>43871</v>
      </c>
      <c r="AC749" s="8" t="s">
        <v>3305</v>
      </c>
      <c r="AE749" s="225"/>
    </row>
    <row r="750" spans="1:32" s="1" customFormat="1" ht="43.5">
      <c r="A750" s="1185"/>
      <c r="B750" s="60"/>
      <c r="C750" s="4"/>
      <c r="D750" s="31" t="s">
        <v>32</v>
      </c>
      <c r="E750" s="31"/>
      <c r="F750" s="31"/>
      <c r="G750" s="31"/>
      <c r="H750" s="5" t="s">
        <v>279</v>
      </c>
      <c r="I750" s="12" t="s">
        <v>47</v>
      </c>
      <c r="J750" s="16" t="s">
        <v>280</v>
      </c>
      <c r="K750" s="8"/>
      <c r="L750" s="8"/>
      <c r="M750" s="199">
        <v>43709</v>
      </c>
      <c r="N750" s="199"/>
      <c r="O750" s="199">
        <v>43992</v>
      </c>
      <c r="P750" s="5">
        <v>24</v>
      </c>
      <c r="Q750" s="25" t="s">
        <v>1345</v>
      </c>
      <c r="R750" s="18">
        <v>20000</v>
      </c>
      <c r="S750" s="125" t="s">
        <v>84</v>
      </c>
      <c r="T750" s="163" t="s">
        <v>38</v>
      </c>
      <c r="U750" s="11" t="s">
        <v>67</v>
      </c>
      <c r="V750" s="11"/>
      <c r="W750" s="5" t="s">
        <v>3306</v>
      </c>
      <c r="X750" s="5" t="s">
        <v>189</v>
      </c>
      <c r="Y750" s="5" t="s">
        <v>727</v>
      </c>
      <c r="Z750" s="5"/>
      <c r="AA750" s="5"/>
      <c r="AB750" s="199" t="s">
        <v>3016</v>
      </c>
      <c r="AC750" s="8" t="s">
        <v>251</v>
      </c>
      <c r="AD750" s="76" t="s">
        <v>285</v>
      </c>
      <c r="AE750" s="164">
        <v>10000</v>
      </c>
    </row>
    <row r="751" spans="1:32" s="1" customFormat="1" ht="72.5">
      <c r="A751" s="1119"/>
      <c r="B751" s="60"/>
      <c r="C751" s="4"/>
      <c r="D751" s="31" t="s">
        <v>32</v>
      </c>
      <c r="E751" s="31"/>
      <c r="F751" s="31"/>
      <c r="G751" s="31"/>
      <c r="H751" s="5" t="s">
        <v>279</v>
      </c>
      <c r="I751" s="12" t="s">
        <v>47</v>
      </c>
      <c r="J751" s="16" t="s">
        <v>280</v>
      </c>
      <c r="K751" s="8"/>
      <c r="L751" s="5" t="e">
        <f>IF(OR(S751=#REF!,S751=#REF!,S751=#REF!,S751=#REF!,S751=#REF!,S751=#REF!,S751=#REF!,S751=#REF!),12,IF(OR(S751=#REF!,S751=#REF!,S751=#REF!,S751=#REF!,S751=#REF!,S751=#REF!,S751=#REF!),3,IF(S751=#REF!,1,IF(S751=#REF!,18,IF(OR(S751=#REF!,S751=#REF!,S751=#REF!,S751=#REF!,S751=#REF!),14,"Invalid proposed procurement method")))))</f>
        <v>#REF!</v>
      </c>
      <c r="M751" s="199" t="str">
        <f>IFERROR(EDATE($N751,-3),"Invalid procurement method or date entered")</f>
        <v>Invalid procurement method or date entered</v>
      </c>
      <c r="N751" s="199" t="str">
        <f>IFERROR(EDATE(O751,-L751),"Invalid procurement method or date entered")</f>
        <v>Invalid procurement method or date entered</v>
      </c>
      <c r="O751" s="199">
        <v>43993</v>
      </c>
      <c r="P751" s="5">
        <v>48</v>
      </c>
      <c r="Q751" s="25" t="s">
        <v>3307</v>
      </c>
      <c r="R751" s="41">
        <v>40000</v>
      </c>
      <c r="S751" s="125" t="s">
        <v>84</v>
      </c>
      <c r="T751" s="163" t="s">
        <v>38</v>
      </c>
      <c r="U751" s="11" t="s">
        <v>67</v>
      </c>
      <c r="V751" s="11"/>
      <c r="W751" s="5" t="s">
        <v>658</v>
      </c>
      <c r="X751" s="5" t="s">
        <v>283</v>
      </c>
      <c r="Y751" s="190" t="s">
        <v>40</v>
      </c>
      <c r="Z751" s="190"/>
      <c r="AA751" s="5" t="s">
        <v>38</v>
      </c>
      <c r="AB751" s="199" t="s">
        <v>41</v>
      </c>
      <c r="AC751" s="8" t="s">
        <v>3308</v>
      </c>
      <c r="AD751" s="76" t="s">
        <v>285</v>
      </c>
      <c r="AE751" s="164">
        <v>10000</v>
      </c>
    </row>
    <row r="752" spans="1:32" s="1" customFormat="1">
      <c r="A752" s="1648">
        <v>44974</v>
      </c>
      <c r="B752" s="1569" t="s">
        <v>1168</v>
      </c>
      <c r="C752" s="1664" t="s">
        <v>3309</v>
      </c>
      <c r="D752" s="1570" t="s">
        <v>2054</v>
      </c>
      <c r="E752" s="1569" t="s">
        <v>1168</v>
      </c>
      <c r="F752" s="1569" t="s">
        <v>1170</v>
      </c>
      <c r="G752" s="1569" t="s">
        <v>1170</v>
      </c>
      <c r="H752" s="1655" t="s">
        <v>1170</v>
      </c>
      <c r="I752" s="1655" t="s">
        <v>1170</v>
      </c>
      <c r="J752" s="1698" t="s">
        <v>2084</v>
      </c>
      <c r="K752" s="1664" t="s">
        <v>2085</v>
      </c>
      <c r="L752" s="1655" t="s">
        <v>1170</v>
      </c>
      <c r="M752" s="1655" t="s">
        <v>1170</v>
      </c>
      <c r="N752" s="1655" t="s">
        <v>1170</v>
      </c>
      <c r="O752" s="1755">
        <v>43993</v>
      </c>
      <c r="P752" s="1755">
        <v>44723</v>
      </c>
      <c r="Q752" s="1667" t="s">
        <v>71</v>
      </c>
      <c r="R752" s="1805">
        <v>10000</v>
      </c>
      <c r="S752" s="1570" t="s">
        <v>2086</v>
      </c>
      <c r="T752" s="1842" t="s">
        <v>1170</v>
      </c>
      <c r="U752" s="1655" t="s">
        <v>1170</v>
      </c>
      <c r="V752" s="1655"/>
      <c r="W752" s="1664" t="s">
        <v>2087</v>
      </c>
      <c r="X752" s="1664" t="s">
        <v>1175</v>
      </c>
      <c r="Y752" s="1664" t="s">
        <v>251</v>
      </c>
      <c r="Z752" s="1655" t="s">
        <v>1170</v>
      </c>
      <c r="AA752" s="1655" t="s">
        <v>1170</v>
      </c>
      <c r="AB752" s="1655" t="s">
        <v>1170</v>
      </c>
      <c r="AC752" s="1698" t="s">
        <v>3310</v>
      </c>
      <c r="AD752" s="1657" t="s">
        <v>1170</v>
      </c>
      <c r="AE752" s="1934">
        <v>10000</v>
      </c>
      <c r="AF752"/>
    </row>
    <row r="753" spans="1:32" s="1" customFormat="1" ht="43.5">
      <c r="A753" s="1185"/>
      <c r="B753" s="60"/>
      <c r="C753" s="4" t="s">
        <v>71</v>
      </c>
      <c r="D753" s="31" t="s">
        <v>57</v>
      </c>
      <c r="E753" s="31"/>
      <c r="F753" s="31"/>
      <c r="G753" s="31"/>
      <c r="H753" s="5" t="s">
        <v>496</v>
      </c>
      <c r="I753" s="5" t="s">
        <v>47</v>
      </c>
      <c r="J753" s="16" t="s">
        <v>797</v>
      </c>
      <c r="K753" s="8"/>
      <c r="L753" s="8"/>
      <c r="M753" s="199">
        <v>43783</v>
      </c>
      <c r="N753" s="199"/>
      <c r="O753" s="199">
        <v>44013</v>
      </c>
      <c r="P753" s="5">
        <v>36</v>
      </c>
      <c r="Q753" s="7" t="s">
        <v>98</v>
      </c>
      <c r="R753" s="18">
        <v>3150000</v>
      </c>
      <c r="S753" s="5" t="s">
        <v>2110</v>
      </c>
      <c r="T753" s="26" t="s">
        <v>70</v>
      </c>
      <c r="U753" s="182">
        <v>43891</v>
      </c>
      <c r="V753" s="182"/>
      <c r="W753" s="5" t="s">
        <v>798</v>
      </c>
      <c r="X753" s="5" t="s">
        <v>86</v>
      </c>
      <c r="Y753" s="5" t="s">
        <v>40</v>
      </c>
      <c r="Z753" s="5"/>
      <c r="AA753" s="5"/>
      <c r="AB753" s="199" t="s">
        <v>3016</v>
      </c>
      <c r="AC753" s="36" t="s">
        <v>3311</v>
      </c>
      <c r="AD753" s="76" t="s">
        <v>496</v>
      </c>
      <c r="AE753" s="164"/>
    </row>
    <row r="754" spans="1:32" s="1" customFormat="1" ht="29">
      <c r="A754" s="1184"/>
      <c r="B754" s="464" t="s">
        <v>100</v>
      </c>
      <c r="C754" s="362"/>
      <c r="D754" s="118" t="s">
        <v>32</v>
      </c>
      <c r="E754" s="118"/>
      <c r="F754" s="118"/>
      <c r="G754" s="118"/>
      <c r="H754" s="8" t="s">
        <v>103</v>
      </c>
      <c r="I754" s="8" t="s">
        <v>268</v>
      </c>
      <c r="J754" s="16" t="s">
        <v>1458</v>
      </c>
      <c r="K754" s="8"/>
      <c r="L754" s="8"/>
      <c r="M754" s="367">
        <v>43862</v>
      </c>
      <c r="N754" s="8"/>
      <c r="O754" s="367">
        <v>44013</v>
      </c>
      <c r="P754" s="368">
        <v>60</v>
      </c>
      <c r="Q754" s="368" t="s">
        <v>171</v>
      </c>
      <c r="R754" s="159">
        <v>400000</v>
      </c>
      <c r="S754" s="5" t="s">
        <v>270</v>
      </c>
      <c r="T754" s="390" t="s">
        <v>38</v>
      </c>
      <c r="U754" s="388"/>
      <c r="V754" s="388"/>
      <c r="W754" s="8" t="s">
        <v>3312</v>
      </c>
      <c r="X754" s="8" t="s">
        <v>120</v>
      </c>
      <c r="Y754" s="8" t="s">
        <v>40</v>
      </c>
      <c r="Z754" s="8"/>
      <c r="AA754" s="364"/>
      <c r="AB754" s="364"/>
      <c r="AC754" s="363" t="s">
        <v>3313</v>
      </c>
      <c r="AD754" s="401"/>
      <c r="AE754" s="500"/>
    </row>
    <row r="755" spans="1:32" s="1" customFormat="1" ht="43.4" customHeight="1">
      <c r="A755" s="1184"/>
      <c r="B755" s="464" t="s">
        <v>100</v>
      </c>
      <c r="C755" s="362"/>
      <c r="D755" s="118" t="s">
        <v>110</v>
      </c>
      <c r="E755" s="118"/>
      <c r="F755" s="118"/>
      <c r="G755" s="118"/>
      <c r="H755" s="8" t="s">
        <v>103</v>
      </c>
      <c r="I755" s="8" t="s">
        <v>34</v>
      </c>
      <c r="J755" s="16" t="s">
        <v>3314</v>
      </c>
      <c r="K755" s="8"/>
      <c r="L755" s="8"/>
      <c r="M755" s="367">
        <v>43903</v>
      </c>
      <c r="N755" s="8"/>
      <c r="O755" s="367">
        <v>44013</v>
      </c>
      <c r="P755" s="71">
        <v>60</v>
      </c>
      <c r="Q755" s="165">
        <v>60</v>
      </c>
      <c r="R755" s="159">
        <v>50000</v>
      </c>
      <c r="S755" s="5" t="s">
        <v>130</v>
      </c>
      <c r="T755" s="390" t="s">
        <v>38</v>
      </c>
      <c r="U755" s="365"/>
      <c r="V755" s="365"/>
      <c r="W755" s="8" t="s">
        <v>3315</v>
      </c>
      <c r="X755" s="8" t="s">
        <v>120</v>
      </c>
      <c r="Y755" s="8" t="s">
        <v>115</v>
      </c>
      <c r="Z755" s="8"/>
      <c r="AA755" s="1883"/>
      <c r="AB755" s="489" t="s">
        <v>3316</v>
      </c>
      <c r="AC755" s="177"/>
      <c r="AD755" s="432"/>
      <c r="AE755" s="487"/>
    </row>
    <row r="756" spans="1:32" s="1" customFormat="1" ht="43.4" customHeight="1">
      <c r="A756" s="1119"/>
      <c r="B756" s="958" t="s">
        <v>56</v>
      </c>
      <c r="C756" s="338"/>
      <c r="D756" s="611" t="s">
        <v>32</v>
      </c>
      <c r="E756" s="611"/>
      <c r="F756" s="611"/>
      <c r="G756" s="611"/>
      <c r="H756" s="511" t="s">
        <v>308</v>
      </c>
      <c r="I756" s="519" t="s">
        <v>47</v>
      </c>
      <c r="J756" s="606" t="s">
        <v>3317</v>
      </c>
      <c r="K756" s="529"/>
      <c r="L756" s="602">
        <v>43832</v>
      </c>
      <c r="M756" s="602"/>
      <c r="N756" s="602"/>
      <c r="O756" s="597">
        <v>44013</v>
      </c>
      <c r="P756" s="516" t="s">
        <v>60</v>
      </c>
      <c r="Q756" s="1009" t="s">
        <v>60</v>
      </c>
      <c r="R756" s="604" t="s">
        <v>60</v>
      </c>
      <c r="S756" s="1043" t="s">
        <v>60</v>
      </c>
      <c r="T756" s="1055" t="s">
        <v>1568</v>
      </c>
      <c r="U756" s="515"/>
      <c r="V756" s="515"/>
      <c r="W756" s="519" t="s">
        <v>714</v>
      </c>
      <c r="X756" s="120"/>
      <c r="Y756" s="120"/>
      <c r="Z756" s="120"/>
      <c r="AA756" s="120"/>
      <c r="AB756" s="120"/>
      <c r="AC756" s="120"/>
      <c r="AD756"/>
      <c r="AE756" s="186"/>
    </row>
    <row r="757" spans="1:32" s="1" customFormat="1" ht="43.4" customHeight="1">
      <c r="A757" s="1119"/>
      <c r="B757" s="958" t="s">
        <v>56</v>
      </c>
      <c r="C757" s="338"/>
      <c r="D757" s="611" t="s">
        <v>32</v>
      </c>
      <c r="E757" s="611"/>
      <c r="F757" s="611"/>
      <c r="G757" s="611"/>
      <c r="H757" s="511" t="s">
        <v>308</v>
      </c>
      <c r="I757" s="519" t="s">
        <v>47</v>
      </c>
      <c r="J757" s="606" t="s">
        <v>3318</v>
      </c>
      <c r="K757" s="529"/>
      <c r="L757" s="602">
        <v>43832</v>
      </c>
      <c r="M757" s="602"/>
      <c r="N757" s="602"/>
      <c r="O757" s="597">
        <v>44013</v>
      </c>
      <c r="P757" s="516" t="s">
        <v>60</v>
      </c>
      <c r="Q757" s="516" t="s">
        <v>60</v>
      </c>
      <c r="R757" s="604" t="s">
        <v>60</v>
      </c>
      <c r="S757" s="523" t="s">
        <v>60</v>
      </c>
      <c r="T757" s="1055" t="s">
        <v>38</v>
      </c>
      <c r="U757" s="515"/>
      <c r="V757" s="515"/>
      <c r="W757" s="519" t="s">
        <v>714</v>
      </c>
      <c r="X757" s="120"/>
      <c r="Y757" s="120"/>
      <c r="Z757" s="120"/>
      <c r="AA757" s="120"/>
      <c r="AB757" s="120"/>
      <c r="AC757" s="120"/>
      <c r="AD757"/>
      <c r="AE757" s="186"/>
    </row>
    <row r="758" spans="1:32" s="1" customFormat="1" ht="25">
      <c r="A758" s="1119"/>
      <c r="B758" s="958" t="s">
        <v>56</v>
      </c>
      <c r="C758" s="338"/>
      <c r="D758" s="611" t="s">
        <v>32</v>
      </c>
      <c r="E758" s="611"/>
      <c r="F758" s="611"/>
      <c r="G758" s="611"/>
      <c r="H758" s="511" t="s">
        <v>308</v>
      </c>
      <c r="I758" s="519" t="s">
        <v>47</v>
      </c>
      <c r="J758" s="606" t="s">
        <v>3319</v>
      </c>
      <c r="K758" s="529"/>
      <c r="L758" s="602">
        <v>43832</v>
      </c>
      <c r="M758" s="602"/>
      <c r="N758" s="602"/>
      <c r="O758" s="597">
        <v>44013</v>
      </c>
      <c r="P758" s="516" t="s">
        <v>60</v>
      </c>
      <c r="Q758" s="1009" t="s">
        <v>60</v>
      </c>
      <c r="R758" s="604" t="s">
        <v>60</v>
      </c>
      <c r="S758" s="1043" t="s">
        <v>60</v>
      </c>
      <c r="T758" s="1055" t="s">
        <v>38</v>
      </c>
      <c r="U758" s="515"/>
      <c r="V758" s="515"/>
      <c r="W758" s="519" t="s">
        <v>714</v>
      </c>
      <c r="X758" s="120"/>
      <c r="Y758" s="120"/>
      <c r="Z758" s="120"/>
      <c r="AA758" s="120"/>
      <c r="AB758" s="120"/>
      <c r="AC758" s="120"/>
      <c r="AD758"/>
      <c r="AE758" s="186"/>
    </row>
    <row r="759" spans="1:32" s="1" customFormat="1" ht="25">
      <c r="A759" s="1119"/>
      <c r="B759" s="958" t="s">
        <v>56</v>
      </c>
      <c r="C759" s="338"/>
      <c r="D759" s="611" t="s">
        <v>32</v>
      </c>
      <c r="E759" s="611"/>
      <c r="F759" s="611"/>
      <c r="G759" s="611"/>
      <c r="H759" s="511" t="s">
        <v>308</v>
      </c>
      <c r="I759" s="519" t="s">
        <v>47</v>
      </c>
      <c r="J759" s="606" t="s">
        <v>3320</v>
      </c>
      <c r="K759" s="529"/>
      <c r="L759" s="602">
        <v>43832</v>
      </c>
      <c r="M759" s="602"/>
      <c r="N759" s="602"/>
      <c r="O759" s="597">
        <v>44013</v>
      </c>
      <c r="P759" s="516" t="s">
        <v>60</v>
      </c>
      <c r="Q759" s="1009" t="s">
        <v>60</v>
      </c>
      <c r="R759" s="599">
        <v>1329000</v>
      </c>
      <c r="S759" s="1043" t="s">
        <v>60</v>
      </c>
      <c r="T759" s="1055" t="s">
        <v>2569</v>
      </c>
      <c r="U759" s="515"/>
      <c r="V759" s="515"/>
      <c r="W759" s="519" t="s">
        <v>714</v>
      </c>
      <c r="X759" s="120"/>
      <c r="Y759" s="120"/>
      <c r="Z759" s="120"/>
      <c r="AA759" s="186"/>
      <c r="AB759" s="186"/>
      <c r="AC759" s="120"/>
      <c r="AD759"/>
      <c r="AE759" s="186"/>
    </row>
    <row r="760" spans="1:32" s="1" customFormat="1" ht="37.5">
      <c r="A760" s="1119"/>
      <c r="B760" s="958" t="s">
        <v>56</v>
      </c>
      <c r="C760" s="510" t="s">
        <v>991</v>
      </c>
      <c r="D760" s="611" t="s">
        <v>122</v>
      </c>
      <c r="E760" s="611"/>
      <c r="F760" s="611"/>
      <c r="G760" s="611"/>
      <c r="H760" s="511" t="s">
        <v>308</v>
      </c>
      <c r="I760" s="519" t="s">
        <v>47</v>
      </c>
      <c r="J760" s="1578" t="s">
        <v>3321</v>
      </c>
      <c r="K760" s="512"/>
      <c r="L760" s="530">
        <v>43862</v>
      </c>
      <c r="M760" s="530"/>
      <c r="N760" s="530"/>
      <c r="O760" s="530">
        <v>44013</v>
      </c>
      <c r="P760" s="516" t="s">
        <v>60</v>
      </c>
      <c r="Q760" s="1009" t="s">
        <v>60</v>
      </c>
      <c r="R760" s="599" t="s">
        <v>60</v>
      </c>
      <c r="S760" s="523" t="s">
        <v>2110</v>
      </c>
      <c r="T760" s="1055" t="s">
        <v>60</v>
      </c>
      <c r="U760" s="515"/>
      <c r="V760" s="515"/>
      <c r="W760" s="533"/>
      <c r="X760" s="120"/>
      <c r="Y760" s="120"/>
      <c r="Z760" s="120"/>
      <c r="AA760" s="186"/>
      <c r="AB760" s="186"/>
      <c r="AC760" s="120"/>
      <c r="AD760"/>
      <c r="AE760" s="186"/>
    </row>
    <row r="761" spans="1:32" s="1" customFormat="1" ht="37.5">
      <c r="A761" s="1119"/>
      <c r="B761" s="958" t="s">
        <v>56</v>
      </c>
      <c r="C761" s="510" t="s">
        <v>991</v>
      </c>
      <c r="D761" s="611" t="s">
        <v>122</v>
      </c>
      <c r="E761" s="611"/>
      <c r="F761" s="611"/>
      <c r="G761" s="611"/>
      <c r="H761" s="511" t="s">
        <v>308</v>
      </c>
      <c r="I761" s="519" t="s">
        <v>47</v>
      </c>
      <c r="J761" s="1578" t="s">
        <v>3322</v>
      </c>
      <c r="K761" s="512"/>
      <c r="L761" s="530">
        <v>43862</v>
      </c>
      <c r="M761" s="530"/>
      <c r="N761" s="530"/>
      <c r="O761" s="530">
        <v>44013</v>
      </c>
      <c r="P761" s="516" t="s">
        <v>60</v>
      </c>
      <c r="Q761" s="1009" t="s">
        <v>60</v>
      </c>
      <c r="R761" s="599" t="s">
        <v>60</v>
      </c>
      <c r="S761" s="1043" t="s">
        <v>2110</v>
      </c>
      <c r="T761" s="1055" t="s">
        <v>60</v>
      </c>
      <c r="U761" s="515"/>
      <c r="V761" s="515"/>
      <c r="W761" s="533"/>
      <c r="X761" s="120"/>
      <c r="Y761" s="120"/>
      <c r="Z761" s="120"/>
      <c r="AA761" s="120"/>
      <c r="AB761" s="120"/>
      <c r="AC761" s="120"/>
      <c r="AD761"/>
      <c r="AE761" s="186"/>
    </row>
    <row r="762" spans="1:32" s="1" customFormat="1" ht="62.5">
      <c r="A762" s="1119"/>
      <c r="B762" s="958" t="s">
        <v>56</v>
      </c>
      <c r="C762" s="510" t="s">
        <v>60</v>
      </c>
      <c r="D762" s="611" t="s">
        <v>122</v>
      </c>
      <c r="E762" s="611"/>
      <c r="F762" s="611"/>
      <c r="G762" s="611"/>
      <c r="H762" s="511" t="s">
        <v>308</v>
      </c>
      <c r="I762" s="519" t="s">
        <v>47</v>
      </c>
      <c r="J762" s="1578" t="s">
        <v>2702</v>
      </c>
      <c r="K762" s="512"/>
      <c r="L762" s="530">
        <v>43832</v>
      </c>
      <c r="M762" s="530"/>
      <c r="N762" s="530"/>
      <c r="O762" s="530">
        <v>44013</v>
      </c>
      <c r="P762" s="516" t="s">
        <v>60</v>
      </c>
      <c r="Q762" s="1009" t="s">
        <v>60</v>
      </c>
      <c r="R762" s="599">
        <v>4000000</v>
      </c>
      <c r="S762" s="1043" t="s">
        <v>60</v>
      </c>
      <c r="T762" s="515" t="s">
        <v>310</v>
      </c>
      <c r="U762" s="515"/>
      <c r="V762" s="515"/>
      <c r="W762" s="533" t="s">
        <v>2408</v>
      </c>
      <c r="X762" s="120"/>
      <c r="Y762" s="120"/>
      <c r="Z762" s="120"/>
      <c r="AA762" s="120"/>
      <c r="AB762" s="120"/>
      <c r="AC762" s="120"/>
      <c r="AD762" s="336"/>
      <c r="AE762" s="186"/>
    </row>
    <row r="763" spans="1:32" s="1" customFormat="1" ht="50">
      <c r="A763" s="1119"/>
      <c r="B763" s="958" t="s">
        <v>56</v>
      </c>
      <c r="C763" s="510" t="s">
        <v>3323</v>
      </c>
      <c r="D763" s="611" t="s">
        <v>122</v>
      </c>
      <c r="E763" s="611"/>
      <c r="F763" s="611"/>
      <c r="G763" s="611"/>
      <c r="H763" s="511" t="s">
        <v>308</v>
      </c>
      <c r="I763" s="519" t="s">
        <v>47</v>
      </c>
      <c r="J763" s="1578" t="s">
        <v>3324</v>
      </c>
      <c r="K763" s="512"/>
      <c r="L763" s="530">
        <v>43739</v>
      </c>
      <c r="M763" s="530"/>
      <c r="N763" s="530"/>
      <c r="O763" s="530">
        <v>44013</v>
      </c>
      <c r="P763" s="516">
        <v>10</v>
      </c>
      <c r="Q763" s="1009">
        <v>10</v>
      </c>
      <c r="R763" s="599">
        <v>2200000</v>
      </c>
      <c r="S763" s="1043" t="s">
        <v>3325</v>
      </c>
      <c r="T763" s="1055" t="s">
        <v>310</v>
      </c>
      <c r="U763" s="515" t="s">
        <v>60</v>
      </c>
      <c r="V763" s="515"/>
      <c r="W763" s="519" t="s">
        <v>2448</v>
      </c>
      <c r="X763" s="120"/>
      <c r="Y763" s="120"/>
      <c r="Z763" s="120"/>
      <c r="AA763" s="120"/>
      <c r="AB763" s="120"/>
      <c r="AC763" s="120"/>
      <c r="AD763"/>
      <c r="AE763" s="186"/>
    </row>
    <row r="764" spans="1:32" s="1" customFormat="1" ht="50">
      <c r="A764" s="1119"/>
      <c r="B764" s="958" t="s">
        <v>56</v>
      </c>
      <c r="C764" s="510" t="s">
        <v>60</v>
      </c>
      <c r="D764" s="611" t="s">
        <v>32</v>
      </c>
      <c r="E764" s="611"/>
      <c r="F764" s="611"/>
      <c r="G764" s="611"/>
      <c r="H764" s="511" t="s">
        <v>308</v>
      </c>
      <c r="I764" s="519" t="s">
        <v>47</v>
      </c>
      <c r="J764" s="1578" t="s">
        <v>3326</v>
      </c>
      <c r="K764" s="512"/>
      <c r="L764" s="515" t="s">
        <v>60</v>
      </c>
      <c r="M764" s="515"/>
      <c r="N764" s="515"/>
      <c r="O764" s="515">
        <v>44013</v>
      </c>
      <c r="P764" s="516" t="s">
        <v>60</v>
      </c>
      <c r="Q764" s="516" t="s">
        <v>60</v>
      </c>
      <c r="R764" s="599">
        <v>8000000</v>
      </c>
      <c r="S764" s="523" t="s">
        <v>60</v>
      </c>
      <c r="T764" s="1055" t="s">
        <v>310</v>
      </c>
      <c r="U764" s="515" t="s">
        <v>60</v>
      </c>
      <c r="V764" s="515"/>
      <c r="W764" s="519" t="s">
        <v>3327</v>
      </c>
      <c r="X764" s="120"/>
      <c r="Y764" s="120"/>
      <c r="Z764" s="120"/>
      <c r="AA764" s="120"/>
      <c r="AB764" s="120"/>
      <c r="AC764" s="120"/>
      <c r="AD764"/>
      <c r="AE764" s="186"/>
    </row>
    <row r="765" spans="1:32" s="1" customFormat="1" ht="87.5">
      <c r="A765" s="1119"/>
      <c r="B765" s="958" t="s">
        <v>56</v>
      </c>
      <c r="C765" s="510" t="s">
        <v>3328</v>
      </c>
      <c r="D765" s="611" t="s">
        <v>122</v>
      </c>
      <c r="E765" s="611"/>
      <c r="F765" s="611"/>
      <c r="G765" s="611"/>
      <c r="H765" s="511" t="s">
        <v>308</v>
      </c>
      <c r="I765" s="519" t="s">
        <v>47</v>
      </c>
      <c r="J765" s="1578" t="s">
        <v>3329</v>
      </c>
      <c r="K765" s="512"/>
      <c r="L765" s="515">
        <v>43983</v>
      </c>
      <c r="M765" s="515"/>
      <c r="N765" s="515"/>
      <c r="O765" s="515">
        <v>44013</v>
      </c>
      <c r="P765" s="516">
        <v>2</v>
      </c>
      <c r="Q765" s="1009">
        <v>2</v>
      </c>
      <c r="R765" s="599">
        <v>220000</v>
      </c>
      <c r="S765" s="1044" t="s">
        <v>2110</v>
      </c>
      <c r="T765" s="1055" t="s">
        <v>310</v>
      </c>
      <c r="U765" s="515" t="s">
        <v>60</v>
      </c>
      <c r="V765" s="515"/>
      <c r="W765" s="519" t="s">
        <v>3330</v>
      </c>
      <c r="X765" s="120"/>
      <c r="Y765" s="120"/>
      <c r="Z765" s="120"/>
      <c r="AA765" s="186"/>
      <c r="AB765" s="186"/>
      <c r="AC765" s="120"/>
      <c r="AD765"/>
      <c r="AE765" s="186"/>
    </row>
    <row r="766" spans="1:32" s="1" customFormat="1">
      <c r="A766" s="1648">
        <v>44974</v>
      </c>
      <c r="B766" s="1569" t="s">
        <v>1168</v>
      </c>
      <c r="C766" s="1664" t="s">
        <v>3331</v>
      </c>
      <c r="D766" s="1570" t="s">
        <v>2054</v>
      </c>
      <c r="E766" s="1569" t="s">
        <v>1168</v>
      </c>
      <c r="F766" s="1569" t="s">
        <v>1170</v>
      </c>
      <c r="G766" s="1569" t="s">
        <v>1170</v>
      </c>
      <c r="H766" s="1655" t="s">
        <v>1170</v>
      </c>
      <c r="I766" s="1655" t="s">
        <v>1170</v>
      </c>
      <c r="J766" s="1698" t="s">
        <v>3332</v>
      </c>
      <c r="K766" s="1664" t="s">
        <v>3333</v>
      </c>
      <c r="L766" s="1655" t="s">
        <v>1170</v>
      </c>
      <c r="M766" s="1655" t="s">
        <v>1170</v>
      </c>
      <c r="N766" s="1655" t="s">
        <v>1170</v>
      </c>
      <c r="O766" s="1755">
        <v>44013</v>
      </c>
      <c r="P766" s="1755">
        <v>45107</v>
      </c>
      <c r="Q766" s="1667" t="s">
        <v>3334</v>
      </c>
      <c r="R766" s="1805">
        <v>42140</v>
      </c>
      <c r="S766" s="1570" t="s">
        <v>3335</v>
      </c>
      <c r="T766" s="1842" t="s">
        <v>1170</v>
      </c>
      <c r="U766" s="1655" t="s">
        <v>1170</v>
      </c>
      <c r="V766" s="1655"/>
      <c r="W766" s="1664" t="s">
        <v>3336</v>
      </c>
      <c r="X766" s="1664" t="s">
        <v>1175</v>
      </c>
      <c r="Y766" s="1664" t="s">
        <v>251</v>
      </c>
      <c r="Z766" s="1655" t="s">
        <v>1170</v>
      </c>
      <c r="AA766" s="1842" t="s">
        <v>1170</v>
      </c>
      <c r="AB766" s="1842" t="s">
        <v>1170</v>
      </c>
      <c r="AC766" s="1698" t="s">
        <v>1170</v>
      </c>
      <c r="AD766" s="1657" t="s">
        <v>1170</v>
      </c>
      <c r="AE766" s="1934">
        <v>42140</v>
      </c>
      <c r="AF766"/>
    </row>
    <row r="767" spans="1:32" s="1" customFormat="1" ht="37.5">
      <c r="A767" s="1119"/>
      <c r="B767" s="958" t="s">
        <v>56</v>
      </c>
      <c r="C767" s="510" t="s">
        <v>60</v>
      </c>
      <c r="D767" s="611" t="s">
        <v>57</v>
      </c>
      <c r="E767" s="611"/>
      <c r="F767" s="611"/>
      <c r="G767" s="611"/>
      <c r="H767" s="511" t="s">
        <v>58</v>
      </c>
      <c r="I767" s="519" t="s">
        <v>47</v>
      </c>
      <c r="J767" s="1578" t="s">
        <v>3337</v>
      </c>
      <c r="K767" s="512"/>
      <c r="L767" s="515">
        <v>43922</v>
      </c>
      <c r="M767" s="515"/>
      <c r="N767" s="515"/>
      <c r="O767" s="515">
        <v>44025</v>
      </c>
      <c r="P767" s="516" t="s">
        <v>60</v>
      </c>
      <c r="Q767" s="516" t="s">
        <v>60</v>
      </c>
      <c r="R767" s="599">
        <f>276000+644000</f>
        <v>920000</v>
      </c>
      <c r="S767" s="1044" t="s">
        <v>1189</v>
      </c>
      <c r="T767" s="1055" t="s">
        <v>310</v>
      </c>
      <c r="U767" s="515">
        <v>43700</v>
      </c>
      <c r="V767" s="515"/>
      <c r="W767" s="519" t="s">
        <v>855</v>
      </c>
      <c r="X767" s="120"/>
      <c r="Y767" s="120"/>
      <c r="Z767" s="120"/>
      <c r="AA767" s="186"/>
      <c r="AB767" s="186"/>
      <c r="AC767" s="120"/>
      <c r="AD767"/>
      <c r="AE767" s="186"/>
    </row>
    <row r="768" spans="1:32" s="1" customFormat="1" ht="57.65" customHeight="1">
      <c r="A768" s="1119"/>
      <c r="B768" s="958" t="s">
        <v>56</v>
      </c>
      <c r="C768" s="510" t="s">
        <v>3338</v>
      </c>
      <c r="D768" s="611" t="s">
        <v>122</v>
      </c>
      <c r="E768" s="611"/>
      <c r="F768" s="611"/>
      <c r="G768" s="611"/>
      <c r="H768" s="511" t="s">
        <v>308</v>
      </c>
      <c r="I768" s="519" t="s">
        <v>47</v>
      </c>
      <c r="J768" s="1578" t="s">
        <v>3339</v>
      </c>
      <c r="K768" s="512"/>
      <c r="L768" s="530">
        <v>43847</v>
      </c>
      <c r="M768" s="530"/>
      <c r="N768" s="530"/>
      <c r="O768" s="530">
        <v>44032</v>
      </c>
      <c r="P768" s="516">
        <v>2</v>
      </c>
      <c r="Q768" s="1009">
        <v>2</v>
      </c>
      <c r="R768" s="599">
        <v>100000</v>
      </c>
      <c r="S768" s="1043" t="s">
        <v>2110</v>
      </c>
      <c r="T768" s="1055" t="s">
        <v>62</v>
      </c>
      <c r="U768" s="515" t="s">
        <v>589</v>
      </c>
      <c r="V768" s="515"/>
      <c r="W768" s="519" t="s">
        <v>3330</v>
      </c>
      <c r="X768" s="120"/>
      <c r="Y768" s="120"/>
      <c r="Z768" s="120"/>
      <c r="AA768" s="186"/>
      <c r="AB768" s="186"/>
      <c r="AC768" s="120"/>
      <c r="AD768"/>
      <c r="AE768" s="186"/>
    </row>
    <row r="769" spans="1:32" s="1" customFormat="1" ht="37.5">
      <c r="A769" s="1119"/>
      <c r="B769" s="958" t="s">
        <v>56</v>
      </c>
      <c r="C769" s="510" t="s">
        <v>3340</v>
      </c>
      <c r="D769" s="611" t="s">
        <v>122</v>
      </c>
      <c r="E769" s="611"/>
      <c r="F769" s="611"/>
      <c r="G769" s="611"/>
      <c r="H769" s="511" t="s">
        <v>308</v>
      </c>
      <c r="I769" s="519" t="s">
        <v>47</v>
      </c>
      <c r="J769" s="1578" t="s">
        <v>3341</v>
      </c>
      <c r="K769" s="512"/>
      <c r="L769" s="515">
        <v>43892</v>
      </c>
      <c r="M769" s="515"/>
      <c r="N769" s="515"/>
      <c r="O769" s="515">
        <v>44032</v>
      </c>
      <c r="P769" s="516">
        <v>2</v>
      </c>
      <c r="Q769" s="1009">
        <v>2</v>
      </c>
      <c r="R769" s="599">
        <v>429000</v>
      </c>
      <c r="S769" s="1044" t="s">
        <v>2110</v>
      </c>
      <c r="T769" s="1055" t="s">
        <v>62</v>
      </c>
      <c r="U769" s="515" t="s">
        <v>60</v>
      </c>
      <c r="V769" s="515"/>
      <c r="W769" s="519" t="s">
        <v>3040</v>
      </c>
      <c r="X769" s="120"/>
      <c r="Y769" s="120"/>
      <c r="Z769" s="120"/>
      <c r="AA769" s="120"/>
      <c r="AB769" s="120"/>
      <c r="AC769" s="120"/>
      <c r="AD769"/>
      <c r="AE769" s="186"/>
    </row>
    <row r="770" spans="1:32" s="1" customFormat="1" ht="37.5">
      <c r="A770" s="1119"/>
      <c r="B770" s="958" t="s">
        <v>56</v>
      </c>
      <c r="C770" s="510" t="s">
        <v>3342</v>
      </c>
      <c r="D770" s="611" t="s">
        <v>122</v>
      </c>
      <c r="E770" s="611"/>
      <c r="F770" s="611"/>
      <c r="G770" s="611"/>
      <c r="H770" s="511" t="s">
        <v>308</v>
      </c>
      <c r="I770" s="519" t="s">
        <v>47</v>
      </c>
      <c r="J770" s="1578" t="s">
        <v>3343</v>
      </c>
      <c r="K770" s="512"/>
      <c r="L770" s="515">
        <v>43906</v>
      </c>
      <c r="M770" s="515"/>
      <c r="N770" s="515"/>
      <c r="O770" s="515">
        <v>44032</v>
      </c>
      <c r="P770" s="516">
        <v>7</v>
      </c>
      <c r="Q770" s="516">
        <v>7</v>
      </c>
      <c r="R770" s="599">
        <v>1600000</v>
      </c>
      <c r="S770" s="515" t="s">
        <v>2110</v>
      </c>
      <c r="T770" s="1055" t="s">
        <v>310</v>
      </c>
      <c r="U770" s="515" t="s">
        <v>60</v>
      </c>
      <c r="V770" s="515"/>
      <c r="W770" s="519" t="s">
        <v>2448</v>
      </c>
      <c r="X770" s="120"/>
      <c r="Y770" s="120"/>
      <c r="Z770" s="120"/>
      <c r="AA770" s="120"/>
      <c r="AB770" s="120"/>
      <c r="AC770" s="120"/>
      <c r="AD770"/>
      <c r="AE770" s="186"/>
    </row>
    <row r="771" spans="1:32" s="1" customFormat="1" ht="115.4" customHeight="1">
      <c r="A771" s="1119"/>
      <c r="B771" s="60"/>
      <c r="C771" s="4"/>
      <c r="D771" s="32" t="s">
        <v>32</v>
      </c>
      <c r="E771" s="32"/>
      <c r="F771" s="32"/>
      <c r="G771" s="32"/>
      <c r="H771" s="5" t="s">
        <v>3344</v>
      </c>
      <c r="I771" s="12" t="s">
        <v>34</v>
      </c>
      <c r="J771" s="191" t="s">
        <v>3345</v>
      </c>
      <c r="K771" s="191"/>
      <c r="L771" s="5" t="e">
        <f>IF(OR(S771=#REF!,S771=#REF!,S771=#REF!,S771=#REF!,S771=#REF!,S771=#REF!,S771=#REF!,S771=#REF!),12,IF(OR(S771=#REF!,S771=#REF!,S771=#REF!,S771=#REF!,S771=#REF!,S771=#REF!,S771=#REF!),3,IF(S771=#REF!,1,IF(S771=#REF!,18,IF(OR(S771=#REF!,S771=#REF!,S771=#REF!,S771=#REF!,S771=#REF!),14,"Invalid proposed procurement method")))))</f>
        <v>#REF!</v>
      </c>
      <c r="M771" s="199" t="str">
        <f>IFERROR(EDATE($N771,-3),"Invalid procurement method or date entered")</f>
        <v>Invalid procurement method or date entered</v>
      </c>
      <c r="N771" s="199" t="str">
        <f>IFERROR(EDATE(O771,-L771),"Invalid procurement method or date entered")</f>
        <v>Invalid procurement method or date entered</v>
      </c>
      <c r="O771" s="199">
        <v>44044</v>
      </c>
      <c r="P771" s="12">
        <v>48</v>
      </c>
      <c r="Q771" s="7" t="s">
        <v>141</v>
      </c>
      <c r="R771" s="18">
        <v>200000</v>
      </c>
      <c r="S771" s="5" t="s">
        <v>130</v>
      </c>
      <c r="T771" s="163" t="s">
        <v>38</v>
      </c>
      <c r="U771" s="11" t="s">
        <v>67</v>
      </c>
      <c r="V771" s="11"/>
      <c r="W771" s="5" t="s">
        <v>3346</v>
      </c>
      <c r="X771" s="5" t="s">
        <v>283</v>
      </c>
      <c r="Y771" s="5" t="s">
        <v>40</v>
      </c>
      <c r="Z771" s="5"/>
      <c r="AA771" s="5" t="s">
        <v>70</v>
      </c>
      <c r="AB771" s="199" t="s">
        <v>41</v>
      </c>
      <c r="AC771" s="8" t="s">
        <v>3347</v>
      </c>
      <c r="AD771" s="76" t="s">
        <v>285</v>
      </c>
      <c r="AE771" s="164">
        <v>50000</v>
      </c>
    </row>
    <row r="772" spans="1:32" s="35" customFormat="1" ht="58">
      <c r="A772" s="1184"/>
      <c r="B772" s="147" t="s">
        <v>44</v>
      </c>
      <c r="C772" s="4" t="s">
        <v>45</v>
      </c>
      <c r="D772" s="5" t="s">
        <v>32</v>
      </c>
      <c r="E772" s="5"/>
      <c r="F772" s="5"/>
      <c r="G772" s="5"/>
      <c r="H772" s="5" t="s">
        <v>33</v>
      </c>
      <c r="I772" s="5" t="s">
        <v>34</v>
      </c>
      <c r="J772" s="16" t="s">
        <v>2149</v>
      </c>
      <c r="K772" s="8"/>
      <c r="L772" s="8"/>
      <c r="M772" s="199">
        <v>43647</v>
      </c>
      <c r="N772" s="199"/>
      <c r="O772" s="199">
        <v>44044</v>
      </c>
      <c r="P772" s="5">
        <v>60</v>
      </c>
      <c r="Q772" s="7" t="s">
        <v>3348</v>
      </c>
      <c r="R772" s="18">
        <v>377750</v>
      </c>
      <c r="S772" s="5" t="s">
        <v>130</v>
      </c>
      <c r="T772" s="26" t="s">
        <v>62</v>
      </c>
      <c r="U772" s="4"/>
      <c r="V772" s="4"/>
      <c r="W772" s="5" t="s">
        <v>3349</v>
      </c>
      <c r="X772" s="5" t="s">
        <v>39</v>
      </c>
      <c r="Y772" s="5" t="s">
        <v>40</v>
      </c>
      <c r="Z772" s="5"/>
      <c r="AA772" s="5"/>
      <c r="AB772" s="199">
        <v>43714</v>
      </c>
      <c r="AC772" s="8" t="s">
        <v>3350</v>
      </c>
      <c r="AD772" s="1"/>
      <c r="AE772" s="164">
        <v>410000</v>
      </c>
      <c r="AF772" s="1"/>
    </row>
    <row r="773" spans="1:32" s="1" customFormat="1" ht="29">
      <c r="A773" s="1184"/>
      <c r="B773" s="464" t="s">
        <v>100</v>
      </c>
      <c r="C773" s="200" t="s">
        <v>3351</v>
      </c>
      <c r="D773" s="118" t="s">
        <v>122</v>
      </c>
      <c r="E773" s="118"/>
      <c r="F773" s="118"/>
      <c r="G773" s="118"/>
      <c r="H773" s="8" t="s">
        <v>197</v>
      </c>
      <c r="I773" s="8" t="s">
        <v>47</v>
      </c>
      <c r="J773" s="1585" t="s">
        <v>467</v>
      </c>
      <c r="K773" s="430"/>
      <c r="L773" s="430"/>
      <c r="M773" s="367">
        <v>43831</v>
      </c>
      <c r="N773" s="430"/>
      <c r="O773" s="367">
        <v>44044</v>
      </c>
      <c r="P773" s="369">
        <v>24</v>
      </c>
      <c r="Q773" s="383" t="s">
        <v>1345</v>
      </c>
      <c r="R773" s="159">
        <v>30000</v>
      </c>
      <c r="S773" s="387" t="s">
        <v>176</v>
      </c>
      <c r="T773" s="390" t="s">
        <v>38</v>
      </c>
      <c r="U773" s="365" t="s">
        <v>71</v>
      </c>
      <c r="V773" s="365"/>
      <c r="W773" s="8" t="s">
        <v>3352</v>
      </c>
      <c r="X773" s="8" t="s">
        <v>413</v>
      </c>
      <c r="Y773" s="8" t="s">
        <v>1161</v>
      </c>
      <c r="Z773" s="8"/>
      <c r="AA773" s="366"/>
      <c r="AB773" s="431" t="s">
        <v>3316</v>
      </c>
      <c r="AC773" s="177"/>
      <c r="AD773" s="432"/>
      <c r="AE773" s="487"/>
    </row>
    <row r="774" spans="1:32" s="1" customFormat="1" ht="37.5">
      <c r="A774" s="1119"/>
      <c r="B774" s="958" t="s">
        <v>56</v>
      </c>
      <c r="C774" s="510" t="s">
        <v>3353</v>
      </c>
      <c r="D774" s="611" t="s">
        <v>57</v>
      </c>
      <c r="E774" s="611"/>
      <c r="F774" s="611"/>
      <c r="G774" s="611"/>
      <c r="H774" s="511" t="s">
        <v>58</v>
      </c>
      <c r="I774" s="519" t="s">
        <v>47</v>
      </c>
      <c r="J774" s="1578" t="s">
        <v>3354</v>
      </c>
      <c r="K774" s="512"/>
      <c r="L774" s="515">
        <v>44013</v>
      </c>
      <c r="M774" s="515"/>
      <c r="N774" s="515"/>
      <c r="O774" s="515">
        <v>44044</v>
      </c>
      <c r="P774" s="530" t="s">
        <v>60</v>
      </c>
      <c r="Q774" s="1018" t="s">
        <v>60</v>
      </c>
      <c r="R774" s="599">
        <v>30000</v>
      </c>
      <c r="S774" s="1044" t="s">
        <v>176</v>
      </c>
      <c r="T774" s="1055" t="s">
        <v>62</v>
      </c>
      <c r="U774" s="515" t="s">
        <v>60</v>
      </c>
      <c r="V774" s="515"/>
      <c r="W774" s="519" t="s">
        <v>1685</v>
      </c>
      <c r="X774" s="120"/>
      <c r="Y774" s="120"/>
      <c r="Z774" s="120"/>
      <c r="AA774" s="186"/>
      <c r="AB774" s="186"/>
      <c r="AC774" s="120"/>
      <c r="AD774"/>
      <c r="AE774" s="186"/>
    </row>
    <row r="775" spans="1:32" s="1" customFormat="1" ht="37.5">
      <c r="A775" s="1119"/>
      <c r="B775" s="958" t="s">
        <v>56</v>
      </c>
      <c r="C775" s="510" t="s">
        <v>3355</v>
      </c>
      <c r="D775" s="611" t="s">
        <v>57</v>
      </c>
      <c r="E775" s="611"/>
      <c r="F775" s="611"/>
      <c r="G775" s="611"/>
      <c r="H775" s="511" t="s">
        <v>58</v>
      </c>
      <c r="I775" s="519" t="s">
        <v>47</v>
      </c>
      <c r="J775" s="1578" t="s">
        <v>3356</v>
      </c>
      <c r="K775" s="512"/>
      <c r="L775" s="515">
        <v>44018</v>
      </c>
      <c r="M775" s="515"/>
      <c r="N775" s="515"/>
      <c r="O775" s="515">
        <v>44044</v>
      </c>
      <c r="P775" s="519">
        <v>1</v>
      </c>
      <c r="Q775" s="984">
        <v>1</v>
      </c>
      <c r="R775" s="528">
        <v>50000</v>
      </c>
      <c r="S775" s="1044" t="s">
        <v>176</v>
      </c>
      <c r="T775" s="1055" t="s">
        <v>62</v>
      </c>
      <c r="U775" s="515" t="s">
        <v>60</v>
      </c>
      <c r="V775" s="515"/>
      <c r="W775" s="519" t="s">
        <v>750</v>
      </c>
      <c r="X775" s="120"/>
      <c r="Y775" s="120"/>
      <c r="Z775" s="120"/>
      <c r="AA775" s="120"/>
      <c r="AB775" s="120"/>
      <c r="AC775" s="120"/>
      <c r="AD775"/>
      <c r="AE775" s="186"/>
    </row>
    <row r="776" spans="1:32" s="1" customFormat="1" ht="57.65" customHeight="1">
      <c r="A776" s="1648">
        <v>44974</v>
      </c>
      <c r="B776" s="1569" t="s">
        <v>1168</v>
      </c>
      <c r="C776" s="1664" t="s">
        <v>3357</v>
      </c>
      <c r="D776" s="1570" t="s">
        <v>1506</v>
      </c>
      <c r="E776" s="1569" t="s">
        <v>1168</v>
      </c>
      <c r="F776" s="1569" t="s">
        <v>1170</v>
      </c>
      <c r="G776" s="1569" t="s">
        <v>1170</v>
      </c>
      <c r="H776" s="1655" t="s">
        <v>1170</v>
      </c>
      <c r="I776" s="1655" t="s">
        <v>1170</v>
      </c>
      <c r="J776" s="1698" t="s">
        <v>3358</v>
      </c>
      <c r="K776" s="1664" t="s">
        <v>3359</v>
      </c>
      <c r="L776" s="1655" t="s">
        <v>1170</v>
      </c>
      <c r="M776" s="1655" t="s">
        <v>1170</v>
      </c>
      <c r="N776" s="1655" t="s">
        <v>1170</v>
      </c>
      <c r="O776" s="1755">
        <v>44044</v>
      </c>
      <c r="P776" s="1755">
        <v>44408</v>
      </c>
      <c r="Q776" s="1755">
        <v>44773</v>
      </c>
      <c r="R776" s="1805">
        <v>2400</v>
      </c>
      <c r="S776" s="1664" t="s">
        <v>1189</v>
      </c>
      <c r="T776" s="1842" t="s">
        <v>1170</v>
      </c>
      <c r="U776" s="1655" t="s">
        <v>1170</v>
      </c>
      <c r="V776" s="1655"/>
      <c r="W776" s="1664" t="s">
        <v>3360</v>
      </c>
      <c r="X776" s="1664" t="s">
        <v>1175</v>
      </c>
      <c r="Y776" s="1664" t="s">
        <v>251</v>
      </c>
      <c r="Z776" s="1655" t="s">
        <v>1170</v>
      </c>
      <c r="AA776" s="1655" t="s">
        <v>1170</v>
      </c>
      <c r="AB776" s="1655" t="s">
        <v>1170</v>
      </c>
      <c r="AC776" s="1698" t="s">
        <v>3361</v>
      </c>
      <c r="AD776" s="1657" t="s">
        <v>1170</v>
      </c>
      <c r="AE776" s="1934">
        <v>2400</v>
      </c>
      <c r="AF776"/>
    </row>
    <row r="777" spans="1:32" s="1" customFormat="1">
      <c r="A777" s="1648">
        <v>44974</v>
      </c>
      <c r="B777" s="1569" t="s">
        <v>1168</v>
      </c>
      <c r="C777" s="1664" t="s">
        <v>3357</v>
      </c>
      <c r="D777" s="1570" t="s">
        <v>1506</v>
      </c>
      <c r="E777" s="1569" t="s">
        <v>1168</v>
      </c>
      <c r="F777" s="1569" t="s">
        <v>1170</v>
      </c>
      <c r="G777" s="1569" t="s">
        <v>1170</v>
      </c>
      <c r="H777" s="1655" t="s">
        <v>1170</v>
      </c>
      <c r="I777" s="1655" t="s">
        <v>1170</v>
      </c>
      <c r="J777" s="1698" t="s">
        <v>3358</v>
      </c>
      <c r="K777" s="1664" t="s">
        <v>3359</v>
      </c>
      <c r="L777" s="1655" t="s">
        <v>1170</v>
      </c>
      <c r="M777" s="1655" t="s">
        <v>1170</v>
      </c>
      <c r="N777" s="1655" t="s">
        <v>1170</v>
      </c>
      <c r="O777" s="1755">
        <v>44044</v>
      </c>
      <c r="P777" s="1755">
        <v>44773</v>
      </c>
      <c r="Q777" s="1755">
        <v>44773</v>
      </c>
      <c r="R777" s="1805">
        <v>2400</v>
      </c>
      <c r="S777" s="1664" t="s">
        <v>1189</v>
      </c>
      <c r="T777" s="1842" t="s">
        <v>1170</v>
      </c>
      <c r="U777" s="1655" t="s">
        <v>1170</v>
      </c>
      <c r="V777" s="1655"/>
      <c r="W777" s="1664" t="s">
        <v>1510</v>
      </c>
      <c r="X777" s="1664" t="s">
        <v>1175</v>
      </c>
      <c r="Y777" s="1664" t="s">
        <v>251</v>
      </c>
      <c r="Z777" s="1655" t="s">
        <v>1170</v>
      </c>
      <c r="AA777" s="1655" t="s">
        <v>1170</v>
      </c>
      <c r="AB777" s="1655" t="s">
        <v>1170</v>
      </c>
      <c r="AC777" s="1698" t="s">
        <v>3362</v>
      </c>
      <c r="AD777" s="1657" t="s">
        <v>1170</v>
      </c>
      <c r="AE777" s="1934">
        <v>2400</v>
      </c>
      <c r="AF777"/>
    </row>
    <row r="778" spans="1:32" s="1" customFormat="1" ht="43.4" customHeight="1">
      <c r="A778" s="1119"/>
      <c r="B778" s="958" t="s">
        <v>56</v>
      </c>
      <c r="C778" s="510" t="s">
        <v>3363</v>
      </c>
      <c r="D778" s="611" t="s">
        <v>57</v>
      </c>
      <c r="E778" s="611"/>
      <c r="F778" s="611"/>
      <c r="G778" s="611"/>
      <c r="H778" s="511" t="s">
        <v>58</v>
      </c>
      <c r="I778" s="519" t="s">
        <v>47</v>
      </c>
      <c r="J778" s="606" t="s">
        <v>3364</v>
      </c>
      <c r="K778" s="529"/>
      <c r="L778" s="515">
        <v>44013</v>
      </c>
      <c r="M778" s="515"/>
      <c r="N778" s="515"/>
      <c r="O778" s="515">
        <v>44046</v>
      </c>
      <c r="P778" s="536">
        <v>1</v>
      </c>
      <c r="Q778" s="536">
        <v>1</v>
      </c>
      <c r="R778" s="607">
        <v>20000</v>
      </c>
      <c r="S778" s="1048" t="s">
        <v>2110</v>
      </c>
      <c r="T778" s="1013" t="s">
        <v>310</v>
      </c>
      <c r="U778" s="514">
        <v>43700</v>
      </c>
      <c r="V778" s="514"/>
      <c r="W778" s="519" t="s">
        <v>3365</v>
      </c>
      <c r="X778" s="120"/>
      <c r="Y778" s="120"/>
      <c r="Z778" s="120"/>
      <c r="AA778" s="120"/>
      <c r="AB778" s="120"/>
      <c r="AC778" s="120"/>
      <c r="AD778"/>
      <c r="AE778" s="186"/>
    </row>
    <row r="779" spans="1:32" s="1" customFormat="1" ht="50">
      <c r="A779" s="1119"/>
      <c r="B779" s="958" t="s">
        <v>56</v>
      </c>
      <c r="C779" s="511" t="s">
        <v>3366</v>
      </c>
      <c r="D779" s="611" t="s">
        <v>57</v>
      </c>
      <c r="E779" s="611"/>
      <c r="F779" s="611"/>
      <c r="G779" s="611"/>
      <c r="H779" s="511" t="s">
        <v>58</v>
      </c>
      <c r="I779" s="519" t="s">
        <v>47</v>
      </c>
      <c r="J779" s="1578" t="s">
        <v>3367</v>
      </c>
      <c r="K779" s="512"/>
      <c r="L779" s="515">
        <v>43983</v>
      </c>
      <c r="M779" s="515"/>
      <c r="N779" s="515"/>
      <c r="O779" s="515">
        <v>44046</v>
      </c>
      <c r="P779" s="516" t="s">
        <v>60</v>
      </c>
      <c r="Q779" s="632">
        <v>5700000</v>
      </c>
      <c r="R779" s="528" t="s">
        <v>60</v>
      </c>
      <c r="S779" s="515" t="s">
        <v>84</v>
      </c>
      <c r="T779" s="1055" t="s">
        <v>70</v>
      </c>
      <c r="U779" s="511" t="s">
        <v>60</v>
      </c>
      <c r="V779" s="511"/>
      <c r="W779" s="531" t="s">
        <v>3368</v>
      </c>
      <c r="X779" s="120"/>
      <c r="Y779" s="120"/>
      <c r="Z779" s="120"/>
      <c r="AA779" s="120"/>
      <c r="AB779" s="120"/>
      <c r="AC779" s="120"/>
      <c r="AD779"/>
      <c r="AE779" s="186"/>
    </row>
    <row r="780" spans="1:32" s="1" customFormat="1" ht="116">
      <c r="A780" s="1184"/>
      <c r="B780" s="147" t="s">
        <v>44</v>
      </c>
      <c r="C780" s="4" t="s">
        <v>3369</v>
      </c>
      <c r="D780" s="31" t="s">
        <v>57</v>
      </c>
      <c r="E780" s="31"/>
      <c r="F780" s="31"/>
      <c r="G780" s="31"/>
      <c r="H780" s="2751" t="s">
        <v>2766</v>
      </c>
      <c r="I780" s="2763" t="s">
        <v>34</v>
      </c>
      <c r="J780" s="16" t="s">
        <v>2767</v>
      </c>
      <c r="K780" s="16"/>
      <c r="L780" s="16"/>
      <c r="M780" s="2764">
        <v>43831</v>
      </c>
      <c r="N780" s="2764"/>
      <c r="O780" s="2764">
        <v>44055</v>
      </c>
      <c r="P780" s="2763">
        <v>36</v>
      </c>
      <c r="Q780" s="2751" t="s">
        <v>3370</v>
      </c>
      <c r="R780" s="18">
        <v>45400</v>
      </c>
      <c r="S780" s="2751" t="s">
        <v>130</v>
      </c>
      <c r="T780" s="2753" t="s">
        <v>38</v>
      </c>
      <c r="U780" s="49" t="s">
        <v>67</v>
      </c>
      <c r="V780" s="49"/>
      <c r="W780" s="2751" t="s">
        <v>2768</v>
      </c>
      <c r="X780" s="46" t="s">
        <v>39</v>
      </c>
      <c r="Y780" s="5" t="s">
        <v>40</v>
      </c>
      <c r="Z780" s="5"/>
      <c r="AA780" s="5"/>
      <c r="AB780" s="199">
        <v>43942</v>
      </c>
      <c r="AC780" s="2758" t="s">
        <v>3371</v>
      </c>
      <c r="AD780" s="76" t="s">
        <v>45</v>
      </c>
      <c r="AE780" s="2867" t="s">
        <v>45</v>
      </c>
    </row>
    <row r="781" spans="1:32" s="1" customFormat="1" ht="50">
      <c r="A781" s="1119"/>
      <c r="B781" s="958" t="s">
        <v>56</v>
      </c>
      <c r="C781" s="510" t="s">
        <v>3372</v>
      </c>
      <c r="D781" s="611" t="s">
        <v>57</v>
      </c>
      <c r="E781" s="611"/>
      <c r="F781" s="611"/>
      <c r="G781" s="611"/>
      <c r="H781" s="511" t="s">
        <v>58</v>
      </c>
      <c r="I781" s="519" t="s">
        <v>47</v>
      </c>
      <c r="J781" s="1578" t="s">
        <v>3373</v>
      </c>
      <c r="K781" s="512"/>
      <c r="L781" s="530">
        <v>44044</v>
      </c>
      <c r="M781" s="530"/>
      <c r="N781" s="530"/>
      <c r="O781" s="530">
        <v>44060</v>
      </c>
      <c r="P781" s="516" t="s">
        <v>953</v>
      </c>
      <c r="Q781" s="516" t="s">
        <v>60</v>
      </c>
      <c r="R781" s="599">
        <v>40000</v>
      </c>
      <c r="S781" s="1043" t="s">
        <v>60</v>
      </c>
      <c r="T781" s="1055" t="s">
        <v>2455</v>
      </c>
      <c r="U781" s="515"/>
      <c r="V781" s="515"/>
      <c r="W781" s="533" t="s">
        <v>3374</v>
      </c>
      <c r="X781" s="120"/>
      <c r="Y781" s="120"/>
      <c r="Z781" s="120"/>
      <c r="AA781" s="120"/>
      <c r="AB781" s="120"/>
      <c r="AC781" s="120"/>
      <c r="AD781"/>
      <c r="AE781" s="186"/>
    </row>
    <row r="782" spans="1:32" s="1" customFormat="1" ht="57.65" customHeight="1">
      <c r="A782" s="1119"/>
      <c r="B782" s="958" t="s">
        <v>56</v>
      </c>
      <c r="C782" s="511" t="s">
        <v>3375</v>
      </c>
      <c r="D782" s="611" t="s">
        <v>57</v>
      </c>
      <c r="E782" s="611"/>
      <c r="F782" s="611"/>
      <c r="G782" s="611"/>
      <c r="H782" s="511" t="s">
        <v>58</v>
      </c>
      <c r="I782" s="519" t="s">
        <v>47</v>
      </c>
      <c r="J782" s="606" t="s">
        <v>3376</v>
      </c>
      <c r="K782" s="529"/>
      <c r="L782" s="515">
        <v>44004</v>
      </c>
      <c r="M782" s="515"/>
      <c r="N782" s="515"/>
      <c r="O782" s="515">
        <v>44060</v>
      </c>
      <c r="P782" s="516">
        <v>2</v>
      </c>
      <c r="Q782" s="1009">
        <v>2</v>
      </c>
      <c r="R782" s="528">
        <v>672239</v>
      </c>
      <c r="S782" s="1044" t="s">
        <v>1189</v>
      </c>
      <c r="T782" s="1055" t="s">
        <v>474</v>
      </c>
      <c r="U782" s="511" t="s">
        <v>60</v>
      </c>
      <c r="V782" s="511"/>
      <c r="W782" s="531" t="s">
        <v>1868</v>
      </c>
      <c r="X782" s="120"/>
      <c r="Y782" s="120"/>
      <c r="Z782" s="120"/>
      <c r="AA782" s="120"/>
      <c r="AB782" s="120"/>
      <c r="AC782" s="120"/>
      <c r="AD782"/>
      <c r="AE782" s="186"/>
    </row>
    <row r="783" spans="1:32" s="3" customFormat="1" ht="37.5">
      <c r="A783" s="1119"/>
      <c r="B783" s="958" t="s">
        <v>56</v>
      </c>
      <c r="C783" s="510" t="s">
        <v>60</v>
      </c>
      <c r="D783" s="611" t="s">
        <v>57</v>
      </c>
      <c r="E783" s="611"/>
      <c r="F783" s="611"/>
      <c r="G783" s="611"/>
      <c r="H783" s="511" t="s">
        <v>58</v>
      </c>
      <c r="I783" s="519" t="s">
        <v>47</v>
      </c>
      <c r="J783" s="606" t="s">
        <v>3377</v>
      </c>
      <c r="K783" s="529"/>
      <c r="L783" s="511">
        <v>14</v>
      </c>
      <c r="M783" s="514">
        <f>IF(O783="tbc","",(IFERROR(EDATE($N783,-3),"Invalid procurement method or date entered")))</f>
        <v>43544</v>
      </c>
      <c r="N783" s="514">
        <f>IF(O783="tbc","",(IFERROR(EDATE(O783,-L783),"Invalid procurement method or date entered")))</f>
        <v>43636</v>
      </c>
      <c r="O783" s="514">
        <v>44063</v>
      </c>
      <c r="P783" s="536" t="s">
        <v>60</v>
      </c>
      <c r="Q783" s="536" t="s">
        <v>60</v>
      </c>
      <c r="R783" s="538">
        <v>80000</v>
      </c>
      <c r="S783" s="536" t="s">
        <v>60</v>
      </c>
      <c r="T783" s="1013" t="s">
        <v>62</v>
      </c>
      <c r="U783" s="514" t="s">
        <v>60</v>
      </c>
      <c r="V783" s="514"/>
      <c r="W783" s="569" t="s">
        <v>577</v>
      </c>
      <c r="X783" s="120"/>
      <c r="Y783" s="120"/>
      <c r="Z783" s="120"/>
      <c r="AA783" s="186"/>
      <c r="AB783" s="186"/>
      <c r="AC783" s="120"/>
      <c r="AD783"/>
      <c r="AE783" s="186"/>
      <c r="AF783" s="1"/>
    </row>
    <row r="784" spans="1:32" s="1" customFormat="1" ht="72.5">
      <c r="A784" s="1119"/>
      <c r="B784" s="60"/>
      <c r="C784" s="4" t="s">
        <v>3378</v>
      </c>
      <c r="D784" s="32" t="s">
        <v>32</v>
      </c>
      <c r="E784" s="32"/>
      <c r="F784" s="32"/>
      <c r="G784" s="32"/>
      <c r="H784" s="5" t="s">
        <v>33</v>
      </c>
      <c r="I784" s="5" t="s">
        <v>47</v>
      </c>
      <c r="J784" s="16" t="s">
        <v>3379</v>
      </c>
      <c r="K784" s="16"/>
      <c r="L784" s="16"/>
      <c r="M784" s="199">
        <v>43739</v>
      </c>
      <c r="N784" s="199"/>
      <c r="O784" s="182">
        <v>44067</v>
      </c>
      <c r="P784" s="5">
        <v>24</v>
      </c>
      <c r="Q784" s="26">
        <v>24</v>
      </c>
      <c r="R784" s="41">
        <v>45612</v>
      </c>
      <c r="S784" s="31" t="s">
        <v>84</v>
      </c>
      <c r="T784" s="26" t="s">
        <v>38</v>
      </c>
      <c r="U784" s="11" t="s">
        <v>67</v>
      </c>
      <c r="V784" s="11"/>
      <c r="W784" s="5" t="s">
        <v>440</v>
      </c>
      <c r="X784" s="5" t="s">
        <v>543</v>
      </c>
      <c r="Y784" s="5" t="s">
        <v>40</v>
      </c>
      <c r="Z784" s="5"/>
      <c r="AA784" s="5"/>
      <c r="AB784" s="199" t="s">
        <v>41</v>
      </c>
      <c r="AC784" s="8" t="s">
        <v>3380</v>
      </c>
      <c r="AD784" s="76" t="s">
        <v>3164</v>
      </c>
      <c r="AE784" s="164">
        <v>22806</v>
      </c>
    </row>
    <row r="785" spans="1:32" ht="29.15" customHeight="1">
      <c r="A785" s="1119"/>
      <c r="B785" s="958" t="s">
        <v>56</v>
      </c>
      <c r="C785" s="511" t="s">
        <v>60</v>
      </c>
      <c r="D785" s="511" t="s">
        <v>57</v>
      </c>
      <c r="E785" s="511"/>
      <c r="F785" s="511"/>
      <c r="G785" s="511"/>
      <c r="H785" s="511" t="s">
        <v>58</v>
      </c>
      <c r="I785" s="519" t="s">
        <v>47</v>
      </c>
      <c r="J785" s="606" t="s">
        <v>3381</v>
      </c>
      <c r="K785" s="529"/>
      <c r="L785" s="515">
        <v>44011</v>
      </c>
      <c r="M785" s="515"/>
      <c r="N785" s="515"/>
      <c r="O785" s="515">
        <v>44074</v>
      </c>
      <c r="P785" s="516">
        <v>1</v>
      </c>
      <c r="Q785" s="516">
        <v>1</v>
      </c>
      <c r="R785" s="599">
        <v>166702.55526912</v>
      </c>
      <c r="S785" s="515" t="s">
        <v>1189</v>
      </c>
      <c r="T785" s="1055" t="s">
        <v>62</v>
      </c>
      <c r="U785" s="511" t="s">
        <v>60</v>
      </c>
      <c r="V785" s="511"/>
      <c r="W785" s="531" t="s">
        <v>3382</v>
      </c>
      <c r="X785" s="120"/>
      <c r="Y785" s="120"/>
      <c r="Z785" s="120"/>
      <c r="AA785" s="120"/>
      <c r="AB785" s="120"/>
      <c r="AC785" s="120"/>
      <c r="AE785" s="186"/>
      <c r="AF785" s="1"/>
    </row>
    <row r="786" spans="1:32" ht="29.15" customHeight="1">
      <c r="A786" s="1119"/>
      <c r="B786" s="958" t="s">
        <v>56</v>
      </c>
      <c r="C786" s="511" t="s">
        <v>60</v>
      </c>
      <c r="D786" s="511" t="s">
        <v>57</v>
      </c>
      <c r="E786" s="511"/>
      <c r="F786" s="511"/>
      <c r="G786" s="511"/>
      <c r="H786" s="511" t="s">
        <v>58</v>
      </c>
      <c r="I786" s="519" t="s">
        <v>47</v>
      </c>
      <c r="J786" s="606" t="s">
        <v>3383</v>
      </c>
      <c r="K786" s="529"/>
      <c r="L786" s="515">
        <v>44011</v>
      </c>
      <c r="M786" s="515"/>
      <c r="N786" s="515"/>
      <c r="O786" s="515">
        <v>44074</v>
      </c>
      <c r="P786" s="516">
        <v>1</v>
      </c>
      <c r="Q786" s="516">
        <v>1</v>
      </c>
      <c r="R786" s="599">
        <v>358072.25359360001</v>
      </c>
      <c r="S786" s="515" t="s">
        <v>1189</v>
      </c>
      <c r="T786" s="1055" t="s">
        <v>62</v>
      </c>
      <c r="U786" s="511" t="s">
        <v>60</v>
      </c>
      <c r="V786" s="511"/>
      <c r="W786" s="531" t="s">
        <v>3382</v>
      </c>
      <c r="X786" s="120"/>
      <c r="Y786" s="120"/>
      <c r="Z786" s="120"/>
      <c r="AA786" s="120"/>
      <c r="AB786" s="120"/>
      <c r="AC786" s="120"/>
      <c r="AE786" s="186"/>
      <c r="AF786" s="1"/>
    </row>
    <row r="787" spans="1:32" s="1" customFormat="1" ht="29.15" customHeight="1">
      <c r="A787" s="1119"/>
      <c r="B787" s="958" t="s">
        <v>56</v>
      </c>
      <c r="C787" s="511" t="s">
        <v>60</v>
      </c>
      <c r="D787" s="611" t="s">
        <v>57</v>
      </c>
      <c r="E787" s="611"/>
      <c r="F787" s="611"/>
      <c r="G787" s="611"/>
      <c r="H787" s="511" t="s">
        <v>58</v>
      </c>
      <c r="I787" s="519" t="s">
        <v>47</v>
      </c>
      <c r="J787" s="606" t="s">
        <v>3384</v>
      </c>
      <c r="K787" s="529"/>
      <c r="L787" s="515">
        <v>44011</v>
      </c>
      <c r="M787" s="515"/>
      <c r="N787" s="515"/>
      <c r="O787" s="515">
        <v>44074</v>
      </c>
      <c r="P787" s="516">
        <v>1</v>
      </c>
      <c r="Q787" s="516">
        <v>1</v>
      </c>
      <c r="R787" s="599">
        <v>132691.51999999999</v>
      </c>
      <c r="S787" s="515" t="s">
        <v>1189</v>
      </c>
      <c r="T787" s="1055" t="s">
        <v>62</v>
      </c>
      <c r="U787" s="511" t="s">
        <v>60</v>
      </c>
      <c r="V787" s="511"/>
      <c r="W787" s="531" t="s">
        <v>3382</v>
      </c>
      <c r="X787" s="120"/>
      <c r="Y787" s="120"/>
      <c r="Z787" s="120"/>
      <c r="AA787" s="120"/>
      <c r="AB787" s="120"/>
      <c r="AC787" s="120"/>
      <c r="AD787"/>
      <c r="AE787" s="186"/>
    </row>
    <row r="788" spans="1:32" s="1" customFormat="1" ht="29.15" customHeight="1">
      <c r="A788" s="1119"/>
      <c r="B788" s="958" t="s">
        <v>56</v>
      </c>
      <c r="C788" s="511" t="s">
        <v>3385</v>
      </c>
      <c r="D788" s="611" t="s">
        <v>57</v>
      </c>
      <c r="E788" s="611"/>
      <c r="F788" s="611"/>
      <c r="G788" s="611"/>
      <c r="H788" s="511" t="s">
        <v>58</v>
      </c>
      <c r="I788" s="519" t="s">
        <v>47</v>
      </c>
      <c r="J788" s="606" t="s">
        <v>3386</v>
      </c>
      <c r="K788" s="529"/>
      <c r="L788" s="515">
        <v>44027</v>
      </c>
      <c r="M788" s="515"/>
      <c r="N788" s="515"/>
      <c r="O788" s="515">
        <v>44074</v>
      </c>
      <c r="P788" s="519">
        <v>2</v>
      </c>
      <c r="Q788" s="519">
        <v>2</v>
      </c>
      <c r="R788" s="599">
        <v>300000</v>
      </c>
      <c r="S788" s="515" t="s">
        <v>176</v>
      </c>
      <c r="T788" s="1055" t="s">
        <v>62</v>
      </c>
      <c r="U788" s="511" t="s">
        <v>60</v>
      </c>
      <c r="V788" s="511"/>
      <c r="W788" s="531" t="s">
        <v>2425</v>
      </c>
      <c r="X788" s="120"/>
      <c r="Y788" s="120"/>
      <c r="Z788" s="120"/>
      <c r="AA788" s="120"/>
      <c r="AB788" s="120"/>
      <c r="AC788" s="120"/>
      <c r="AD788"/>
      <c r="AE788" s="186"/>
    </row>
    <row r="789" spans="1:32" s="1" customFormat="1" ht="29.15" customHeight="1">
      <c r="A789" s="1119"/>
      <c r="B789" s="958" t="s">
        <v>56</v>
      </c>
      <c r="C789" s="511" t="s">
        <v>3387</v>
      </c>
      <c r="D789" s="611" t="s">
        <v>57</v>
      </c>
      <c r="E789" s="611"/>
      <c r="F789" s="611"/>
      <c r="G789" s="611"/>
      <c r="H789" s="511" t="s">
        <v>58</v>
      </c>
      <c r="I789" s="519" t="s">
        <v>47</v>
      </c>
      <c r="J789" s="606" t="s">
        <v>3388</v>
      </c>
      <c r="K789" s="529"/>
      <c r="L789" s="515">
        <v>44011</v>
      </c>
      <c r="M789" s="515"/>
      <c r="N789" s="515"/>
      <c r="O789" s="515">
        <v>44074</v>
      </c>
      <c r="P789" s="516">
        <v>1</v>
      </c>
      <c r="Q789" s="1009">
        <v>1</v>
      </c>
      <c r="R789" s="599">
        <f>175327.3746432+166702.55526912+358072.2535936+132691.52</f>
        <v>832793.70350592001</v>
      </c>
      <c r="S789" s="1044" t="s">
        <v>1189</v>
      </c>
      <c r="T789" s="1055" t="s">
        <v>62</v>
      </c>
      <c r="U789" s="511" t="s">
        <v>60</v>
      </c>
      <c r="V789" s="511"/>
      <c r="W789" s="531" t="s">
        <v>3382</v>
      </c>
      <c r="X789" s="120"/>
      <c r="Y789" s="120"/>
      <c r="Z789" s="120"/>
      <c r="AA789" s="120"/>
      <c r="AB789" s="120"/>
      <c r="AC789" s="120"/>
      <c r="AD789"/>
      <c r="AE789" s="186"/>
    </row>
    <row r="790" spans="1:32" s="1" customFormat="1" ht="62.5">
      <c r="A790" s="1119"/>
      <c r="B790" s="958" t="s">
        <v>56</v>
      </c>
      <c r="C790" s="511" t="s">
        <v>60</v>
      </c>
      <c r="D790" s="611" t="s">
        <v>57</v>
      </c>
      <c r="E790" s="611"/>
      <c r="F790" s="611"/>
      <c r="G790" s="611"/>
      <c r="H790" s="511" t="s">
        <v>58</v>
      </c>
      <c r="I790" s="519" t="s">
        <v>47</v>
      </c>
      <c r="J790" s="606" t="s">
        <v>3389</v>
      </c>
      <c r="K790" s="529"/>
      <c r="L790" s="529"/>
      <c r="M790" s="511">
        <v>3</v>
      </c>
      <c r="N790" s="514" t="str">
        <f>IFERROR(EDATE(#REF!,-3),"Invalid procurement method or date entered")</f>
        <v>Invalid procurement method or date entered</v>
      </c>
      <c r="O790" s="515">
        <v>44074</v>
      </c>
      <c r="P790" s="530" t="s">
        <v>60</v>
      </c>
      <c r="Q790" s="530" t="s">
        <v>60</v>
      </c>
      <c r="R790" s="528">
        <v>866897.33863199991</v>
      </c>
      <c r="S790" s="515" t="s">
        <v>61</v>
      </c>
      <c r="T790" s="1055" t="s">
        <v>62</v>
      </c>
      <c r="U790" s="511" t="s">
        <v>60</v>
      </c>
      <c r="V790" s="511"/>
      <c r="W790" s="531" t="s">
        <v>3390</v>
      </c>
      <c r="X790" s="120"/>
      <c r="Y790" s="120"/>
      <c r="Z790" s="120"/>
      <c r="AA790" s="120"/>
      <c r="AB790" s="120"/>
      <c r="AC790" s="120"/>
      <c r="AD790"/>
      <c r="AE790" s="186"/>
    </row>
    <row r="791" spans="1:32" s="1" customFormat="1" ht="43.4" customHeight="1">
      <c r="A791" s="1119"/>
      <c r="B791" s="958" t="s">
        <v>56</v>
      </c>
      <c r="C791" s="611" t="s">
        <v>60</v>
      </c>
      <c r="D791" s="611" t="s">
        <v>57</v>
      </c>
      <c r="E791" s="611"/>
      <c r="F791" s="611"/>
      <c r="G791" s="611"/>
      <c r="H791" s="511" t="s">
        <v>58</v>
      </c>
      <c r="I791" s="519" t="s">
        <v>47</v>
      </c>
      <c r="J791" s="606" t="s">
        <v>3391</v>
      </c>
      <c r="K791" s="529"/>
      <c r="L791" s="529"/>
      <c r="M791" s="511">
        <v>3</v>
      </c>
      <c r="N791" s="514" t="str">
        <f>IFERROR(EDATE(#REF!,-3),"Invalid procurement method or date entered")</f>
        <v>Invalid procurement method or date entered</v>
      </c>
      <c r="O791" s="515">
        <v>44074</v>
      </c>
      <c r="P791" s="530" t="s">
        <v>60</v>
      </c>
      <c r="Q791" s="1018" t="s">
        <v>60</v>
      </c>
      <c r="R791" s="528">
        <v>228692.91827200004</v>
      </c>
      <c r="S791" s="1044" t="s">
        <v>61</v>
      </c>
      <c r="T791" s="1055" t="s">
        <v>62</v>
      </c>
      <c r="U791" s="511" t="s">
        <v>60</v>
      </c>
      <c r="V791" s="511"/>
      <c r="W791" s="531" t="s">
        <v>3390</v>
      </c>
      <c r="X791" s="120"/>
      <c r="Y791" s="120"/>
      <c r="Z791" s="120"/>
      <c r="AA791" s="120"/>
      <c r="AB791" s="120"/>
      <c r="AC791" s="120"/>
      <c r="AD791"/>
      <c r="AE791" s="186"/>
    </row>
    <row r="792" spans="1:32" s="1" customFormat="1" ht="62.5">
      <c r="A792" s="1119"/>
      <c r="B792" s="958" t="s">
        <v>56</v>
      </c>
      <c r="C792" s="511" t="s">
        <v>60</v>
      </c>
      <c r="D792" s="611" t="s">
        <v>57</v>
      </c>
      <c r="E792" s="611"/>
      <c r="F792" s="611"/>
      <c r="G792" s="611"/>
      <c r="H792" s="511" t="s">
        <v>58</v>
      </c>
      <c r="I792" s="519" t="s">
        <v>47</v>
      </c>
      <c r="J792" s="606" t="s">
        <v>3392</v>
      </c>
      <c r="K792" s="529"/>
      <c r="L792" s="529"/>
      <c r="M792" s="511">
        <v>3</v>
      </c>
      <c r="N792" s="514" t="str">
        <f>IFERROR(EDATE(#REF!,-3),"Invalid procurement method or date entered")</f>
        <v>Invalid procurement method or date entered</v>
      </c>
      <c r="O792" s="515">
        <v>44074</v>
      </c>
      <c r="P792" s="530" t="s">
        <v>60</v>
      </c>
      <c r="Q792" s="530" t="s">
        <v>60</v>
      </c>
      <c r="R792" s="528">
        <v>382766.43335008004</v>
      </c>
      <c r="S792" s="515" t="s">
        <v>61</v>
      </c>
      <c r="T792" s="1055" t="s">
        <v>62</v>
      </c>
      <c r="U792" s="511" t="s">
        <v>60</v>
      </c>
      <c r="V792" s="511"/>
      <c r="W792" s="531" t="s">
        <v>3390</v>
      </c>
      <c r="X792" s="120"/>
      <c r="Y792" s="120"/>
      <c r="Z792" s="120"/>
      <c r="AA792" s="120"/>
      <c r="AB792" s="120"/>
      <c r="AC792" s="120"/>
      <c r="AD792"/>
      <c r="AE792" s="186"/>
    </row>
    <row r="793" spans="1:32" s="1" customFormat="1" ht="62.5">
      <c r="A793" s="1119"/>
      <c r="B793" s="958" t="s">
        <v>56</v>
      </c>
      <c r="C793" s="511" t="s">
        <v>60</v>
      </c>
      <c r="D793" s="611" t="s">
        <v>57</v>
      </c>
      <c r="E793" s="611"/>
      <c r="F793" s="611"/>
      <c r="G793" s="611"/>
      <c r="H793" s="511" t="s">
        <v>58</v>
      </c>
      <c r="I793" s="519" t="s">
        <v>47</v>
      </c>
      <c r="J793" s="606" t="s">
        <v>3393</v>
      </c>
      <c r="K793" s="529"/>
      <c r="L793" s="529"/>
      <c r="M793" s="511">
        <v>3</v>
      </c>
      <c r="N793" s="514" t="str">
        <f>IFERROR(EDATE(#REF!,-3),"Invalid procurement method or date entered")</f>
        <v>Invalid procurement method or date entered</v>
      </c>
      <c r="O793" s="515">
        <v>44074</v>
      </c>
      <c r="P793" s="530" t="s">
        <v>60</v>
      </c>
      <c r="Q793" s="530" t="s">
        <v>60</v>
      </c>
      <c r="R793" s="528">
        <v>250796.78783535998</v>
      </c>
      <c r="S793" s="515" t="s">
        <v>61</v>
      </c>
      <c r="T793" s="1055" t="s">
        <v>62</v>
      </c>
      <c r="U793" s="511" t="s">
        <v>60</v>
      </c>
      <c r="V793" s="511"/>
      <c r="W793" s="531" t="s">
        <v>3390</v>
      </c>
      <c r="X793" s="120"/>
      <c r="Y793" s="120"/>
      <c r="Z793" s="120"/>
      <c r="AA793" s="120"/>
      <c r="AB793" s="120"/>
      <c r="AC793" s="120"/>
      <c r="AD793"/>
      <c r="AE793" s="186"/>
    </row>
    <row r="794" spans="1:32" s="1" customFormat="1" ht="62.5">
      <c r="A794" s="1119"/>
      <c r="B794" s="958" t="s">
        <v>56</v>
      </c>
      <c r="C794" s="511" t="s">
        <v>60</v>
      </c>
      <c r="D794" s="611" t="s">
        <v>57</v>
      </c>
      <c r="E794" s="611"/>
      <c r="F794" s="611"/>
      <c r="G794" s="611"/>
      <c r="H794" s="511" t="s">
        <v>58</v>
      </c>
      <c r="I794" s="519" t="s">
        <v>47</v>
      </c>
      <c r="J794" s="606" t="s">
        <v>3394</v>
      </c>
      <c r="K794" s="529"/>
      <c r="L794" s="529"/>
      <c r="M794" s="511">
        <v>3</v>
      </c>
      <c r="N794" s="514" t="str">
        <f>IFERROR(EDATE(#REF!,-3),"Invalid procurement method or date entered")</f>
        <v>Invalid procurement method or date entered</v>
      </c>
      <c r="O794" s="515">
        <v>44074</v>
      </c>
      <c r="P794" s="530" t="s">
        <v>60</v>
      </c>
      <c r="Q794" s="1018" t="s">
        <v>60</v>
      </c>
      <c r="R794" s="528">
        <v>197443.66187519999</v>
      </c>
      <c r="S794" s="1044" t="s">
        <v>61</v>
      </c>
      <c r="T794" s="1055" t="s">
        <v>62</v>
      </c>
      <c r="U794" s="511" t="s">
        <v>60</v>
      </c>
      <c r="V794" s="511"/>
      <c r="W794" s="531" t="s">
        <v>3390</v>
      </c>
      <c r="X794" s="120"/>
      <c r="Y794" s="120"/>
      <c r="Z794" s="120"/>
      <c r="AA794" s="120"/>
      <c r="AB794" s="120"/>
      <c r="AC794" s="120"/>
      <c r="AD794"/>
      <c r="AE794" s="186"/>
    </row>
    <row r="795" spans="1:32" s="1" customFormat="1" ht="72.5">
      <c r="A795" s="1185"/>
      <c r="B795" s="60"/>
      <c r="C795" s="16" t="s">
        <v>3395</v>
      </c>
      <c r="D795" s="32" t="s">
        <v>32</v>
      </c>
      <c r="E795" s="32"/>
      <c r="F795" s="32"/>
      <c r="G795" s="32"/>
      <c r="H795" s="5" t="s">
        <v>33</v>
      </c>
      <c r="I795" s="5" t="s">
        <v>47</v>
      </c>
      <c r="J795" s="16" t="s">
        <v>3029</v>
      </c>
      <c r="K795" s="8"/>
      <c r="L795" s="5" t="e">
        <f>IF(OR(S795=#REF!,S795=#REF!,S795=#REF!,S795=#REF!,S795=#REF!,S795=#REF!,S795=#REF!,S795=#REF!),12,IF(OR(S795=#REF!,S795=#REF!,S795=#REF!,S795=#REF!,S795=#REF!,S795=#REF!,S795=#REF!),3,IF(S795=#REF!,1,IF(S795=#REF!,18,IF(OR(S795=#REF!,S795=#REF!,S795=#REF!,S795=#REF!,S795=#REF!),14,"Invalid proposed procurement method")))))</f>
        <v>#REF!</v>
      </c>
      <c r="M795" s="199" t="str">
        <f>IFERROR(EDATE($N795,-3),"Invalid procurement method or date entered")</f>
        <v>Invalid procurement method or date entered</v>
      </c>
      <c r="N795" s="199" t="str">
        <f>IFERROR(EDATE(O795,-L795),"Invalid procurement method or date entered")</f>
        <v>Invalid procurement method or date entered</v>
      </c>
      <c r="O795" s="199">
        <v>44075</v>
      </c>
      <c r="P795" s="5">
        <v>120</v>
      </c>
      <c r="Q795" s="7" t="s">
        <v>3396</v>
      </c>
      <c r="R795" s="18">
        <v>3395000</v>
      </c>
      <c r="S795" s="5" t="s">
        <v>91</v>
      </c>
      <c r="T795" s="171" t="s">
        <v>70</v>
      </c>
      <c r="U795" s="51">
        <v>43917</v>
      </c>
      <c r="V795" s="51"/>
      <c r="W795" s="5" t="s">
        <v>3397</v>
      </c>
      <c r="X795" s="5" t="s">
        <v>784</v>
      </c>
      <c r="Y795" s="5" t="s">
        <v>40</v>
      </c>
      <c r="Z795" s="5"/>
      <c r="AA795" s="5" t="s">
        <v>38</v>
      </c>
      <c r="AB795" s="199" t="s">
        <v>132</v>
      </c>
      <c r="AC795" s="8" t="s">
        <v>3398</v>
      </c>
      <c r="AD795" s="76" t="s">
        <v>2268</v>
      </c>
      <c r="AE795" s="164">
        <v>121428</v>
      </c>
    </row>
    <row r="796" spans="1:32" s="1" customFormat="1" ht="29.15" customHeight="1">
      <c r="A796" s="1185"/>
      <c r="B796" s="965"/>
      <c r="C796" s="188" t="s">
        <v>3399</v>
      </c>
      <c r="D796" s="189" t="s">
        <v>32</v>
      </c>
      <c r="E796" s="189"/>
      <c r="F796" s="189"/>
      <c r="G796" s="189"/>
      <c r="H796" s="190" t="s">
        <v>1670</v>
      </c>
      <c r="I796" s="190" t="s">
        <v>34</v>
      </c>
      <c r="J796" s="191" t="s">
        <v>3400</v>
      </c>
      <c r="K796" s="191"/>
      <c r="L796" s="190" t="e">
        <f>IF(OR(S796=#REF!,S796=#REF!,S796=#REF!,S796=#REF!,S796=#REF!,S796=#REF!,S796=#REF!,S796=#REF!),12,IF(OR(S796=#REF!,S796=#REF!,S796=#REF!,S796=#REF!,S796=#REF!,S796=#REF!,S796=#REF!),3,IF(S796=#REF!,1,IF(S796=#REF!,18,IF(OR(S796=#REF!,S796=#REF!,S796=#REF!,S796=#REF!,S796=#REF!),14,"Invalid proposed procurement method")))))</f>
        <v>#REF!</v>
      </c>
      <c r="M796" s="192" t="str">
        <f>IFERROR(EDATE($N796,-3),"Invalid procurement method or date entered")</f>
        <v>Invalid procurement method or date entered</v>
      </c>
      <c r="N796" s="192" t="str">
        <f>IFERROR(EDATE(O796,-L796),"Invalid procurement method or date entered")</f>
        <v>Invalid procurement method or date entered</v>
      </c>
      <c r="O796" s="193">
        <v>44075</v>
      </c>
      <c r="P796" s="256">
        <v>36</v>
      </c>
      <c r="Q796" s="256" t="s">
        <v>2793</v>
      </c>
      <c r="R796" s="2887">
        <v>214500</v>
      </c>
      <c r="S796" s="2780" t="s">
        <v>407</v>
      </c>
      <c r="T796" s="335" t="s">
        <v>38</v>
      </c>
      <c r="U796" s="194" t="s">
        <v>67</v>
      </c>
      <c r="V796" s="194"/>
      <c r="W796" s="190" t="s">
        <v>1070</v>
      </c>
      <c r="X796" s="190" t="s">
        <v>254</v>
      </c>
      <c r="Y796" s="190" t="s">
        <v>40</v>
      </c>
      <c r="Z796" s="190"/>
      <c r="AA796" s="190" t="s">
        <v>70</v>
      </c>
      <c r="AB796" s="199" t="s">
        <v>41</v>
      </c>
      <c r="AC796" s="74" t="s">
        <v>3401</v>
      </c>
      <c r="AD796" s="1125" t="s">
        <v>979</v>
      </c>
      <c r="AE796" s="240"/>
    </row>
    <row r="797" spans="1:32" ht="72.5">
      <c r="A797" s="1119"/>
      <c r="B797" s="60"/>
      <c r="C797" s="4" t="s">
        <v>3402</v>
      </c>
      <c r="D797" s="5" t="s">
        <v>32</v>
      </c>
      <c r="E797" s="5"/>
      <c r="F797" s="5"/>
      <c r="G797" s="5"/>
      <c r="H797" s="5" t="s">
        <v>33</v>
      </c>
      <c r="I797" s="5" t="s">
        <v>47</v>
      </c>
      <c r="J797" s="16" t="s">
        <v>3403</v>
      </c>
      <c r="K797" s="16"/>
      <c r="L797" s="5" t="e">
        <f>IF(OR(S797=#REF!,S797=#REF!,S797=#REF!,S797=#REF!,S797=#REF!,S797=#REF!,S797=#REF!,S797=#REF!),12,IF(OR(S797=#REF!,S797=#REF!,S797=#REF!,S797=#REF!,S797=#REF!,S797=#REF!,S797=#REF!),3,IF(S797=#REF!,1,IF(S797=#REF!,18,IF(OR(S797=#REF!,S797=#REF!,S797=#REF!,S797=#REF!,S797=#REF!),14,"Invalid proposed procurement method")))))</f>
        <v>#REF!</v>
      </c>
      <c r="M797" s="199" t="str">
        <f>IFERROR(EDATE($N797,-3),"Invalid procurement method or date entered")</f>
        <v>Invalid procurement method or date entered</v>
      </c>
      <c r="N797" s="199" t="str">
        <f>IFERROR(EDATE(O797,-L797),"Invalid procurement method or date entered")</f>
        <v>Invalid procurement method or date entered</v>
      </c>
      <c r="O797" s="182">
        <v>44075</v>
      </c>
      <c r="P797" s="12">
        <v>24</v>
      </c>
      <c r="Q797" s="7" t="s">
        <v>391</v>
      </c>
      <c r="R797" s="18">
        <v>128562.77</v>
      </c>
      <c r="S797" s="5" t="s">
        <v>84</v>
      </c>
      <c r="T797" s="169" t="s">
        <v>62</v>
      </c>
      <c r="U797" s="53" t="s">
        <v>67</v>
      </c>
      <c r="V797" s="53"/>
      <c r="W797" s="5" t="s">
        <v>1667</v>
      </c>
      <c r="X797" s="5" t="s">
        <v>543</v>
      </c>
      <c r="Y797" s="5" t="s">
        <v>40</v>
      </c>
      <c r="Z797" s="5"/>
      <c r="AA797" s="5" t="s">
        <v>38</v>
      </c>
      <c r="AB797" s="199" t="s">
        <v>41</v>
      </c>
      <c r="AC797" s="8" t="s">
        <v>3404</v>
      </c>
      <c r="AD797" s="80" t="s">
        <v>3405</v>
      </c>
      <c r="AE797" s="164">
        <v>64281</v>
      </c>
      <c r="AF797" s="1"/>
    </row>
    <row r="798" spans="1:32" s="1" customFormat="1" ht="333.5">
      <c r="A798" s="1119"/>
      <c r="B798" s="336"/>
      <c r="C798" s="4" t="s">
        <v>526</v>
      </c>
      <c r="D798" s="32" t="s">
        <v>32</v>
      </c>
      <c r="E798" s="32"/>
      <c r="F798" s="32"/>
      <c r="G798" s="32"/>
      <c r="H798" s="12" t="s">
        <v>33</v>
      </c>
      <c r="I798" s="12" t="s">
        <v>34</v>
      </c>
      <c r="J798" s="16" t="s">
        <v>527</v>
      </c>
      <c r="K798" s="16"/>
      <c r="L798" s="16"/>
      <c r="M798" s="182">
        <v>43739</v>
      </c>
      <c r="N798" s="182"/>
      <c r="O798" s="182">
        <v>44075</v>
      </c>
      <c r="P798" s="12">
        <v>84</v>
      </c>
      <c r="Q798" s="12" t="s">
        <v>3406</v>
      </c>
      <c r="R798" s="18" t="s">
        <v>3407</v>
      </c>
      <c r="S798" s="5" t="s">
        <v>130</v>
      </c>
      <c r="T798" s="26" t="s">
        <v>38</v>
      </c>
      <c r="U798" s="12" t="s">
        <v>67</v>
      </c>
      <c r="V798" s="12"/>
      <c r="W798" s="12" t="s">
        <v>142</v>
      </c>
      <c r="X798" s="5" t="s">
        <v>39</v>
      </c>
      <c r="Y798" s="15" t="s">
        <v>3408</v>
      </c>
      <c r="Z798" s="15"/>
      <c r="AA798" s="5"/>
      <c r="AB798" s="199" t="s">
        <v>41</v>
      </c>
      <c r="AC798" s="36" t="s">
        <v>3409</v>
      </c>
      <c r="AD798" s="76" t="s">
        <v>3410</v>
      </c>
      <c r="AE798" s="228">
        <v>4999</v>
      </c>
    </row>
    <row r="799" spans="1:32" s="1" customFormat="1" ht="275.5">
      <c r="A799" s="1185"/>
      <c r="B799" s="336"/>
      <c r="C799" s="4" t="s">
        <v>342</v>
      </c>
      <c r="D799" s="32" t="s">
        <v>32</v>
      </c>
      <c r="E799" s="32"/>
      <c r="F799" s="32"/>
      <c r="G799" s="32"/>
      <c r="H799" s="5" t="s">
        <v>33</v>
      </c>
      <c r="I799" s="5" t="s">
        <v>34</v>
      </c>
      <c r="J799" s="16" t="s">
        <v>2206</v>
      </c>
      <c r="K799" s="16"/>
      <c r="L799" s="16"/>
      <c r="M799" s="182">
        <v>43770</v>
      </c>
      <c r="N799" s="182"/>
      <c r="O799" s="182">
        <v>44075</v>
      </c>
      <c r="P799" s="12">
        <v>48</v>
      </c>
      <c r="Q799" s="7" t="s">
        <v>656</v>
      </c>
      <c r="R799" s="18">
        <v>603912</v>
      </c>
      <c r="S799" s="5" t="s">
        <v>130</v>
      </c>
      <c r="T799" s="167" t="s">
        <v>70</v>
      </c>
      <c r="U799" s="48" t="s">
        <v>45</v>
      </c>
      <c r="V799" s="48"/>
      <c r="W799" s="5" t="s">
        <v>2207</v>
      </c>
      <c r="X799" s="5" t="s">
        <v>39</v>
      </c>
      <c r="Y799" s="5" t="s">
        <v>40</v>
      </c>
      <c r="Z799" s="5"/>
      <c r="AA799" s="5"/>
      <c r="AB799" s="199" t="s">
        <v>41</v>
      </c>
      <c r="AC799" s="8" t="s">
        <v>3411</v>
      </c>
      <c r="AD799"/>
      <c r="AE799" s="224">
        <v>150348</v>
      </c>
    </row>
    <row r="800" spans="1:32" s="1" customFormat="1" ht="72.5">
      <c r="A800" s="1119"/>
      <c r="B800" s="147"/>
      <c r="C800" s="2755" t="s">
        <v>3412</v>
      </c>
      <c r="D800" s="2838" t="s">
        <v>32</v>
      </c>
      <c r="E800" s="2838"/>
      <c r="F800" s="2838"/>
      <c r="G800" s="2838"/>
      <c r="H800" s="2763" t="s">
        <v>1670</v>
      </c>
      <c r="I800" s="2763" t="s">
        <v>47</v>
      </c>
      <c r="J800" s="2755" t="s">
        <v>3413</v>
      </c>
      <c r="K800" s="2755"/>
      <c r="L800" s="5" t="e">
        <f>IF(OR(S800=#REF!,S800=#REF!,S800=#REF!,S800=#REF!,S800=#REF!,S800=#REF!,S800=#REF!,S800=#REF!),12,IF(OR(S800=#REF!,S800=#REF!,S800=#REF!,S800=#REF!,S800=#REF!,S800=#REF!,S800=#REF!),3,IF(S800=#REF!,1,IF(S800=#REF!,18,IF(OR(S800=#REF!,S800=#REF!,S800=#REF!,S800=#REF!,S800=#REF!),14,"Invalid proposed procurement method")))))</f>
        <v>#REF!</v>
      </c>
      <c r="M800" s="199" t="str">
        <f>IFERROR(EDATE($N800,-3),"Invalid procurement method or date entered")</f>
        <v>Invalid procurement method or date entered</v>
      </c>
      <c r="N800" s="199" t="str">
        <f>IFERROR(EDATE(O800,-L800),"Invalid procurement method or date entered")</f>
        <v>Invalid procurement method or date entered</v>
      </c>
      <c r="O800" s="2764">
        <v>44075</v>
      </c>
      <c r="P800" s="2763">
        <v>36</v>
      </c>
      <c r="Q800" s="2763" t="s">
        <v>1345</v>
      </c>
      <c r="R800" s="2826">
        <v>21000</v>
      </c>
      <c r="S800" s="2751" t="s">
        <v>51</v>
      </c>
      <c r="T800" s="2837" t="s">
        <v>38</v>
      </c>
      <c r="U800" s="2763" t="s">
        <v>67</v>
      </c>
      <c r="V800" s="2763"/>
      <c r="W800" s="2763" t="s">
        <v>617</v>
      </c>
      <c r="X800" s="2763" t="s">
        <v>254</v>
      </c>
      <c r="Y800" s="2763" t="s">
        <v>40</v>
      </c>
      <c r="Z800" s="2763"/>
      <c r="AA800" s="5" t="s">
        <v>70</v>
      </c>
      <c r="AB800" s="199" t="s">
        <v>132</v>
      </c>
      <c r="AC800" s="2758" t="s">
        <v>3414</v>
      </c>
      <c r="AD800" s="2765" t="s">
        <v>860</v>
      </c>
      <c r="AE800" s="2837"/>
    </row>
    <row r="801" spans="1:32" s="1" customFormat="1" ht="43.4" customHeight="1">
      <c r="A801" s="1185"/>
      <c r="B801" s="147"/>
      <c r="C801" s="4" t="s">
        <v>45</v>
      </c>
      <c r="D801" s="32" t="s">
        <v>32</v>
      </c>
      <c r="E801" s="32"/>
      <c r="F801" s="32"/>
      <c r="G801" s="32"/>
      <c r="H801" s="5" t="s">
        <v>33</v>
      </c>
      <c r="I801" s="5" t="s">
        <v>47</v>
      </c>
      <c r="J801" s="16" t="s">
        <v>3415</v>
      </c>
      <c r="K801" s="8"/>
      <c r="L801" s="8"/>
      <c r="M801" s="199">
        <v>43922</v>
      </c>
      <c r="N801" s="199"/>
      <c r="O801" s="199">
        <v>44075</v>
      </c>
      <c r="P801" s="5">
        <v>36</v>
      </c>
      <c r="Q801" s="25" t="s">
        <v>98</v>
      </c>
      <c r="R801" s="184">
        <v>130826</v>
      </c>
      <c r="S801" s="207" t="s">
        <v>51</v>
      </c>
      <c r="T801" s="185" t="s">
        <v>38</v>
      </c>
      <c r="U801" s="15" t="s">
        <v>67</v>
      </c>
      <c r="V801" s="15"/>
      <c r="W801" s="5" t="s">
        <v>3416</v>
      </c>
      <c r="X801" s="5" t="s">
        <v>1764</v>
      </c>
      <c r="Y801" s="5" t="s">
        <v>40</v>
      </c>
      <c r="Z801" s="5"/>
      <c r="AA801" s="5"/>
      <c r="AB801" s="199" t="s">
        <v>41</v>
      </c>
      <c r="AC801" s="8" t="s">
        <v>3417</v>
      </c>
      <c r="AD801" s="76" t="s">
        <v>3120</v>
      </c>
      <c r="AE801" s="164"/>
    </row>
    <row r="802" spans="1:32" s="1" customFormat="1" ht="101.5">
      <c r="A802" s="1184"/>
      <c r="B802" s="147"/>
      <c r="C802" s="188" t="s">
        <v>3418</v>
      </c>
      <c r="D802" s="189" t="s">
        <v>32</v>
      </c>
      <c r="E802" s="189"/>
      <c r="F802" s="189"/>
      <c r="G802" s="189"/>
      <c r="H802" s="190" t="s">
        <v>33</v>
      </c>
      <c r="I802" s="190" t="s">
        <v>47</v>
      </c>
      <c r="J802" s="191" t="s">
        <v>3419</v>
      </c>
      <c r="K802" s="74"/>
      <c r="L802" s="190" t="e">
        <f>IF(OR(S802=#REF!,S802=#REF!,S802=#REF!,S802=#REF!,S802=#REF!,S802=#REF!,S802=#REF!,S802=#REF!),12,IF(OR(S802=#REF!,S802=#REF!,S802=#REF!,S802=#REF!,S802=#REF!,S802=#REF!,S802=#REF!),3,IF(S802=#REF!,1,IF(S802=#REF!,18,IF(OR(S802=#REF!,S802=#REF!,S802=#REF!,S802=#REF!,S802=#REF!),14,"Invalid proposed procurement method")))))</f>
        <v>#REF!</v>
      </c>
      <c r="M802" s="192" t="str">
        <f>IFERROR(EDATE($N802,-3),"Invalid procurement method or date entered")</f>
        <v>Invalid procurement method or date entered</v>
      </c>
      <c r="N802" s="192" t="str">
        <f>IFERROR(EDATE(O802,-L802),"Invalid procurement method or date entered")</f>
        <v>Invalid procurement method or date entered</v>
      </c>
      <c r="O802" s="192">
        <v>44075</v>
      </c>
      <c r="P802" s="190">
        <v>12</v>
      </c>
      <c r="Q802" s="196" t="s">
        <v>50</v>
      </c>
      <c r="R802" s="257">
        <v>25000</v>
      </c>
      <c r="S802" s="1051" t="s">
        <v>37</v>
      </c>
      <c r="T802" s="335" t="s">
        <v>38</v>
      </c>
      <c r="U802" s="194"/>
      <c r="V802" s="194"/>
      <c r="W802" s="190" t="s">
        <v>3416</v>
      </c>
      <c r="X802" s="190" t="s">
        <v>254</v>
      </c>
      <c r="Y802" s="190" t="s">
        <v>40</v>
      </c>
      <c r="Z802" s="190"/>
      <c r="AA802" s="190" t="s">
        <v>70</v>
      </c>
      <c r="AB802" s="199" t="s">
        <v>41</v>
      </c>
      <c r="AC802" s="74" t="s">
        <v>3420</v>
      </c>
      <c r="AD802" s="1125" t="s">
        <v>3120</v>
      </c>
      <c r="AE802" s="258"/>
    </row>
    <row r="803" spans="1:32" s="1" customFormat="1" ht="43.4" customHeight="1">
      <c r="A803" s="1184"/>
      <c r="B803" s="147"/>
      <c r="C803" s="2755" t="s">
        <v>3421</v>
      </c>
      <c r="D803" s="2784" t="s">
        <v>32</v>
      </c>
      <c r="E803" s="2784"/>
      <c r="F803" s="2784"/>
      <c r="G803" s="2784"/>
      <c r="H803" s="2755" t="s">
        <v>1670</v>
      </c>
      <c r="I803" s="2763" t="s">
        <v>47</v>
      </c>
      <c r="J803" s="2755" t="s">
        <v>3422</v>
      </c>
      <c r="K803" s="2755"/>
      <c r="L803" s="2755"/>
      <c r="M803" s="2764">
        <v>44044</v>
      </c>
      <c r="N803" s="2764"/>
      <c r="O803" s="2764">
        <v>44075</v>
      </c>
      <c r="P803" s="2763">
        <v>48</v>
      </c>
      <c r="Q803" s="2763" t="s">
        <v>215</v>
      </c>
      <c r="R803" s="2826">
        <v>30000</v>
      </c>
      <c r="S803" s="2751" t="s">
        <v>3423</v>
      </c>
      <c r="T803" s="2837" t="s">
        <v>38</v>
      </c>
      <c r="U803" s="2763" t="s">
        <v>67</v>
      </c>
      <c r="V803" s="2763"/>
      <c r="W803" s="2763" t="s">
        <v>617</v>
      </c>
      <c r="X803" s="2763" t="s">
        <v>254</v>
      </c>
      <c r="Y803" s="2763" t="s">
        <v>40</v>
      </c>
      <c r="Z803" s="2763"/>
      <c r="AA803" s="2763"/>
      <c r="AB803" s="199" t="s">
        <v>3016</v>
      </c>
      <c r="AC803" s="2875" t="s">
        <v>3424</v>
      </c>
      <c r="AD803" s="2765" t="s">
        <v>860</v>
      </c>
      <c r="AE803" s="2837"/>
    </row>
    <row r="804" spans="1:32" s="1" customFormat="1" ht="14.9" customHeight="1">
      <c r="A804" s="1184"/>
      <c r="B804" s="464" t="s">
        <v>100</v>
      </c>
      <c r="C804" s="362"/>
      <c r="D804" s="118" t="s">
        <v>122</v>
      </c>
      <c r="E804" s="118"/>
      <c r="F804" s="118"/>
      <c r="G804" s="118"/>
      <c r="H804" s="8" t="s">
        <v>103</v>
      </c>
      <c r="I804" s="8" t="s">
        <v>34</v>
      </c>
      <c r="J804" s="16" t="s">
        <v>353</v>
      </c>
      <c r="K804" s="8"/>
      <c r="L804" s="8"/>
      <c r="M804" s="367">
        <v>43313</v>
      </c>
      <c r="N804" s="8"/>
      <c r="O804" s="367">
        <v>44075</v>
      </c>
      <c r="P804" s="369">
        <v>60</v>
      </c>
      <c r="Q804" s="369" t="s">
        <v>171</v>
      </c>
      <c r="R804" s="159">
        <v>1470000</v>
      </c>
      <c r="S804" s="159" t="s">
        <v>130</v>
      </c>
      <c r="T804" s="390" t="s">
        <v>38</v>
      </c>
      <c r="U804" s="365" t="s">
        <v>3425</v>
      </c>
      <c r="V804" s="365"/>
      <c r="W804" s="8" t="s">
        <v>2886</v>
      </c>
      <c r="X804" s="8" t="s">
        <v>120</v>
      </c>
      <c r="Y804" s="8" t="s">
        <v>40</v>
      </c>
      <c r="Z804" s="8"/>
      <c r="AA804" s="366"/>
      <c r="AB804" s="431" t="s">
        <v>3316</v>
      </c>
      <c r="AC804" s="177"/>
      <c r="AD804" s="432"/>
      <c r="AE804" s="487"/>
    </row>
    <row r="805" spans="1:32" s="1" customFormat="1" ht="72.5">
      <c r="A805" s="1184"/>
      <c r="B805" s="147" t="s">
        <v>44</v>
      </c>
      <c r="C805" s="4" t="s">
        <v>3426</v>
      </c>
      <c r="D805" s="32" t="s">
        <v>32</v>
      </c>
      <c r="E805" s="32"/>
      <c r="F805" s="32"/>
      <c r="G805" s="32"/>
      <c r="H805" s="5" t="s">
        <v>127</v>
      </c>
      <c r="I805" s="5" t="s">
        <v>34</v>
      </c>
      <c r="J805" s="16" t="s">
        <v>423</v>
      </c>
      <c r="K805" s="8"/>
      <c r="L805" s="8"/>
      <c r="M805" s="199">
        <v>43739</v>
      </c>
      <c r="N805" s="199"/>
      <c r="O805" s="199">
        <v>44075</v>
      </c>
      <c r="P805" s="5">
        <v>60</v>
      </c>
      <c r="Q805" s="7" t="s">
        <v>3427</v>
      </c>
      <c r="R805" s="18">
        <v>105825</v>
      </c>
      <c r="S805" s="5" t="s">
        <v>130</v>
      </c>
      <c r="T805" s="171" t="s">
        <v>62</v>
      </c>
      <c r="U805" s="4"/>
      <c r="V805" s="4"/>
      <c r="W805" s="5" t="s">
        <v>425</v>
      </c>
      <c r="X805" s="9" t="s">
        <v>39</v>
      </c>
      <c r="Y805" s="5" t="s">
        <v>40</v>
      </c>
      <c r="Z805" s="5"/>
      <c r="AA805" s="5"/>
      <c r="AB805" s="2801">
        <v>43752</v>
      </c>
      <c r="AC805" s="8" t="s">
        <v>3428</v>
      </c>
      <c r="AE805" s="164">
        <v>21165</v>
      </c>
      <c r="AF805" s="35"/>
    </row>
    <row r="806" spans="1:32" s="1" customFormat="1" ht="43.5">
      <c r="A806" s="1184"/>
      <c r="B806" s="464" t="s">
        <v>100</v>
      </c>
      <c r="C806" s="362"/>
      <c r="D806" s="464" t="s">
        <v>57</v>
      </c>
      <c r="E806" s="464"/>
      <c r="F806" s="464"/>
      <c r="G806" s="464"/>
      <c r="H806" s="84" t="s">
        <v>197</v>
      </c>
      <c r="I806" s="84" t="s">
        <v>47</v>
      </c>
      <c r="J806" s="1586" t="s">
        <v>704</v>
      </c>
      <c r="K806" s="84"/>
      <c r="L806" s="84"/>
      <c r="M806" s="386">
        <v>43831</v>
      </c>
      <c r="N806" s="84"/>
      <c r="O806" s="433">
        <v>44075</v>
      </c>
      <c r="P806" s="434">
        <v>24</v>
      </c>
      <c r="Q806" s="477" t="s">
        <v>1345</v>
      </c>
      <c r="R806" s="435">
        <v>80000</v>
      </c>
      <c r="S806" s="479" t="s">
        <v>176</v>
      </c>
      <c r="T806" s="484" t="s">
        <v>38</v>
      </c>
      <c r="U806" s="434" t="s">
        <v>71</v>
      </c>
      <c r="V806" s="434"/>
      <c r="W806" s="84" t="s">
        <v>3429</v>
      </c>
      <c r="X806" s="84" t="s">
        <v>189</v>
      </c>
      <c r="Y806" s="84" t="s">
        <v>115</v>
      </c>
      <c r="Z806" s="84"/>
      <c r="AA806" s="362"/>
      <c r="AB806" s="431" t="s">
        <v>3300</v>
      </c>
      <c r="AC806" s="436" t="s">
        <v>3430</v>
      </c>
      <c r="AD806" s="437"/>
      <c r="AE806" s="503"/>
    </row>
    <row r="807" spans="1:32" s="1" customFormat="1" ht="25">
      <c r="A807" s="1119"/>
      <c r="B807" s="958" t="s">
        <v>56</v>
      </c>
      <c r="C807" s="510"/>
      <c r="D807" s="611" t="s">
        <v>32</v>
      </c>
      <c r="E807" s="611"/>
      <c r="F807" s="611"/>
      <c r="G807" s="611"/>
      <c r="H807" s="511" t="s">
        <v>279</v>
      </c>
      <c r="I807" s="519" t="s">
        <v>47</v>
      </c>
      <c r="J807" s="1578" t="s">
        <v>3431</v>
      </c>
      <c r="K807" s="512"/>
      <c r="L807" s="597">
        <v>43344</v>
      </c>
      <c r="M807" s="597"/>
      <c r="N807" s="597"/>
      <c r="O807" s="597">
        <v>44075</v>
      </c>
      <c r="P807" s="516">
        <v>48</v>
      </c>
      <c r="Q807" s="516">
        <v>48</v>
      </c>
      <c r="R807" s="599">
        <f>4*8405</f>
        <v>33620</v>
      </c>
      <c r="S807" s="523" t="s">
        <v>45</v>
      </c>
      <c r="T807" s="1055" t="s">
        <v>38</v>
      </c>
      <c r="U807" s="515"/>
      <c r="V807" s="515"/>
      <c r="W807" s="519" t="s">
        <v>2572</v>
      </c>
      <c r="X807" s="120"/>
      <c r="Y807" s="120"/>
      <c r="Z807" s="120"/>
      <c r="AA807" s="120"/>
      <c r="AB807" s="120"/>
      <c r="AC807" s="120"/>
      <c r="AD807"/>
      <c r="AE807" s="186"/>
    </row>
    <row r="808" spans="1:32" s="1" customFormat="1" ht="37.5">
      <c r="A808" s="1119"/>
      <c r="B808" s="958" t="s">
        <v>56</v>
      </c>
      <c r="C808" s="510" t="s">
        <v>60</v>
      </c>
      <c r="D808" s="611" t="s">
        <v>57</v>
      </c>
      <c r="E808" s="611"/>
      <c r="F808" s="611"/>
      <c r="G808" s="611"/>
      <c r="H808" s="511" t="s">
        <v>58</v>
      </c>
      <c r="I808" s="519" t="s">
        <v>47</v>
      </c>
      <c r="J808" s="1578" t="s">
        <v>3432</v>
      </c>
      <c r="K808" s="512"/>
      <c r="L808" s="515">
        <v>43952</v>
      </c>
      <c r="M808" s="515"/>
      <c r="N808" s="515"/>
      <c r="O808" s="515">
        <v>44075</v>
      </c>
      <c r="P808" s="530" t="s">
        <v>60</v>
      </c>
      <c r="Q808" s="530" t="s">
        <v>60</v>
      </c>
      <c r="R808" s="599">
        <v>25000</v>
      </c>
      <c r="S808" s="523" t="s">
        <v>3433</v>
      </c>
      <c r="T808" s="1055" t="s">
        <v>62</v>
      </c>
      <c r="U808" s="515" t="s">
        <v>60</v>
      </c>
      <c r="V808" s="515"/>
      <c r="W808" s="519" t="s">
        <v>986</v>
      </c>
      <c r="X808" s="120"/>
      <c r="Y808" s="120"/>
      <c r="Z808" s="120"/>
      <c r="AA808" s="120"/>
      <c r="AB808" s="120"/>
      <c r="AC808" s="120"/>
      <c r="AD808"/>
      <c r="AE808" s="186"/>
    </row>
    <row r="809" spans="1:32" s="1" customFormat="1" ht="37.5">
      <c r="A809" s="1119"/>
      <c r="B809" s="958" t="s">
        <v>56</v>
      </c>
      <c r="C809" s="510" t="s">
        <v>60</v>
      </c>
      <c r="D809" s="611" t="s">
        <v>57</v>
      </c>
      <c r="E809" s="611"/>
      <c r="F809" s="611"/>
      <c r="G809" s="611"/>
      <c r="H809" s="511" t="s">
        <v>58</v>
      </c>
      <c r="I809" s="519" t="s">
        <v>47</v>
      </c>
      <c r="J809" s="1578" t="s">
        <v>3434</v>
      </c>
      <c r="K809" s="512"/>
      <c r="L809" s="515">
        <v>44025</v>
      </c>
      <c r="M809" s="515"/>
      <c r="N809" s="515"/>
      <c r="O809" s="515">
        <v>44075</v>
      </c>
      <c r="P809" s="530" t="s">
        <v>60</v>
      </c>
      <c r="Q809" s="530" t="s">
        <v>60</v>
      </c>
      <c r="R809" s="599">
        <v>40000</v>
      </c>
      <c r="S809" s="515" t="s">
        <v>3435</v>
      </c>
      <c r="T809" s="1055" t="s">
        <v>62</v>
      </c>
      <c r="U809" s="515" t="s">
        <v>60</v>
      </c>
      <c r="V809" s="515"/>
      <c r="W809" s="519" t="s">
        <v>750</v>
      </c>
      <c r="X809" s="120"/>
      <c r="Y809" s="120"/>
      <c r="Z809" s="120"/>
      <c r="AA809" s="120"/>
      <c r="AB809" s="120"/>
      <c r="AC809" s="120"/>
      <c r="AD809"/>
      <c r="AE809" s="186"/>
    </row>
    <row r="810" spans="1:32" s="1" customFormat="1" ht="37.5">
      <c r="A810" s="1119"/>
      <c r="B810" s="958" t="s">
        <v>56</v>
      </c>
      <c r="C810" s="510" t="s">
        <v>3436</v>
      </c>
      <c r="D810" s="611" t="s">
        <v>57</v>
      </c>
      <c r="E810" s="611"/>
      <c r="F810" s="611"/>
      <c r="G810" s="611"/>
      <c r="H810" s="511" t="s">
        <v>58</v>
      </c>
      <c r="I810" s="519" t="s">
        <v>47</v>
      </c>
      <c r="J810" s="1578" t="s">
        <v>3437</v>
      </c>
      <c r="K810" s="512"/>
      <c r="L810" s="515">
        <v>43952</v>
      </c>
      <c r="M810" s="515"/>
      <c r="N810" s="515"/>
      <c r="O810" s="515">
        <v>44075</v>
      </c>
      <c r="P810" s="530" t="s">
        <v>60</v>
      </c>
      <c r="Q810" s="530" t="s">
        <v>60</v>
      </c>
      <c r="R810" s="528">
        <v>35000</v>
      </c>
      <c r="S810" s="515" t="s">
        <v>3433</v>
      </c>
      <c r="T810" s="1055" t="s">
        <v>62</v>
      </c>
      <c r="U810" s="515" t="s">
        <v>60</v>
      </c>
      <c r="V810" s="515"/>
      <c r="W810" s="519" t="s">
        <v>3438</v>
      </c>
      <c r="X810" s="120"/>
      <c r="Y810" s="120"/>
      <c r="Z810" s="120"/>
      <c r="AA810" s="120"/>
      <c r="AB810" s="120"/>
      <c r="AC810" s="120"/>
      <c r="AD810"/>
      <c r="AE810" s="186"/>
    </row>
    <row r="811" spans="1:32" s="1" customFormat="1" ht="29.15" customHeight="1">
      <c r="A811" s="1119"/>
      <c r="B811" s="958" t="s">
        <v>56</v>
      </c>
      <c r="C811" s="510" t="s">
        <v>3439</v>
      </c>
      <c r="D811" s="611" t="s">
        <v>57</v>
      </c>
      <c r="E811" s="611"/>
      <c r="F811" s="611"/>
      <c r="G811" s="611"/>
      <c r="H811" s="511" t="s">
        <v>58</v>
      </c>
      <c r="I811" s="519" t="s">
        <v>47</v>
      </c>
      <c r="J811" s="606" t="s">
        <v>3440</v>
      </c>
      <c r="K811" s="529"/>
      <c r="L811" s="515">
        <v>44018</v>
      </c>
      <c r="M811" s="515"/>
      <c r="N811" s="515"/>
      <c r="O811" s="515">
        <v>44075</v>
      </c>
      <c r="P811" s="536" t="s">
        <v>60</v>
      </c>
      <c r="Q811" s="1013" t="s">
        <v>60</v>
      </c>
      <c r="R811" s="538">
        <v>104000</v>
      </c>
      <c r="S811" s="1044" t="s">
        <v>176</v>
      </c>
      <c r="T811" s="1013" t="s">
        <v>62</v>
      </c>
      <c r="U811" s="514">
        <v>43700</v>
      </c>
      <c r="V811" s="514"/>
      <c r="W811" s="519" t="s">
        <v>750</v>
      </c>
      <c r="X811" s="120"/>
      <c r="Y811" s="120"/>
      <c r="Z811" s="120"/>
      <c r="AA811" s="120"/>
      <c r="AB811" s="120"/>
      <c r="AC811" s="120"/>
      <c r="AD811"/>
      <c r="AE811" s="186"/>
    </row>
    <row r="812" spans="1:32" s="1" customFormat="1" ht="29.15" customHeight="1">
      <c r="A812" s="1119"/>
      <c r="B812" s="958" t="s">
        <v>56</v>
      </c>
      <c r="C812" s="510" t="s">
        <v>3441</v>
      </c>
      <c r="D812" s="611" t="s">
        <v>57</v>
      </c>
      <c r="E812" s="611"/>
      <c r="F812" s="611"/>
      <c r="G812" s="611"/>
      <c r="H812" s="511" t="s">
        <v>58</v>
      </c>
      <c r="I812" s="519" t="s">
        <v>47</v>
      </c>
      <c r="J812" s="1578" t="s">
        <v>3442</v>
      </c>
      <c r="K812" s="512"/>
      <c r="L812" s="515">
        <v>44013</v>
      </c>
      <c r="M812" s="515"/>
      <c r="N812" s="515"/>
      <c r="O812" s="515">
        <v>44075</v>
      </c>
      <c r="P812" s="516" t="s">
        <v>60</v>
      </c>
      <c r="Q812" s="516" t="s">
        <v>60</v>
      </c>
      <c r="R812" s="528">
        <v>866856</v>
      </c>
      <c r="S812" s="515" t="s">
        <v>1189</v>
      </c>
      <c r="T812" s="1055" t="s">
        <v>70</v>
      </c>
      <c r="U812" s="510" t="s">
        <v>60</v>
      </c>
      <c r="V812" s="510"/>
      <c r="W812" s="510" t="s">
        <v>2228</v>
      </c>
      <c r="X812" s="120"/>
      <c r="Y812" s="120"/>
      <c r="Z812" s="120"/>
      <c r="AA812" s="120"/>
      <c r="AB812" s="120"/>
      <c r="AC812" s="120"/>
      <c r="AD812"/>
      <c r="AE812" s="186"/>
    </row>
    <row r="813" spans="1:32" s="1" customFormat="1" ht="43.4" customHeight="1">
      <c r="A813" s="1119"/>
      <c r="B813" s="958" t="s">
        <v>56</v>
      </c>
      <c r="C813" s="510" t="s">
        <v>3443</v>
      </c>
      <c r="D813" s="611" t="s">
        <v>57</v>
      </c>
      <c r="E813" s="611"/>
      <c r="F813" s="611"/>
      <c r="G813" s="611"/>
      <c r="H813" s="511" t="s">
        <v>58</v>
      </c>
      <c r="I813" s="519" t="s">
        <v>47</v>
      </c>
      <c r="J813" s="1578" t="s">
        <v>3444</v>
      </c>
      <c r="K813" s="512"/>
      <c r="L813" s="512"/>
      <c r="M813" s="511">
        <v>1</v>
      </c>
      <c r="N813" s="514" t="str">
        <f>IF(O813="tbc","",(IFERROR(EDATE(#REF!,-3),"Invalid procurement method or date entered")))</f>
        <v>Invalid procurement method or date entered</v>
      </c>
      <c r="O813" s="515">
        <v>44075</v>
      </c>
      <c r="P813" s="530">
        <v>4</v>
      </c>
      <c r="Q813" s="530">
        <v>4</v>
      </c>
      <c r="R813" s="528">
        <v>900000</v>
      </c>
      <c r="S813" s="536" t="s">
        <v>176</v>
      </c>
      <c r="T813" s="1055" t="s">
        <v>310</v>
      </c>
      <c r="U813" s="515" t="s">
        <v>60</v>
      </c>
      <c r="V813" s="515"/>
      <c r="W813" s="519" t="s">
        <v>855</v>
      </c>
      <c r="X813" s="120"/>
      <c r="Y813" s="120"/>
      <c r="Z813" s="120"/>
      <c r="AA813" s="120"/>
      <c r="AB813" s="120"/>
      <c r="AC813" s="120"/>
      <c r="AD813"/>
      <c r="AE813" s="186"/>
    </row>
    <row r="814" spans="1:32" s="1" customFormat="1" ht="43.4" customHeight="1">
      <c r="A814" s="1119"/>
      <c r="B814" s="963"/>
      <c r="C814" s="148" t="s">
        <v>3399</v>
      </c>
      <c r="D814" s="32" t="s">
        <v>32</v>
      </c>
      <c r="E814" s="32"/>
      <c r="F814" s="32"/>
      <c r="G814" s="32"/>
      <c r="H814" s="9" t="s">
        <v>1670</v>
      </c>
      <c r="I814" s="9" t="s">
        <v>34</v>
      </c>
      <c r="J814" s="63" t="s">
        <v>3445</v>
      </c>
      <c r="K814" s="63"/>
      <c r="L814" s="63"/>
      <c r="M814" s="49">
        <v>44029</v>
      </c>
      <c r="N814" s="49"/>
      <c r="O814" s="49">
        <v>44076</v>
      </c>
      <c r="P814" s="254">
        <v>36</v>
      </c>
      <c r="Q814" s="254" t="s">
        <v>2793</v>
      </c>
      <c r="R814" s="2888">
        <v>214500</v>
      </c>
      <c r="S814" s="2889" t="s">
        <v>2622</v>
      </c>
      <c r="T814" s="185" t="s">
        <v>38</v>
      </c>
      <c r="U814" s="15" t="s">
        <v>67</v>
      </c>
      <c r="V814" s="15"/>
      <c r="W814" s="9" t="s">
        <v>617</v>
      </c>
      <c r="X814" s="9" t="s">
        <v>254</v>
      </c>
      <c r="Y814" s="9" t="s">
        <v>40</v>
      </c>
      <c r="Z814" s="9"/>
      <c r="AA814" s="9"/>
      <c r="AB814" s="199" t="s">
        <v>41</v>
      </c>
      <c r="AC814" s="6" t="s">
        <v>3446</v>
      </c>
      <c r="AD814" s="1077" t="s">
        <v>979</v>
      </c>
      <c r="AE814" s="230"/>
    </row>
    <row r="815" spans="1:32" s="35" customFormat="1" ht="86.9" customHeight="1">
      <c r="A815" s="1184"/>
      <c r="B815" s="147" t="s">
        <v>44</v>
      </c>
      <c r="C815" s="54" t="s">
        <v>2828</v>
      </c>
      <c r="D815" s="9" t="s">
        <v>32</v>
      </c>
      <c r="E815" s="9"/>
      <c r="F815" s="9"/>
      <c r="G815" s="9"/>
      <c r="H815" s="9" t="s">
        <v>33</v>
      </c>
      <c r="I815" s="5" t="s">
        <v>34</v>
      </c>
      <c r="J815" s="16" t="s">
        <v>3447</v>
      </c>
      <c r="K815" s="16"/>
      <c r="L815" s="16"/>
      <c r="M815" s="49">
        <v>43770</v>
      </c>
      <c r="N815" s="49"/>
      <c r="O815" s="49">
        <v>44080</v>
      </c>
      <c r="P815" s="2763">
        <v>36</v>
      </c>
      <c r="Q815" s="49" t="s">
        <v>3287</v>
      </c>
      <c r="R815" s="18">
        <v>76552</v>
      </c>
      <c r="S815" s="49" t="s">
        <v>130</v>
      </c>
      <c r="T815" s="171" t="s">
        <v>62</v>
      </c>
      <c r="U815" s="51" t="s">
        <v>67</v>
      </c>
      <c r="V815" s="51"/>
      <c r="W815" s="9" t="s">
        <v>2185</v>
      </c>
      <c r="X815" s="5" t="s">
        <v>39</v>
      </c>
      <c r="Y815" s="5" t="s">
        <v>115</v>
      </c>
      <c r="Z815" s="5"/>
      <c r="AA815" s="43"/>
      <c r="AB815" s="183">
        <v>43979</v>
      </c>
      <c r="AC815" s="6" t="s">
        <v>3448</v>
      </c>
      <c r="AD815" s="76" t="s">
        <v>3164</v>
      </c>
      <c r="AE815" s="185" t="s">
        <v>3129</v>
      </c>
      <c r="AF815" s="1"/>
    </row>
    <row r="816" spans="1:32" s="1" customFormat="1" ht="62.5">
      <c r="A816" s="1119"/>
      <c r="B816" s="958" t="s">
        <v>56</v>
      </c>
      <c r="C816" s="511" t="s">
        <v>60</v>
      </c>
      <c r="D816" s="611" t="s">
        <v>57</v>
      </c>
      <c r="E816" s="611"/>
      <c r="F816" s="611"/>
      <c r="G816" s="611"/>
      <c r="H816" s="511" t="s">
        <v>58</v>
      </c>
      <c r="I816" s="519" t="s">
        <v>47</v>
      </c>
      <c r="J816" s="1578" t="s">
        <v>3449</v>
      </c>
      <c r="K816" s="512"/>
      <c r="L816" s="515">
        <v>44025</v>
      </c>
      <c r="M816" s="515"/>
      <c r="N816" s="515"/>
      <c r="O816" s="515">
        <v>44080</v>
      </c>
      <c r="P816" s="516" t="s">
        <v>60</v>
      </c>
      <c r="Q816" s="516" t="s">
        <v>60</v>
      </c>
      <c r="R816" s="599">
        <v>137015.24079151999</v>
      </c>
      <c r="S816" s="515" t="s">
        <v>1189</v>
      </c>
      <c r="T816" s="1055" t="s">
        <v>62</v>
      </c>
      <c r="U816" s="511" t="s">
        <v>60</v>
      </c>
      <c r="V816" s="511"/>
      <c r="W816" s="531" t="s">
        <v>3450</v>
      </c>
      <c r="X816" s="120"/>
      <c r="Y816" s="120"/>
      <c r="Z816" s="120"/>
      <c r="AA816" s="120"/>
      <c r="AB816" s="120"/>
      <c r="AC816" s="120"/>
      <c r="AD816"/>
      <c r="AE816" s="186"/>
      <c r="AF816" s="3"/>
    </row>
    <row r="817" spans="1:32" s="1" customFormat="1" ht="62.5">
      <c r="A817" s="1119"/>
      <c r="B817" s="958" t="s">
        <v>56</v>
      </c>
      <c r="C817" s="511" t="s">
        <v>60</v>
      </c>
      <c r="D817" s="611" t="s">
        <v>57</v>
      </c>
      <c r="E817" s="611"/>
      <c r="F817" s="611"/>
      <c r="G817" s="611"/>
      <c r="H817" s="511" t="s">
        <v>58</v>
      </c>
      <c r="I817" s="519" t="s">
        <v>47</v>
      </c>
      <c r="J817" s="1578" t="s">
        <v>3451</v>
      </c>
      <c r="K817" s="512"/>
      <c r="L817" s="512"/>
      <c r="M817" s="511">
        <v>3</v>
      </c>
      <c r="N817" s="514" t="str">
        <f>IFERROR(EDATE(#REF!,-3),"Invalid procurement method or date entered")</f>
        <v>Invalid procurement method or date entered</v>
      </c>
      <c r="O817" s="515">
        <v>44080</v>
      </c>
      <c r="P817" s="516" t="s">
        <v>60</v>
      </c>
      <c r="Q817" s="1009" t="s">
        <v>60</v>
      </c>
      <c r="R817" s="528">
        <v>153299.04</v>
      </c>
      <c r="S817" s="1044" t="s">
        <v>61</v>
      </c>
      <c r="T817" s="1055" t="s">
        <v>62</v>
      </c>
      <c r="U817" s="511" t="s">
        <v>60</v>
      </c>
      <c r="V817" s="511"/>
      <c r="W817" s="531" t="s">
        <v>3452</v>
      </c>
      <c r="X817" s="120"/>
      <c r="Y817" s="120"/>
      <c r="Z817" s="120"/>
      <c r="AA817" s="120"/>
      <c r="AB817" s="120"/>
      <c r="AC817" s="120"/>
      <c r="AD817"/>
      <c r="AE817" s="186"/>
    </row>
    <row r="818" spans="1:32" s="299" customFormat="1" ht="87">
      <c r="A818" s="1184"/>
      <c r="B818" s="60"/>
      <c r="C818" s="4" t="s">
        <v>3453</v>
      </c>
      <c r="D818" s="32" t="s">
        <v>57</v>
      </c>
      <c r="E818" s="32"/>
      <c r="F818" s="32"/>
      <c r="G818" s="32"/>
      <c r="H818" s="5" t="s">
        <v>165</v>
      </c>
      <c r="I818" s="5" t="s">
        <v>47</v>
      </c>
      <c r="J818" s="16" t="s">
        <v>3454</v>
      </c>
      <c r="K818" s="16"/>
      <c r="L818" s="16"/>
      <c r="M818" s="182">
        <v>43647</v>
      </c>
      <c r="N818" s="182"/>
      <c r="O818" s="182">
        <v>44081</v>
      </c>
      <c r="P818" s="5">
        <v>60</v>
      </c>
      <c r="Q818" s="26" t="s">
        <v>171</v>
      </c>
      <c r="R818" s="18">
        <v>198500</v>
      </c>
      <c r="S818" s="5" t="s">
        <v>91</v>
      </c>
      <c r="T818" s="168" t="s">
        <v>62</v>
      </c>
      <c r="U818" s="47" t="s">
        <v>67</v>
      </c>
      <c r="V818" s="47"/>
      <c r="W818" s="5" t="s">
        <v>3455</v>
      </c>
      <c r="X818" s="5" t="s">
        <v>543</v>
      </c>
      <c r="Y818" s="5" t="s">
        <v>40</v>
      </c>
      <c r="Z818" s="5"/>
      <c r="AA818" s="26"/>
      <c r="AB818" s="45" t="s">
        <v>3016</v>
      </c>
      <c r="AC818" s="8" t="s">
        <v>2678</v>
      </c>
      <c r="AD818" s="76" t="s">
        <v>3256</v>
      </c>
      <c r="AE818" s="223" t="s">
        <v>3456</v>
      </c>
      <c r="AF818"/>
    </row>
    <row r="819" spans="1:32" s="296" customFormat="1" ht="101.5">
      <c r="A819" s="1184"/>
      <c r="B819" s="60"/>
      <c r="C819" s="4" t="s">
        <v>3457</v>
      </c>
      <c r="D819" s="32" t="s">
        <v>57</v>
      </c>
      <c r="E819" s="32"/>
      <c r="F819" s="32"/>
      <c r="G819" s="32"/>
      <c r="H819" s="2751" t="s">
        <v>165</v>
      </c>
      <c r="I819" s="2763" t="s">
        <v>34</v>
      </c>
      <c r="J819" s="16" t="s">
        <v>3458</v>
      </c>
      <c r="K819" s="8"/>
      <c r="L819" s="8"/>
      <c r="M819" s="14">
        <v>43800</v>
      </c>
      <c r="N819" s="14"/>
      <c r="O819" s="14">
        <v>44081</v>
      </c>
      <c r="P819" s="12">
        <v>60</v>
      </c>
      <c r="Q819" s="27" t="s">
        <v>2902</v>
      </c>
      <c r="R819" s="41">
        <v>15032498.4</v>
      </c>
      <c r="S819" s="2797" t="s">
        <v>130</v>
      </c>
      <c r="T819" s="2891" t="s">
        <v>70</v>
      </c>
      <c r="U819" s="2892" t="s">
        <v>45</v>
      </c>
      <c r="V819" s="2892"/>
      <c r="W819" s="2763" t="s">
        <v>167</v>
      </c>
      <c r="X819" s="2751" t="s">
        <v>543</v>
      </c>
      <c r="Y819" s="5" t="s">
        <v>40</v>
      </c>
      <c r="Z819" s="5"/>
      <c r="AA819" s="2763"/>
      <c r="AB819" s="199" t="s">
        <v>3016</v>
      </c>
      <c r="AC819" s="55" t="s">
        <v>3459</v>
      </c>
      <c r="AD819" s="76" t="s">
        <v>165</v>
      </c>
      <c r="AE819" s="253">
        <v>2505416.4</v>
      </c>
      <c r="AF819"/>
    </row>
    <row r="820" spans="1:32" s="1" customFormat="1" ht="58">
      <c r="A820" s="1119"/>
      <c r="B820" s="60"/>
      <c r="C820" s="4" t="s">
        <v>3460</v>
      </c>
      <c r="D820" s="32" t="s">
        <v>57</v>
      </c>
      <c r="E820" s="32"/>
      <c r="F820" s="32"/>
      <c r="G820" s="32"/>
      <c r="H820" s="5" t="s">
        <v>46</v>
      </c>
      <c r="I820" s="5" t="s">
        <v>47</v>
      </c>
      <c r="J820" s="16" t="s">
        <v>3461</v>
      </c>
      <c r="K820" s="8"/>
      <c r="L820" s="8"/>
      <c r="M820" s="199">
        <v>43831</v>
      </c>
      <c r="N820" s="199"/>
      <c r="O820" s="199">
        <v>44095</v>
      </c>
      <c r="P820" s="5">
        <v>4</v>
      </c>
      <c r="Q820" s="5">
        <v>4</v>
      </c>
      <c r="R820" s="19">
        <v>25200</v>
      </c>
      <c r="S820" s="5" t="s">
        <v>51</v>
      </c>
      <c r="T820" s="26" t="s">
        <v>38</v>
      </c>
      <c r="U820" s="12" t="s">
        <v>67</v>
      </c>
      <c r="V820" s="12"/>
      <c r="W820" s="5" t="s">
        <v>3462</v>
      </c>
      <c r="X820" s="5" t="s">
        <v>543</v>
      </c>
      <c r="Y820" s="5" t="s">
        <v>40</v>
      </c>
      <c r="Z820" s="5"/>
      <c r="AA820" s="5"/>
      <c r="AB820" s="199" t="s">
        <v>3016</v>
      </c>
      <c r="AC820" s="8" t="s">
        <v>3463</v>
      </c>
      <c r="AD820" s="76" t="s">
        <v>46</v>
      </c>
      <c r="AE820" s="164" t="s">
        <v>3464</v>
      </c>
    </row>
    <row r="821" spans="1:32" s="1" customFormat="1" ht="155">
      <c r="A821" s="1191"/>
      <c r="B821" s="464" t="s">
        <v>100</v>
      </c>
      <c r="C821" s="362"/>
      <c r="D821" s="118" t="s">
        <v>110</v>
      </c>
      <c r="E821" s="118"/>
      <c r="F821" s="118"/>
      <c r="G821" s="118"/>
      <c r="H821" s="8" t="s">
        <v>103</v>
      </c>
      <c r="I821" s="8" t="s">
        <v>34</v>
      </c>
      <c r="J821" s="16" t="s">
        <v>3465</v>
      </c>
      <c r="K821" s="8"/>
      <c r="L821" s="8"/>
      <c r="M821" s="367">
        <v>43831</v>
      </c>
      <c r="N821" s="8"/>
      <c r="O821" s="367">
        <v>44099</v>
      </c>
      <c r="P821" s="46">
        <v>36</v>
      </c>
      <c r="Q821" s="238">
        <v>3</v>
      </c>
      <c r="R821" s="159">
        <v>150000</v>
      </c>
      <c r="S821" s="387" t="s">
        <v>105</v>
      </c>
      <c r="T821" s="390" t="s">
        <v>38</v>
      </c>
      <c r="U821" s="365" t="s">
        <v>71</v>
      </c>
      <c r="V821" s="365"/>
      <c r="W821" s="8" t="s">
        <v>566</v>
      </c>
      <c r="X821" s="8" t="s">
        <v>413</v>
      </c>
      <c r="Y821" s="8" t="s">
        <v>727</v>
      </c>
      <c r="Z821" s="8"/>
      <c r="AA821" s="160"/>
      <c r="AB821" s="177">
        <v>44131</v>
      </c>
      <c r="AC821" s="428" t="s">
        <v>3466</v>
      </c>
      <c r="AD821" s="429"/>
      <c r="AE821" s="501"/>
    </row>
    <row r="822" spans="1:32" s="35" customFormat="1" ht="57.65" customHeight="1">
      <c r="A822" s="1185"/>
      <c r="B822" s="336"/>
      <c r="C822" s="4" t="s">
        <v>2842</v>
      </c>
      <c r="D822" s="9" t="s">
        <v>32</v>
      </c>
      <c r="E822" s="9"/>
      <c r="F822" s="9"/>
      <c r="G822" s="9"/>
      <c r="H822" s="5" t="s">
        <v>33</v>
      </c>
      <c r="I822" s="5" t="s">
        <v>34</v>
      </c>
      <c r="J822" s="16" t="s">
        <v>2209</v>
      </c>
      <c r="K822" s="16"/>
      <c r="L822" s="16"/>
      <c r="M822" s="182">
        <v>43718</v>
      </c>
      <c r="N822" s="182"/>
      <c r="O822" s="182">
        <v>44100</v>
      </c>
      <c r="P822" s="12">
        <v>36</v>
      </c>
      <c r="Q822" s="7" t="s">
        <v>3467</v>
      </c>
      <c r="R822" s="18">
        <v>993867</v>
      </c>
      <c r="S822" s="5" t="s">
        <v>130</v>
      </c>
      <c r="T822" s="171" t="s">
        <v>70</v>
      </c>
      <c r="U822" s="51" t="s">
        <v>45</v>
      </c>
      <c r="V822" s="51"/>
      <c r="W822" s="5" t="s">
        <v>2211</v>
      </c>
      <c r="X822" s="5" t="s">
        <v>39</v>
      </c>
      <c r="Y822" s="5" t="s">
        <v>40</v>
      </c>
      <c r="Z822" s="5"/>
      <c r="AA822" s="5"/>
      <c r="AB822" s="199" t="s">
        <v>3016</v>
      </c>
      <c r="AC822" s="33" t="s">
        <v>3468</v>
      </c>
      <c r="AD822" s="76" t="s">
        <v>43</v>
      </c>
      <c r="AE822" s="224">
        <v>331289</v>
      </c>
      <c r="AF822" s="1"/>
    </row>
    <row r="823" spans="1:32" s="35" customFormat="1" ht="101.15" customHeight="1">
      <c r="A823" s="1185"/>
      <c r="B823" s="147"/>
      <c r="C823" s="2755" t="s">
        <v>3469</v>
      </c>
      <c r="D823" s="2755" t="s">
        <v>32</v>
      </c>
      <c r="E823" s="2755"/>
      <c r="F823" s="2755"/>
      <c r="G823" s="2755"/>
      <c r="H823" s="2755" t="s">
        <v>1670</v>
      </c>
      <c r="I823" s="2763" t="s">
        <v>47</v>
      </c>
      <c r="J823" s="2755" t="s">
        <v>3470</v>
      </c>
      <c r="K823" s="2755"/>
      <c r="L823" s="2755"/>
      <c r="M823" s="2764">
        <v>44068</v>
      </c>
      <c r="N823" s="2764"/>
      <c r="O823" s="2764">
        <v>44102</v>
      </c>
      <c r="P823" s="2763">
        <v>36</v>
      </c>
      <c r="Q823" s="2763" t="s">
        <v>1538</v>
      </c>
      <c r="R823" s="2826">
        <v>25000</v>
      </c>
      <c r="S823" s="2751" t="s">
        <v>3423</v>
      </c>
      <c r="T823" s="2837" t="s">
        <v>38</v>
      </c>
      <c r="U823" s="2763" t="s">
        <v>67</v>
      </c>
      <c r="V823" s="2763"/>
      <c r="W823" s="2763" t="s">
        <v>617</v>
      </c>
      <c r="X823" s="2763" t="s">
        <v>254</v>
      </c>
      <c r="Y823" s="2763" t="s">
        <v>40</v>
      </c>
      <c r="Z823" s="2763"/>
      <c r="AA823" s="2763"/>
      <c r="AB823" s="199" t="s">
        <v>3016</v>
      </c>
      <c r="AC823" s="2875" t="s">
        <v>3424</v>
      </c>
      <c r="AD823" s="2765" t="s">
        <v>860</v>
      </c>
      <c r="AE823" s="2837"/>
      <c r="AF823" s="1"/>
    </row>
    <row r="824" spans="1:32" s="1" customFormat="1" ht="50">
      <c r="A824" s="1119"/>
      <c r="B824" s="958" t="s">
        <v>56</v>
      </c>
      <c r="C824" s="511" t="s">
        <v>3471</v>
      </c>
      <c r="D824" s="611" t="s">
        <v>57</v>
      </c>
      <c r="E824" s="611"/>
      <c r="F824" s="611"/>
      <c r="G824" s="611"/>
      <c r="H824" s="511" t="s">
        <v>58</v>
      </c>
      <c r="I824" s="519" t="s">
        <v>47</v>
      </c>
      <c r="J824" s="606" t="s">
        <v>3472</v>
      </c>
      <c r="K824" s="529"/>
      <c r="L824" s="515">
        <v>44029</v>
      </c>
      <c r="M824" s="515"/>
      <c r="N824" s="515"/>
      <c r="O824" s="515">
        <v>44102</v>
      </c>
      <c r="P824" s="516">
        <v>2</v>
      </c>
      <c r="Q824" s="516">
        <v>2</v>
      </c>
      <c r="R824" s="528">
        <v>184711.136</v>
      </c>
      <c r="S824" s="515" t="s">
        <v>1189</v>
      </c>
      <c r="T824" s="1055" t="s">
        <v>62</v>
      </c>
      <c r="U824" s="511" t="s">
        <v>60</v>
      </c>
      <c r="V824" s="511"/>
      <c r="W824" s="531" t="s">
        <v>3382</v>
      </c>
      <c r="X824" s="120"/>
      <c r="Y824" s="120"/>
      <c r="Z824" s="120"/>
      <c r="AA824" s="186"/>
      <c r="AB824" s="186"/>
      <c r="AC824" s="120"/>
      <c r="AD824"/>
      <c r="AE824" s="186"/>
    </row>
    <row r="825" spans="1:32" s="1" customFormat="1" ht="43.4" customHeight="1">
      <c r="A825" s="1184"/>
      <c r="B825" s="60"/>
      <c r="C825" s="4" t="s">
        <v>45</v>
      </c>
      <c r="D825" s="32" t="s">
        <v>32</v>
      </c>
      <c r="E825" s="32"/>
      <c r="F825" s="32"/>
      <c r="G825" s="32"/>
      <c r="H825" s="5" t="s">
        <v>33</v>
      </c>
      <c r="I825" s="5" t="s">
        <v>47</v>
      </c>
      <c r="J825" s="16" t="s">
        <v>1771</v>
      </c>
      <c r="K825" s="16"/>
      <c r="L825" s="5" t="e">
        <f>IF(OR(S825=#REF!,S825=#REF!,S825=#REF!,S825=#REF!,S825=#REF!,S825=#REF!,S825=#REF!,S825=#REF!),12,IF(OR(S825=#REF!,S825=#REF!,S825=#REF!,S825=#REF!,S825=#REF!,S825=#REF!,S825=#REF!),3,IF(S825=#REF!,1,IF(S825=#REF!,18,IF(OR(S825=#REF!,S825=#REF!,S825=#REF!,S825=#REF!,S825=#REF!),14,"Invalid proposed procurement method")))))</f>
        <v>#REF!</v>
      </c>
      <c r="M825" s="199" t="str">
        <f>IFERROR(EDATE($N825,-3),"Invalid procurement method or date entered")</f>
        <v>Invalid procurement method or date entered</v>
      </c>
      <c r="N825" s="199" t="str">
        <f>IFERROR(EDATE(O825,-L825),"Invalid procurement method or date entered")</f>
        <v>Invalid procurement method or date entered</v>
      </c>
      <c r="O825" s="182">
        <v>44105</v>
      </c>
      <c r="P825" s="12">
        <v>12</v>
      </c>
      <c r="Q825" s="13" t="s">
        <v>50</v>
      </c>
      <c r="R825" s="41">
        <v>1600</v>
      </c>
      <c r="S825" s="5" t="s">
        <v>45</v>
      </c>
      <c r="T825" s="26" t="s">
        <v>38</v>
      </c>
      <c r="U825" s="49" t="s">
        <v>67</v>
      </c>
      <c r="V825" s="49"/>
      <c r="W825" s="5" t="s">
        <v>2635</v>
      </c>
      <c r="X825" s="5" t="s">
        <v>289</v>
      </c>
      <c r="Y825" s="5" t="s">
        <v>115</v>
      </c>
      <c r="Z825" s="5"/>
      <c r="AA825" s="26" t="s">
        <v>38</v>
      </c>
      <c r="AB825" s="45" t="s">
        <v>132</v>
      </c>
      <c r="AC825" s="8" t="s">
        <v>3473</v>
      </c>
      <c r="AD825" s="76" t="s">
        <v>96</v>
      </c>
      <c r="AE825" s="224"/>
    </row>
    <row r="826" spans="1:32" s="35" customFormat="1" ht="72.5">
      <c r="A826" s="1185"/>
      <c r="B826" s="60"/>
      <c r="C826" s="4" t="s">
        <v>45</v>
      </c>
      <c r="D826" s="32" t="s">
        <v>32</v>
      </c>
      <c r="E826" s="32"/>
      <c r="F826" s="32"/>
      <c r="G826" s="32"/>
      <c r="H826" s="2751" t="s">
        <v>33</v>
      </c>
      <c r="I826" s="2763" t="s">
        <v>34</v>
      </c>
      <c r="J826" s="2752" t="s">
        <v>2284</v>
      </c>
      <c r="K826" s="2752"/>
      <c r="L826" s="5" t="e">
        <f>IF(OR(S826=#REF!,S826=#REF!,S826=#REF!,S826=#REF!,S826=#REF!,S826=#REF!,S826=#REF!,S826=#REF!),12,IF(OR(S826=#REF!,S826=#REF!,S826=#REF!,S826=#REF!,S826=#REF!,S826=#REF!,S826=#REF!),3,IF(S826=#REF!,1,IF(S826=#REF!,18,IF(OR(S826=#REF!,S826=#REF!,S826=#REF!,S826=#REF!,S826=#REF!),14,"Invalid proposed procurement method")))))</f>
        <v>#REF!</v>
      </c>
      <c r="M826" s="199" t="str">
        <f>IFERROR(EDATE($N826,-3),"Invalid procurement method or date entered")</f>
        <v>Invalid procurement method or date entered</v>
      </c>
      <c r="N826" s="199" t="str">
        <f>IFERROR(EDATE(O826,-L826),"Invalid procurement method or date entered")</f>
        <v>Invalid procurement method or date entered</v>
      </c>
      <c r="O826" s="146">
        <v>44105</v>
      </c>
      <c r="P826" s="2763">
        <v>60</v>
      </c>
      <c r="Q826" s="2751" t="s">
        <v>3474</v>
      </c>
      <c r="R826" s="41">
        <v>7500</v>
      </c>
      <c r="S826" s="5" t="s">
        <v>130</v>
      </c>
      <c r="T826" s="2753" t="s">
        <v>38</v>
      </c>
      <c r="U826" s="217" t="s">
        <v>67</v>
      </c>
      <c r="V826" s="217"/>
      <c r="W826" s="2763" t="s">
        <v>2285</v>
      </c>
      <c r="X826" s="5" t="s">
        <v>289</v>
      </c>
      <c r="Y826" s="5" t="s">
        <v>115</v>
      </c>
      <c r="Z826" s="5"/>
      <c r="AA826" s="2763" t="s">
        <v>38</v>
      </c>
      <c r="AB826" s="199" t="s">
        <v>132</v>
      </c>
      <c r="AC826" s="33" t="s">
        <v>3475</v>
      </c>
      <c r="AD826" s="80" t="s">
        <v>145</v>
      </c>
      <c r="AE826" s="2867"/>
      <c r="AF826" s="1"/>
    </row>
    <row r="827" spans="1:32" s="1" customFormat="1" ht="43.5">
      <c r="A827" s="1119"/>
      <c r="B827" s="60"/>
      <c r="C827" s="4" t="s">
        <v>619</v>
      </c>
      <c r="D827" s="31" t="s">
        <v>32</v>
      </c>
      <c r="E827" s="31"/>
      <c r="F827" s="31"/>
      <c r="G827" s="31"/>
      <c r="H827" s="46" t="s">
        <v>33</v>
      </c>
      <c r="I827" s="46" t="s">
        <v>34</v>
      </c>
      <c r="J827" s="69" t="s">
        <v>2899</v>
      </c>
      <c r="K827" s="69"/>
      <c r="L827" s="69"/>
      <c r="M827" s="199">
        <v>43922</v>
      </c>
      <c r="N827" s="199"/>
      <c r="O827" s="182">
        <v>44105</v>
      </c>
      <c r="P827" s="46">
        <v>24</v>
      </c>
      <c r="Q827" s="46" t="s">
        <v>36</v>
      </c>
      <c r="R827" s="18">
        <v>4500</v>
      </c>
      <c r="S827" s="208" t="s">
        <v>130</v>
      </c>
      <c r="T827" s="70" t="s">
        <v>38</v>
      </c>
      <c r="U827" s="71" t="s">
        <v>67</v>
      </c>
      <c r="V827" s="71"/>
      <c r="W827" s="46" t="s">
        <v>287</v>
      </c>
      <c r="X827" s="5" t="s">
        <v>39</v>
      </c>
      <c r="Y827" s="5" t="s">
        <v>115</v>
      </c>
      <c r="Z827" s="5"/>
      <c r="AA827" s="69"/>
      <c r="AB827" s="199" t="s">
        <v>3016</v>
      </c>
      <c r="AC827" s="57" t="s">
        <v>3476</v>
      </c>
      <c r="AD827" s="76" t="s">
        <v>43</v>
      </c>
      <c r="AE827" s="238"/>
    </row>
    <row r="828" spans="1:32" s="1" customFormat="1" ht="43.5">
      <c r="A828" s="1185"/>
      <c r="B828" s="60"/>
      <c r="C828" s="4" t="s">
        <v>619</v>
      </c>
      <c r="D828" s="31" t="s">
        <v>32</v>
      </c>
      <c r="E828" s="31"/>
      <c r="F828" s="31"/>
      <c r="G828" s="31"/>
      <c r="H828" s="2751" t="s">
        <v>33</v>
      </c>
      <c r="I828" s="2751" t="s">
        <v>34</v>
      </c>
      <c r="J828" s="2752" t="s">
        <v>620</v>
      </c>
      <c r="K828" s="2752"/>
      <c r="L828" s="2752"/>
      <c r="M828" s="199">
        <v>43922</v>
      </c>
      <c r="N828" s="199"/>
      <c r="O828" s="182">
        <v>44105</v>
      </c>
      <c r="P828" s="2751">
        <v>24</v>
      </c>
      <c r="Q828" s="2753" t="s">
        <v>36</v>
      </c>
      <c r="R828" s="18">
        <v>13000</v>
      </c>
      <c r="S828" s="2797" t="s">
        <v>130</v>
      </c>
      <c r="T828" s="2753" t="s">
        <v>38</v>
      </c>
      <c r="U828" s="2763" t="s">
        <v>67</v>
      </c>
      <c r="V828" s="2763"/>
      <c r="W828" s="2751" t="s">
        <v>287</v>
      </c>
      <c r="X828" s="5" t="s">
        <v>39</v>
      </c>
      <c r="Y828" s="5" t="s">
        <v>115</v>
      </c>
      <c r="Z828" s="5"/>
      <c r="AA828" s="2752"/>
      <c r="AB828" s="199" t="s">
        <v>3016</v>
      </c>
      <c r="AC828" s="2758" t="s">
        <v>3476</v>
      </c>
      <c r="AD828" s="76" t="s">
        <v>43</v>
      </c>
      <c r="AE828" s="2876"/>
    </row>
    <row r="829" spans="1:32" s="1" customFormat="1" ht="72" customHeight="1">
      <c r="A829" s="1185"/>
      <c r="B829" s="60"/>
      <c r="C829" s="2755" t="s">
        <v>3477</v>
      </c>
      <c r="D829" s="2838" t="s">
        <v>32</v>
      </c>
      <c r="E829" s="2838"/>
      <c r="F829" s="2838"/>
      <c r="G829" s="2838"/>
      <c r="H829" s="2763" t="s">
        <v>1670</v>
      </c>
      <c r="I829" s="2763" t="s">
        <v>47</v>
      </c>
      <c r="J829" s="2755" t="s">
        <v>3478</v>
      </c>
      <c r="K829" s="2755"/>
      <c r="L829" s="5" t="e">
        <f>IF(OR(S829=#REF!,S829=#REF!,S829=#REF!,S829=#REF!,S829=#REF!,S829=#REF!,S829=#REF!,S829=#REF!),12,IF(OR(S829=#REF!,S829=#REF!,S829=#REF!,S829=#REF!,S829=#REF!,S829=#REF!,S829=#REF!),3,IF(S829=#REF!,1,IF(S829=#REF!,18,IF(OR(S829=#REF!,S829=#REF!,S829=#REF!,S829=#REF!,S829=#REF!),14,"Invalid proposed procurement method")))))</f>
        <v>#REF!</v>
      </c>
      <c r="M829" s="199" t="str">
        <f>IFERROR(EDATE($N829,-3),"Invalid procurement method or date entered")</f>
        <v>Invalid procurement method or date entered</v>
      </c>
      <c r="N829" s="199" t="str">
        <f>IFERROR(EDATE(O829,-L829),"Invalid procurement method or date entered")</f>
        <v>Invalid procurement method or date entered</v>
      </c>
      <c r="O829" s="2764">
        <v>44105</v>
      </c>
      <c r="P829" s="2763">
        <v>36</v>
      </c>
      <c r="Q829" s="2763">
        <v>36</v>
      </c>
      <c r="R829" s="2826">
        <v>92000</v>
      </c>
      <c r="S829" s="2751" t="s">
        <v>51</v>
      </c>
      <c r="T829" s="2837" t="s">
        <v>38</v>
      </c>
      <c r="U829" s="2763" t="s">
        <v>67</v>
      </c>
      <c r="V829" s="2763"/>
      <c r="W829" s="2763" t="s">
        <v>617</v>
      </c>
      <c r="X829" s="2763" t="s">
        <v>254</v>
      </c>
      <c r="Y829" s="2763" t="s">
        <v>40</v>
      </c>
      <c r="Z829" s="2763"/>
      <c r="AA829" s="2763" t="s">
        <v>70</v>
      </c>
      <c r="AB829" s="199" t="s">
        <v>132</v>
      </c>
      <c r="AC829" s="2875" t="s">
        <v>3047</v>
      </c>
      <c r="AD829" s="2765" t="s">
        <v>860</v>
      </c>
      <c r="AE829" s="2837"/>
    </row>
    <row r="830" spans="1:32" s="1" customFormat="1" ht="29.15" customHeight="1">
      <c r="A830" s="1119"/>
      <c r="B830" s="147"/>
      <c r="C830" s="2755" t="s">
        <v>3479</v>
      </c>
      <c r="D830" s="2784" t="s">
        <v>32</v>
      </c>
      <c r="E830" s="2784"/>
      <c r="F830" s="2784"/>
      <c r="G830" s="2784"/>
      <c r="H830" s="2755" t="s">
        <v>1670</v>
      </c>
      <c r="I830" s="2763" t="s">
        <v>47</v>
      </c>
      <c r="J830" s="2755" t="s">
        <v>3480</v>
      </c>
      <c r="K830" s="2755"/>
      <c r="L830" s="2755"/>
      <c r="M830" s="2764">
        <v>43983</v>
      </c>
      <c r="N830" s="2764"/>
      <c r="O830" s="2764">
        <v>44105</v>
      </c>
      <c r="P830" s="2763">
        <v>48</v>
      </c>
      <c r="Q830" s="2837" t="s">
        <v>2708</v>
      </c>
      <c r="R830" s="2826">
        <v>156000</v>
      </c>
      <c r="S830" s="2797" t="s">
        <v>3423</v>
      </c>
      <c r="T830" s="2837" t="s">
        <v>38</v>
      </c>
      <c r="U830" s="2763" t="s">
        <v>67</v>
      </c>
      <c r="V830" s="2763"/>
      <c r="W830" s="2763" t="s">
        <v>617</v>
      </c>
      <c r="X830" s="2763" t="s">
        <v>254</v>
      </c>
      <c r="Y830" s="2763" t="s">
        <v>40</v>
      </c>
      <c r="Z830" s="2763"/>
      <c r="AA830" s="2763"/>
      <c r="AB830" s="199" t="s">
        <v>3016</v>
      </c>
      <c r="AC830" s="2875" t="s">
        <v>3424</v>
      </c>
      <c r="AD830" s="2765" t="s">
        <v>860</v>
      </c>
      <c r="AE830" s="2837"/>
      <c r="AF830"/>
    </row>
    <row r="831" spans="1:32" s="1" customFormat="1" ht="29.15" customHeight="1">
      <c r="A831" s="1184"/>
      <c r="B831" s="336"/>
      <c r="C831" s="5" t="s">
        <v>71</v>
      </c>
      <c r="D831" s="31" t="s">
        <v>32</v>
      </c>
      <c r="E831" s="31"/>
      <c r="F831" s="31"/>
      <c r="G831" s="31"/>
      <c r="H831" s="5" t="s">
        <v>304</v>
      </c>
      <c r="I831" s="199" t="s">
        <v>47</v>
      </c>
      <c r="J831" s="124" t="s">
        <v>3481</v>
      </c>
      <c r="K831" s="199"/>
      <c r="L831" s="5">
        <v>12</v>
      </c>
      <c r="M831" s="199">
        <v>44105</v>
      </c>
      <c r="N831" s="5">
        <v>36</v>
      </c>
      <c r="O831" s="41">
        <v>44105</v>
      </c>
      <c r="P831" s="5" t="s">
        <v>3482</v>
      </c>
      <c r="Q831" s="171" t="s">
        <v>62</v>
      </c>
      <c r="R831" s="51" t="s">
        <v>67</v>
      </c>
      <c r="S831" s="118" t="s">
        <v>3483</v>
      </c>
      <c r="T831" s="26" t="s">
        <v>3484</v>
      </c>
      <c r="U831" s="5" t="s">
        <v>38</v>
      </c>
      <c r="V831" s="5"/>
      <c r="W831" s="5" t="s">
        <v>808</v>
      </c>
      <c r="X831" s="5" t="s">
        <v>254</v>
      </c>
      <c r="Y831" s="199">
        <v>44306</v>
      </c>
      <c r="Z831" s="8"/>
      <c r="AA831" s="12"/>
      <c r="AB831" s="199" t="s">
        <v>271</v>
      </c>
      <c r="AC831" s="304" t="s">
        <v>3485</v>
      </c>
      <c r="AD831" s="522" t="s">
        <v>46</v>
      </c>
      <c r="AE831" s="1134"/>
    </row>
    <row r="832" spans="1:32" s="1" customFormat="1" ht="29">
      <c r="A832" s="498"/>
      <c r="B832" s="464" t="s">
        <v>100</v>
      </c>
      <c r="C832" s="443"/>
      <c r="D832" s="977" t="s">
        <v>110</v>
      </c>
      <c r="E832" s="977"/>
      <c r="F832" s="977"/>
      <c r="G832" s="977"/>
      <c r="H832" s="444" t="s">
        <v>103</v>
      </c>
      <c r="I832" s="444" t="s">
        <v>47</v>
      </c>
      <c r="J832" s="1587" t="s">
        <v>2882</v>
      </c>
      <c r="K832" s="444"/>
      <c r="L832" s="444"/>
      <c r="M832" s="379">
        <v>42826</v>
      </c>
      <c r="N832" s="444"/>
      <c r="O832" s="379">
        <v>44105</v>
      </c>
      <c r="P832" s="380"/>
      <c r="Q832" s="1800">
        <v>12</v>
      </c>
      <c r="R832" s="445">
        <v>640000</v>
      </c>
      <c r="S832" s="1840" t="s">
        <v>84</v>
      </c>
      <c r="T832" s="335" t="s">
        <v>70</v>
      </c>
      <c r="U832" s="192">
        <v>43563</v>
      </c>
      <c r="V832" s="192"/>
      <c r="W832" s="444" t="s">
        <v>2883</v>
      </c>
      <c r="X832" s="444" t="s">
        <v>125</v>
      </c>
      <c r="Y832" s="444" t="s">
        <v>1161</v>
      </c>
      <c r="Z832" s="444"/>
      <c r="AA832" s="446">
        <v>2020</v>
      </c>
      <c r="AB832" s="446"/>
      <c r="AC832" s="446" t="s">
        <v>70</v>
      </c>
      <c r="AD832" s="447"/>
      <c r="AE832" s="1140"/>
    </row>
    <row r="833" spans="1:32" s="1" customFormat="1" ht="130.5">
      <c r="A833" s="1184"/>
      <c r="B833" s="464" t="s">
        <v>100</v>
      </c>
      <c r="C833" s="364"/>
      <c r="D833" s="118" t="s">
        <v>110</v>
      </c>
      <c r="E833" s="118"/>
      <c r="F833" s="118"/>
      <c r="G833" s="118"/>
      <c r="H833" s="8" t="s">
        <v>103</v>
      </c>
      <c r="I833" s="8" t="s">
        <v>47</v>
      </c>
      <c r="J833" s="63" t="s">
        <v>3486</v>
      </c>
      <c r="K833" s="6"/>
      <c r="L833" s="6"/>
      <c r="M833" s="367">
        <v>43497</v>
      </c>
      <c r="N833" s="6"/>
      <c r="O833" s="367">
        <v>44105</v>
      </c>
      <c r="P833" s="368"/>
      <c r="Q833" s="384"/>
      <c r="R833" s="159">
        <v>65000</v>
      </c>
      <c r="S833" s="31" t="s">
        <v>529</v>
      </c>
      <c r="T833" s="335" t="s">
        <v>70</v>
      </c>
      <c r="U833" s="190" t="s">
        <v>45</v>
      </c>
      <c r="V833" s="190"/>
      <c r="W833" s="8" t="s">
        <v>2883</v>
      </c>
      <c r="X833" s="8" t="s">
        <v>125</v>
      </c>
      <c r="Y833" s="8" t="s">
        <v>1161</v>
      </c>
      <c r="Z833" s="8"/>
      <c r="AA833" s="364"/>
      <c r="AB833" s="177" t="s">
        <v>3487</v>
      </c>
      <c r="AC833" s="428" t="s">
        <v>3488</v>
      </c>
      <c r="AD833" s="429"/>
      <c r="AE833" s="501"/>
    </row>
    <row r="834" spans="1:32" s="1" customFormat="1" ht="216" customHeight="1">
      <c r="A834" s="2893"/>
      <c r="B834" s="464" t="s">
        <v>100</v>
      </c>
      <c r="C834" s="364"/>
      <c r="D834" s="465" t="s">
        <v>110</v>
      </c>
      <c r="E834" s="465"/>
      <c r="F834" s="465"/>
      <c r="G834" s="465"/>
      <c r="H834" s="8" t="s">
        <v>103</v>
      </c>
      <c r="I834" s="8" t="s">
        <v>47</v>
      </c>
      <c r="J834" s="63" t="s">
        <v>3489</v>
      </c>
      <c r="K834" s="6"/>
      <c r="L834" s="6"/>
      <c r="M834" s="367">
        <v>43497</v>
      </c>
      <c r="N834" s="6"/>
      <c r="O834" s="367">
        <v>44105</v>
      </c>
      <c r="P834" s="5"/>
      <c r="Q834" s="7"/>
      <c r="R834" s="159">
        <v>70240</v>
      </c>
      <c r="S834" s="31"/>
      <c r="T834" s="335" t="s">
        <v>70</v>
      </c>
      <c r="U834" s="190" t="s">
        <v>45</v>
      </c>
      <c r="V834" s="190"/>
      <c r="W834" s="8" t="s">
        <v>2883</v>
      </c>
      <c r="X834" s="8" t="s">
        <v>125</v>
      </c>
      <c r="Y834" s="8" t="s">
        <v>1161</v>
      </c>
      <c r="Z834" s="8"/>
      <c r="AA834" s="362"/>
      <c r="AB834" s="160"/>
      <c r="AC834" s="177">
        <v>44060</v>
      </c>
      <c r="AD834" s="432"/>
      <c r="AE834" s="487"/>
    </row>
    <row r="835" spans="1:32" s="1" customFormat="1" ht="43.4" customHeight="1">
      <c r="A835" s="1184"/>
      <c r="B835" s="147" t="s">
        <v>44</v>
      </c>
      <c r="C835" s="4"/>
      <c r="D835" s="32" t="s">
        <v>32</v>
      </c>
      <c r="E835" s="32"/>
      <c r="F835" s="32"/>
      <c r="G835" s="32"/>
      <c r="H835" s="9" t="s">
        <v>33</v>
      </c>
      <c r="I835" s="9" t="s">
        <v>34</v>
      </c>
      <c r="J835" s="16" t="s">
        <v>2278</v>
      </c>
      <c r="K835" s="16"/>
      <c r="L835" s="16"/>
      <c r="M835" s="49">
        <v>43647</v>
      </c>
      <c r="N835" s="49"/>
      <c r="O835" s="49">
        <v>44105</v>
      </c>
      <c r="P835" s="15">
        <v>36</v>
      </c>
      <c r="Q835" s="68" t="s">
        <v>3287</v>
      </c>
      <c r="R835" s="18">
        <v>76552</v>
      </c>
      <c r="S835" s="5" t="s">
        <v>130</v>
      </c>
      <c r="T835" s="167" t="s">
        <v>62</v>
      </c>
      <c r="U835" s="48" t="s">
        <v>67</v>
      </c>
      <c r="V835" s="48"/>
      <c r="W835" s="5" t="s">
        <v>2246</v>
      </c>
      <c r="X835" s="5" t="s">
        <v>39</v>
      </c>
      <c r="Y835" s="5" t="s">
        <v>40</v>
      </c>
      <c r="Z835" s="5"/>
      <c r="AA835" s="9"/>
      <c r="AB835" s="183">
        <v>43950</v>
      </c>
      <c r="AC835" s="6" t="s">
        <v>3490</v>
      </c>
      <c r="AD835" s="76" t="s">
        <v>3164</v>
      </c>
      <c r="AE835" s="247"/>
    </row>
    <row r="836" spans="1:32" s="1" customFormat="1" ht="43.5">
      <c r="A836" s="1184"/>
      <c r="B836" s="60"/>
      <c r="C836" s="4" t="s">
        <v>3491</v>
      </c>
      <c r="D836" s="32" t="s">
        <v>32</v>
      </c>
      <c r="E836" s="32"/>
      <c r="F836" s="32"/>
      <c r="G836" s="32"/>
      <c r="H836" s="5" t="s">
        <v>33</v>
      </c>
      <c r="I836" s="5" t="s">
        <v>47</v>
      </c>
      <c r="J836" s="16" t="s">
        <v>3492</v>
      </c>
      <c r="K836" s="16"/>
      <c r="L836" s="16"/>
      <c r="M836" s="14">
        <v>43709</v>
      </c>
      <c r="N836" s="14"/>
      <c r="O836" s="182">
        <v>44105</v>
      </c>
      <c r="P836" s="12">
        <v>36</v>
      </c>
      <c r="Q836" s="12">
        <v>36</v>
      </c>
      <c r="R836" s="18">
        <v>140000</v>
      </c>
      <c r="S836" s="5" t="s">
        <v>84</v>
      </c>
      <c r="T836" s="26" t="s">
        <v>62</v>
      </c>
      <c r="U836" s="11" t="s">
        <v>67</v>
      </c>
      <c r="V836" s="11"/>
      <c r="W836" s="5" t="s">
        <v>3493</v>
      </c>
      <c r="X836" s="2751" t="s">
        <v>94</v>
      </c>
      <c r="Y836" s="5" t="s">
        <v>40</v>
      </c>
      <c r="Z836" s="5"/>
      <c r="AA836" s="5"/>
      <c r="AB836" s="199" t="s">
        <v>3016</v>
      </c>
      <c r="AC836" s="8" t="s">
        <v>3494</v>
      </c>
      <c r="AD836" s="76" t="s">
        <v>1076</v>
      </c>
      <c r="AE836" s="224">
        <v>45000</v>
      </c>
    </row>
    <row r="837" spans="1:32" s="3" customFormat="1" ht="72.5">
      <c r="A837" s="1184"/>
      <c r="B837" s="147"/>
      <c r="C837" s="4"/>
      <c r="D837" s="32" t="s">
        <v>57</v>
      </c>
      <c r="E837" s="32"/>
      <c r="F837" s="32"/>
      <c r="G837" s="32"/>
      <c r="H837" s="5" t="s">
        <v>496</v>
      </c>
      <c r="I837" s="5" t="s">
        <v>47</v>
      </c>
      <c r="J837" s="16" t="s">
        <v>3495</v>
      </c>
      <c r="K837" s="16"/>
      <c r="L837" s="5" t="e">
        <f>IF(OR(S837=#REF!,S837=#REF!,S837=#REF!,S837=#REF!,S837=#REF!,S837=#REF!,S837=#REF!,S837=#REF!),12,IF(OR(S837=#REF!,S837=#REF!,S837=#REF!,S837=#REF!,S837=#REF!,S837=#REF!,S837=#REF!),3,IF(S837=#REF!,1,IF(S837=#REF!,18,IF(OR(S837=#REF!,S837=#REF!,S837=#REF!,S837=#REF!,S837=#REF!),14,"Invalid proposed procurement method")))))</f>
        <v>#REF!</v>
      </c>
      <c r="M837" s="199" t="str">
        <f>IFERROR(EDATE($N837,-3),"Invalid procurement method or date entered")</f>
        <v>Invalid procurement method or date entered</v>
      </c>
      <c r="N837" s="199" t="str">
        <f>IFERROR(EDATE(O837,-L837),"Invalid procurement method or date entered")</f>
        <v>Invalid procurement method or date entered</v>
      </c>
      <c r="O837" s="182">
        <v>44105</v>
      </c>
      <c r="P837" s="12">
        <v>36</v>
      </c>
      <c r="Q837" s="12">
        <v>36</v>
      </c>
      <c r="R837" s="18">
        <v>4500</v>
      </c>
      <c r="S837" s="5" t="s">
        <v>37</v>
      </c>
      <c r="T837" s="26" t="s">
        <v>38</v>
      </c>
      <c r="U837" s="12" t="s">
        <v>67</v>
      </c>
      <c r="V837" s="12"/>
      <c r="W837" s="46" t="s">
        <v>798</v>
      </c>
      <c r="X837" s="5" t="s">
        <v>94</v>
      </c>
      <c r="Y837" s="5" t="s">
        <v>727</v>
      </c>
      <c r="Z837" s="5"/>
      <c r="AA837" s="5" t="s">
        <v>70</v>
      </c>
      <c r="AB837" s="199" t="s">
        <v>41</v>
      </c>
      <c r="AC837" s="8" t="s">
        <v>3496</v>
      </c>
      <c r="AD837" s="76" t="s">
        <v>496</v>
      </c>
      <c r="AE837" s="224">
        <v>1500</v>
      </c>
      <c r="AF837" s="1"/>
    </row>
    <row r="838" spans="1:32" s="1" customFormat="1" ht="25">
      <c r="A838" s="1119"/>
      <c r="B838" s="958" t="s">
        <v>56</v>
      </c>
      <c r="C838" s="510" t="s">
        <v>60</v>
      </c>
      <c r="D838" s="611" t="s">
        <v>32</v>
      </c>
      <c r="E838" s="611"/>
      <c r="F838" s="611"/>
      <c r="G838" s="611"/>
      <c r="H838" s="511" t="s">
        <v>308</v>
      </c>
      <c r="I838" s="519" t="s">
        <v>47</v>
      </c>
      <c r="J838" s="1578" t="s">
        <v>3497</v>
      </c>
      <c r="K838" s="512"/>
      <c r="L838" s="515">
        <v>43952</v>
      </c>
      <c r="M838" s="515"/>
      <c r="N838" s="515"/>
      <c r="O838" s="515">
        <v>44105</v>
      </c>
      <c r="P838" s="516" t="s">
        <v>60</v>
      </c>
      <c r="Q838" s="516" t="s">
        <v>60</v>
      </c>
      <c r="R838" s="599">
        <v>25000</v>
      </c>
      <c r="S838" s="515" t="s">
        <v>37</v>
      </c>
      <c r="T838" s="1055" t="s">
        <v>887</v>
      </c>
      <c r="U838" s="510" t="s">
        <v>71</v>
      </c>
      <c r="V838" s="510"/>
      <c r="W838" s="510" t="s">
        <v>2572</v>
      </c>
      <c r="X838" s="120"/>
      <c r="Y838" s="120"/>
      <c r="Z838" s="120"/>
      <c r="AA838" s="120"/>
      <c r="AB838" s="120"/>
      <c r="AC838" s="120"/>
      <c r="AD838"/>
      <c r="AE838" s="186"/>
    </row>
    <row r="839" spans="1:32" s="1" customFormat="1" ht="57.65" customHeight="1">
      <c r="A839" s="1119"/>
      <c r="B839" s="958" t="s">
        <v>56</v>
      </c>
      <c r="C839" s="510" t="s">
        <v>3498</v>
      </c>
      <c r="D839" s="611" t="s">
        <v>57</v>
      </c>
      <c r="E839" s="611"/>
      <c r="F839" s="611"/>
      <c r="G839" s="611"/>
      <c r="H839" s="511" t="s">
        <v>58</v>
      </c>
      <c r="I839" s="519" t="s">
        <v>47</v>
      </c>
      <c r="J839" s="1578" t="s">
        <v>3499</v>
      </c>
      <c r="K839" s="512"/>
      <c r="L839" s="515">
        <v>43555</v>
      </c>
      <c r="M839" s="515"/>
      <c r="N839" s="515"/>
      <c r="O839" s="515">
        <v>44105</v>
      </c>
      <c r="P839" s="516">
        <v>90</v>
      </c>
      <c r="Q839" s="516" t="s">
        <v>3500</v>
      </c>
      <c r="R839" s="599">
        <v>980000</v>
      </c>
      <c r="S839" s="515" t="s">
        <v>2110</v>
      </c>
      <c r="T839" s="1055" t="s">
        <v>310</v>
      </c>
      <c r="U839" s="515" t="s">
        <v>60</v>
      </c>
      <c r="V839" s="515"/>
      <c r="W839" s="519" t="s">
        <v>3123</v>
      </c>
      <c r="X839" s="120"/>
      <c r="Y839" s="120"/>
      <c r="Z839" s="120"/>
      <c r="AA839" s="120"/>
      <c r="AB839" s="120"/>
      <c r="AC839" s="120"/>
      <c r="AD839"/>
      <c r="AE839" s="186"/>
    </row>
    <row r="840" spans="1:32" s="3" customFormat="1" ht="43.4" customHeight="1">
      <c r="A840" s="1119"/>
      <c r="B840" s="958" t="s">
        <v>56</v>
      </c>
      <c r="C840" s="511" t="s">
        <v>3501</v>
      </c>
      <c r="D840" s="611" t="s">
        <v>57</v>
      </c>
      <c r="E840" s="611"/>
      <c r="F840" s="611"/>
      <c r="G840" s="611"/>
      <c r="H840" s="511" t="s">
        <v>58</v>
      </c>
      <c r="I840" s="519" t="s">
        <v>47</v>
      </c>
      <c r="J840" s="1578" t="s">
        <v>3502</v>
      </c>
      <c r="K840" s="512"/>
      <c r="L840" s="515">
        <v>43709</v>
      </c>
      <c r="M840" s="515"/>
      <c r="N840" s="515"/>
      <c r="O840" s="515">
        <v>44105</v>
      </c>
      <c r="P840" s="516">
        <v>48</v>
      </c>
      <c r="Q840" s="1009">
        <v>48</v>
      </c>
      <c r="R840" s="528">
        <v>480000</v>
      </c>
      <c r="S840" s="1044" t="s">
        <v>91</v>
      </c>
      <c r="T840" s="1055" t="s">
        <v>62</v>
      </c>
      <c r="U840" s="515" t="s">
        <v>71</v>
      </c>
      <c r="V840" s="515"/>
      <c r="W840" s="531" t="s">
        <v>1711</v>
      </c>
      <c r="X840" s="120"/>
      <c r="Y840" s="120"/>
      <c r="Z840" s="120"/>
      <c r="AA840" s="120"/>
      <c r="AB840" s="120"/>
      <c r="AC840" s="120"/>
      <c r="AD840"/>
      <c r="AE840" s="186"/>
      <c r="AF840" s="1"/>
    </row>
    <row r="841" spans="1:32" s="1" customFormat="1" ht="187.4" customHeight="1">
      <c r="A841" s="1184"/>
      <c r="B841" s="464" t="s">
        <v>100</v>
      </c>
      <c r="C841" s="362"/>
      <c r="D841" s="118" t="s">
        <v>122</v>
      </c>
      <c r="E841" s="118"/>
      <c r="F841" s="118"/>
      <c r="G841" s="118"/>
      <c r="H841" s="8" t="s">
        <v>197</v>
      </c>
      <c r="I841" s="8"/>
      <c r="J841" s="16" t="s">
        <v>3503</v>
      </c>
      <c r="K841" s="8"/>
      <c r="L841" s="84">
        <v>3</v>
      </c>
      <c r="M841" s="436">
        <f>IFERROR(EDATE(N841,-3),"Invalid procurement method or date entered")</f>
        <v>43926</v>
      </c>
      <c r="N841" s="386">
        <f>IFERROR(EDATE(O841,-L841),"Invalid procurement method or date entered")</f>
        <v>44017</v>
      </c>
      <c r="O841" s="367">
        <v>44109</v>
      </c>
      <c r="P841" s="368"/>
      <c r="Q841" s="384"/>
      <c r="R841" s="159">
        <v>127000</v>
      </c>
      <c r="S841" s="5" t="s">
        <v>270</v>
      </c>
      <c r="T841" s="390"/>
      <c r="U841" s="388"/>
      <c r="V841" s="388"/>
      <c r="W841" s="8"/>
      <c r="X841" s="8" t="s">
        <v>125</v>
      </c>
      <c r="Y841" s="8"/>
      <c r="Z841" s="8"/>
      <c r="AA841" s="364"/>
      <c r="AB841" s="364"/>
      <c r="AC841" s="177" t="s">
        <v>251</v>
      </c>
      <c r="AD841" s="432"/>
      <c r="AE841" s="487"/>
    </row>
    <row r="842" spans="1:32" s="1" customFormat="1">
      <c r="A842" s="1648">
        <v>44974</v>
      </c>
      <c r="B842" s="1569" t="s">
        <v>1168</v>
      </c>
      <c r="C842" s="1664" t="s">
        <v>1222</v>
      </c>
      <c r="D842" s="1570" t="s">
        <v>1169</v>
      </c>
      <c r="E842" s="1569" t="s">
        <v>1168</v>
      </c>
      <c r="F842" s="1569" t="s">
        <v>1170</v>
      </c>
      <c r="G842" s="1569" t="s">
        <v>1170</v>
      </c>
      <c r="H842" s="1655" t="s">
        <v>1170</v>
      </c>
      <c r="I842" s="1655" t="s">
        <v>1170</v>
      </c>
      <c r="J842" s="1698" t="s">
        <v>1223</v>
      </c>
      <c r="K842" s="1664" t="s">
        <v>1224</v>
      </c>
      <c r="L842" s="1655" t="s">
        <v>1170</v>
      </c>
      <c r="M842" s="1655" t="s">
        <v>1170</v>
      </c>
      <c r="N842" s="1655" t="s">
        <v>1170</v>
      </c>
      <c r="O842" s="1755">
        <v>44112</v>
      </c>
      <c r="P842" s="1755">
        <v>44476</v>
      </c>
      <c r="Q842" s="1755">
        <v>45206</v>
      </c>
      <c r="R842" s="1805">
        <v>4990</v>
      </c>
      <c r="S842" s="1664" t="s">
        <v>1816</v>
      </c>
      <c r="T842" s="1842" t="s">
        <v>1170</v>
      </c>
      <c r="U842" s="1655" t="s">
        <v>1170</v>
      </c>
      <c r="V842" s="1655"/>
      <c r="W842" s="1664" t="s">
        <v>1174</v>
      </c>
      <c r="X842" s="1664" t="s">
        <v>1175</v>
      </c>
      <c r="Y842" s="1664" t="s">
        <v>251</v>
      </c>
      <c r="Z842" s="1655" t="s">
        <v>1170</v>
      </c>
      <c r="AA842" s="1655" t="s">
        <v>1170</v>
      </c>
      <c r="AB842" s="1655" t="s">
        <v>1170</v>
      </c>
      <c r="AC842" s="1698" t="s">
        <v>3504</v>
      </c>
      <c r="AD842" s="1657" t="s">
        <v>1170</v>
      </c>
      <c r="AE842" s="1934">
        <v>4990</v>
      </c>
      <c r="AF842"/>
    </row>
    <row r="843" spans="1:32" s="1" customFormat="1" ht="58">
      <c r="A843" s="1184"/>
      <c r="B843" s="60"/>
      <c r="C843" s="4"/>
      <c r="D843" s="32" t="s">
        <v>32</v>
      </c>
      <c r="E843" s="32"/>
      <c r="F843" s="32"/>
      <c r="G843" s="32"/>
      <c r="H843" s="5" t="s">
        <v>33</v>
      </c>
      <c r="I843" s="5" t="s">
        <v>47</v>
      </c>
      <c r="J843" s="16" t="s">
        <v>1793</v>
      </c>
      <c r="K843" s="16"/>
      <c r="L843" s="16"/>
      <c r="M843" s="182">
        <v>43831</v>
      </c>
      <c r="N843" s="182"/>
      <c r="O843" s="182">
        <v>44124</v>
      </c>
      <c r="P843" s="12">
        <v>12</v>
      </c>
      <c r="Q843" s="7" t="s">
        <v>50</v>
      </c>
      <c r="R843" s="18" t="s">
        <v>45</v>
      </c>
      <c r="S843" s="2751" t="s">
        <v>84</v>
      </c>
      <c r="T843" s="185" t="s">
        <v>38</v>
      </c>
      <c r="U843" s="15" t="s">
        <v>67</v>
      </c>
      <c r="V843" s="15"/>
      <c r="W843" s="5" t="s">
        <v>3505</v>
      </c>
      <c r="X843" s="5" t="s">
        <v>94</v>
      </c>
      <c r="Y843" s="5" t="s">
        <v>3506</v>
      </c>
      <c r="Z843" s="5"/>
      <c r="AA843" s="5"/>
      <c r="AB843" s="199" t="s">
        <v>3016</v>
      </c>
      <c r="AC843" s="8" t="s">
        <v>3507</v>
      </c>
      <c r="AD843" s="76" t="s">
        <v>3256</v>
      </c>
      <c r="AE843" s="224"/>
    </row>
    <row r="844" spans="1:32" s="1" customFormat="1" ht="29.15" customHeight="1">
      <c r="A844" s="1191"/>
      <c r="B844" s="464" t="s">
        <v>100</v>
      </c>
      <c r="C844" s="71" t="s">
        <v>45</v>
      </c>
      <c r="D844" s="31" t="s">
        <v>122</v>
      </c>
      <c r="E844" s="31"/>
      <c r="F844" s="31"/>
      <c r="G844" s="31"/>
      <c r="H844" s="439"/>
      <c r="I844" s="5" t="s">
        <v>37</v>
      </c>
      <c r="J844" s="16" t="s">
        <v>3508</v>
      </c>
      <c r="K844" s="5"/>
      <c r="L844" s="5"/>
      <c r="M844" s="146">
        <v>44085</v>
      </c>
      <c r="N844" s="5"/>
      <c r="O844" s="146">
        <v>44129</v>
      </c>
      <c r="P844" s="71">
        <v>12</v>
      </c>
      <c r="Q844" s="71">
        <v>12</v>
      </c>
      <c r="R844" s="440">
        <v>4620</v>
      </c>
      <c r="S844" s="71" t="s">
        <v>37</v>
      </c>
      <c r="T844" s="165" t="s">
        <v>38</v>
      </c>
      <c r="U844" s="71" t="s">
        <v>71</v>
      </c>
      <c r="V844" s="71"/>
      <c r="W844" s="71" t="s">
        <v>3509</v>
      </c>
      <c r="X844" s="71" t="s">
        <v>254</v>
      </c>
      <c r="Y844" s="71" t="s">
        <v>251</v>
      </c>
      <c r="Z844" s="71"/>
      <c r="AA844" s="439"/>
      <c r="AB844" s="439"/>
      <c r="AC844" s="150" t="s">
        <v>3510</v>
      </c>
      <c r="AD844" s="441"/>
      <c r="AE844" s="502"/>
    </row>
    <row r="845" spans="1:32" s="1" customFormat="1" ht="29.15" customHeight="1">
      <c r="A845" s="1119"/>
      <c r="B845" s="958" t="s">
        <v>56</v>
      </c>
      <c r="C845" s="521" t="s">
        <v>60</v>
      </c>
      <c r="D845" s="611" t="s">
        <v>32</v>
      </c>
      <c r="E845" s="611"/>
      <c r="F845" s="611"/>
      <c r="G845" s="611"/>
      <c r="H845" s="511" t="s">
        <v>46</v>
      </c>
      <c r="I845" s="511" t="s">
        <v>34</v>
      </c>
      <c r="J845" s="606" t="s">
        <v>3511</v>
      </c>
      <c r="K845" s="529"/>
      <c r="L845" s="529"/>
      <c r="M845" s="511">
        <v>12</v>
      </c>
      <c r="N845" s="514" t="str">
        <f>IF(O845="tbc","",(IFERROR(EDATE(#REF!,-3),"Invalid procurement method or date entered")))</f>
        <v>Invalid procurement method or date entered</v>
      </c>
      <c r="O845" s="514">
        <v>44134</v>
      </c>
      <c r="P845" s="536">
        <v>12</v>
      </c>
      <c r="Q845" s="1013">
        <v>12</v>
      </c>
      <c r="R845" s="536" t="s">
        <v>60</v>
      </c>
      <c r="S845" s="1048" t="s">
        <v>130</v>
      </c>
      <c r="T845" s="1067" t="s">
        <v>60</v>
      </c>
      <c r="U845" s="511" t="s">
        <v>60</v>
      </c>
      <c r="V845" s="511"/>
      <c r="W845" s="529" t="s">
        <v>2690</v>
      </c>
      <c r="X845" s="120"/>
      <c r="Y845" s="120"/>
      <c r="Z845" s="120"/>
      <c r="AA845" s="120"/>
      <c r="AB845" s="120"/>
      <c r="AC845" s="120"/>
      <c r="AD845"/>
      <c r="AE845" s="186"/>
    </row>
    <row r="846" spans="1:32" s="1" customFormat="1" ht="29.15" customHeight="1">
      <c r="A846" s="1119"/>
      <c r="B846" s="958" t="s">
        <v>56</v>
      </c>
      <c r="C846" s="510" t="s">
        <v>60</v>
      </c>
      <c r="D846" s="611" t="s">
        <v>32</v>
      </c>
      <c r="E846" s="611"/>
      <c r="F846" s="611"/>
      <c r="G846" s="611"/>
      <c r="H846" s="511" t="s">
        <v>308</v>
      </c>
      <c r="I846" s="519" t="s">
        <v>47</v>
      </c>
      <c r="J846" s="1578" t="s">
        <v>3512</v>
      </c>
      <c r="K846" s="512"/>
      <c r="L846" s="515" t="s">
        <v>45</v>
      </c>
      <c r="M846" s="515"/>
      <c r="N846" s="515"/>
      <c r="O846" s="515">
        <v>44135</v>
      </c>
      <c r="P846" s="516">
        <v>6</v>
      </c>
      <c r="Q846" s="1009">
        <v>6</v>
      </c>
      <c r="R846" s="528">
        <v>5056</v>
      </c>
      <c r="S846" s="1044" t="s">
        <v>84</v>
      </c>
      <c r="T846" s="1055" t="s">
        <v>62</v>
      </c>
      <c r="U846" s="515" t="s">
        <v>71</v>
      </c>
      <c r="V846" s="515"/>
      <c r="W846" s="519" t="s">
        <v>3513</v>
      </c>
      <c r="X846" s="120"/>
      <c r="Y846" s="120"/>
      <c r="Z846" s="120"/>
      <c r="AA846" s="120"/>
      <c r="AB846" s="120"/>
      <c r="AC846" s="120"/>
      <c r="AD846"/>
      <c r="AE846" s="186"/>
    </row>
    <row r="847" spans="1:32" s="1" customFormat="1" ht="29.15" customHeight="1">
      <c r="A847" s="1184"/>
      <c r="B847" s="147"/>
      <c r="C847" s="4" t="s">
        <v>3514</v>
      </c>
      <c r="D847" s="32" t="s">
        <v>32</v>
      </c>
      <c r="E847" s="32"/>
      <c r="F847" s="32"/>
      <c r="G847" s="32"/>
      <c r="H847" s="5" t="s">
        <v>33</v>
      </c>
      <c r="I847" s="12" t="s">
        <v>47</v>
      </c>
      <c r="J847" s="16" t="s">
        <v>3515</v>
      </c>
      <c r="K847" s="16"/>
      <c r="L847" s="16"/>
      <c r="M847" s="182">
        <v>43608</v>
      </c>
      <c r="N847" s="182"/>
      <c r="O847" s="182">
        <v>44136</v>
      </c>
      <c r="P847" s="12">
        <v>36</v>
      </c>
      <c r="Q847" s="25" t="s">
        <v>98</v>
      </c>
      <c r="R847" s="18">
        <v>141000</v>
      </c>
      <c r="S847" s="2797" t="s">
        <v>84</v>
      </c>
      <c r="T847" s="167" t="s">
        <v>62</v>
      </c>
      <c r="U847" s="48" t="s">
        <v>67</v>
      </c>
      <c r="V847" s="48"/>
      <c r="W847" s="12" t="s">
        <v>440</v>
      </c>
      <c r="X847" s="5" t="s">
        <v>543</v>
      </c>
      <c r="Y847" s="5" t="s">
        <v>40</v>
      </c>
      <c r="Z847" s="5"/>
      <c r="AA847" s="5" t="s">
        <v>38</v>
      </c>
      <c r="AB847" s="199" t="s">
        <v>41</v>
      </c>
      <c r="AC847" s="6" t="s">
        <v>3516</v>
      </c>
      <c r="AD847" s="76" t="s">
        <v>3164</v>
      </c>
      <c r="AE847" s="224">
        <v>28000</v>
      </c>
    </row>
    <row r="848" spans="1:32" s="1" customFormat="1" ht="389.15" customHeight="1">
      <c r="A848" s="1119"/>
      <c r="B848" s="60"/>
      <c r="C848" s="4" t="s">
        <v>45</v>
      </c>
      <c r="D848" s="32" t="s">
        <v>32</v>
      </c>
      <c r="E848" s="32"/>
      <c r="F848" s="32"/>
      <c r="G848" s="32"/>
      <c r="H848" s="2751" t="s">
        <v>46</v>
      </c>
      <c r="I848" s="2763" t="s">
        <v>34</v>
      </c>
      <c r="J848" s="16" t="s">
        <v>377</v>
      </c>
      <c r="K848" s="8"/>
      <c r="L848" s="5" t="e">
        <f>IF(OR(S848=#REF!,S848=#REF!,S848=#REF!,S848=#REF!,S848=#REF!,S848=#REF!,S848=#REF!,S848=#REF!),12,IF(OR(S848=#REF!,S848=#REF!,S848=#REF!,S848=#REF!,S848=#REF!,S848=#REF!,S848=#REF!),3,IF(S848=#REF!,1,IF(S848=#REF!,18,IF(OR(S848=#REF!,S848=#REF!,S848=#REF!,S848=#REF!,S848=#REF!),14,"Invalid proposed procurement method")))))</f>
        <v>#REF!</v>
      </c>
      <c r="M848" s="199" t="str">
        <f>IFERROR(EDATE($N848,-3),"Invalid procurement method or date entered")</f>
        <v>Invalid procurement method or date entered</v>
      </c>
      <c r="N848" s="199" t="str">
        <f>IFERROR(EDATE(O848,-L848),"Invalid procurement method or date entered")</f>
        <v>Invalid procurement method or date entered</v>
      </c>
      <c r="O848" s="199">
        <v>44136</v>
      </c>
      <c r="P848" s="5">
        <v>120</v>
      </c>
      <c r="Q848" s="7" t="s">
        <v>3517</v>
      </c>
      <c r="R848" s="41">
        <v>12000000</v>
      </c>
      <c r="S848" s="199" t="s">
        <v>130</v>
      </c>
      <c r="T848" s="171" t="s">
        <v>45</v>
      </c>
      <c r="U848" s="51" t="s">
        <v>45</v>
      </c>
      <c r="V848" s="51"/>
      <c r="W848" s="2763" t="s">
        <v>379</v>
      </c>
      <c r="X848" s="9" t="s">
        <v>561</v>
      </c>
      <c r="Y848" s="5" t="s">
        <v>727</v>
      </c>
      <c r="Z848" s="5"/>
      <c r="AA848" s="2763" t="s">
        <v>38</v>
      </c>
      <c r="AB848" s="199" t="s">
        <v>132</v>
      </c>
      <c r="AC848" s="33" t="s">
        <v>3518</v>
      </c>
      <c r="AD848" s="76" t="s">
        <v>46</v>
      </c>
      <c r="AE848" s="164"/>
    </row>
    <row r="849" spans="1:32" s="1" customFormat="1" ht="72.5">
      <c r="A849" s="1185"/>
      <c r="B849" s="60"/>
      <c r="C849" s="4" t="s">
        <v>619</v>
      </c>
      <c r="D849" s="31" t="s">
        <v>32</v>
      </c>
      <c r="E849" s="31"/>
      <c r="F849" s="31"/>
      <c r="G849" s="31"/>
      <c r="H849" s="2751" t="s">
        <v>33</v>
      </c>
      <c r="I849" s="2751" t="s">
        <v>34</v>
      </c>
      <c r="J849" s="2752" t="s">
        <v>2967</v>
      </c>
      <c r="K849" s="2752"/>
      <c r="L849" s="5" t="e">
        <f>IF(OR(S849=#REF!,S849=#REF!,S849=#REF!,S849=#REF!,S849=#REF!,S849=#REF!,S849=#REF!,S849=#REF!),12,IF(OR(S849=#REF!,S849=#REF!,S849=#REF!,S849=#REF!,S849=#REF!,S849=#REF!,S849=#REF!),3,IF(S849=#REF!,1,IF(S849=#REF!,18,IF(OR(S849=#REF!,S849=#REF!,S849=#REF!,S849=#REF!,S849=#REF!),14,"Invalid proposed procurement method")))))</f>
        <v>#REF!</v>
      </c>
      <c r="M849" s="199" t="str">
        <f>IFERROR(EDATE($N849,-3),"Invalid procurement method or date entered")</f>
        <v>Invalid procurement method or date entered</v>
      </c>
      <c r="N849" s="199" t="str">
        <f>IFERROR(EDATE(O849,-L849),"Invalid procurement method or date entered")</f>
        <v>Invalid procurement method or date entered</v>
      </c>
      <c r="O849" s="182">
        <v>44136</v>
      </c>
      <c r="P849" s="2751">
        <v>24</v>
      </c>
      <c r="Q849" s="2753" t="s">
        <v>36</v>
      </c>
      <c r="R849" s="18">
        <v>6000</v>
      </c>
      <c r="S849" s="2797" t="s">
        <v>84</v>
      </c>
      <c r="T849" s="2753" t="s">
        <v>38</v>
      </c>
      <c r="U849" s="2763" t="s">
        <v>67</v>
      </c>
      <c r="V849" s="2763"/>
      <c r="W849" s="2751" t="s">
        <v>2543</v>
      </c>
      <c r="X849" s="5" t="s">
        <v>289</v>
      </c>
      <c r="Y849" s="5" t="s">
        <v>115</v>
      </c>
      <c r="Z849" s="5" t="s">
        <v>154</v>
      </c>
      <c r="AA849" s="2751" t="s">
        <v>38</v>
      </c>
      <c r="AB849" s="199" t="s">
        <v>271</v>
      </c>
      <c r="AC849" s="2758"/>
      <c r="AD849" s="80" t="s">
        <v>240</v>
      </c>
      <c r="AE849" s="2867"/>
      <c r="AF849" s="35"/>
    </row>
    <row r="850" spans="1:32" s="1" customFormat="1" ht="72.5">
      <c r="A850" s="1185"/>
      <c r="B850" s="60"/>
      <c r="C850" s="4" t="s">
        <v>619</v>
      </c>
      <c r="D850" s="31" t="s">
        <v>32</v>
      </c>
      <c r="E850" s="31"/>
      <c r="F850" s="31"/>
      <c r="G850" s="31"/>
      <c r="H850" s="46" t="s">
        <v>33</v>
      </c>
      <c r="I850" s="46" t="s">
        <v>34</v>
      </c>
      <c r="J850" s="16" t="s">
        <v>2969</v>
      </c>
      <c r="K850" s="16"/>
      <c r="L850" s="5" t="e">
        <f>IF(OR(S850=#REF!,S850=#REF!,S850=#REF!,S850=#REF!,S850=#REF!,S850=#REF!,S850=#REF!,S850=#REF!),12,IF(OR(S850=#REF!,S850=#REF!,S850=#REF!,S850=#REF!,S850=#REF!,S850=#REF!,S850=#REF!),3,IF(S850=#REF!,1,IF(S850=#REF!,18,IF(OR(S850=#REF!,S850=#REF!,S850=#REF!,S850=#REF!,S850=#REF!),14,"Invalid proposed procurement method")))))</f>
        <v>#REF!</v>
      </c>
      <c r="M850" s="199" t="str">
        <f>IFERROR(EDATE($N850,-3),"Invalid procurement method or date entered")</f>
        <v>Invalid procurement method or date entered</v>
      </c>
      <c r="N850" s="199" t="str">
        <f>IFERROR(EDATE(O850,-L850),"Invalid procurement method or date entered")</f>
        <v>Invalid procurement method or date entered</v>
      </c>
      <c r="O850" s="182">
        <v>44136</v>
      </c>
      <c r="P850" s="12">
        <v>24</v>
      </c>
      <c r="Q850" s="46" t="s">
        <v>36</v>
      </c>
      <c r="R850" s="18">
        <v>350</v>
      </c>
      <c r="S850" s="5" t="s">
        <v>84</v>
      </c>
      <c r="T850" s="70" t="s">
        <v>38</v>
      </c>
      <c r="U850" s="11" t="s">
        <v>67</v>
      </c>
      <c r="V850" s="11"/>
      <c r="W850" s="5" t="s">
        <v>287</v>
      </c>
      <c r="X850" s="5" t="s">
        <v>289</v>
      </c>
      <c r="Y850" s="5" t="s">
        <v>115</v>
      </c>
      <c r="Z850" s="5" t="s">
        <v>154</v>
      </c>
      <c r="AA850" s="12" t="s">
        <v>38</v>
      </c>
      <c r="AB850" s="199" t="s">
        <v>271</v>
      </c>
      <c r="AC850" s="57"/>
      <c r="AD850" s="80" t="s">
        <v>240</v>
      </c>
      <c r="AE850" s="224"/>
    </row>
    <row r="851" spans="1:32" s="1" customFormat="1" ht="188.5">
      <c r="A851" s="1184"/>
      <c r="B851" s="336"/>
      <c r="C851" s="8" t="s">
        <v>3519</v>
      </c>
      <c r="D851" s="32" t="s">
        <v>32</v>
      </c>
      <c r="E851" s="32"/>
      <c r="F851" s="32"/>
      <c r="G851" s="32"/>
      <c r="H851" s="5" t="s">
        <v>502</v>
      </c>
      <c r="I851" s="5" t="s">
        <v>34</v>
      </c>
      <c r="J851" s="16" t="s">
        <v>507</v>
      </c>
      <c r="K851" s="8"/>
      <c r="L851" s="8"/>
      <c r="M851" s="182">
        <v>43831</v>
      </c>
      <c r="N851" s="182"/>
      <c r="O851" s="182">
        <v>44136</v>
      </c>
      <c r="P851" s="12">
        <v>48</v>
      </c>
      <c r="Q851" s="25" t="s">
        <v>656</v>
      </c>
      <c r="R851" s="18">
        <v>500000</v>
      </c>
      <c r="S851" s="31" t="s">
        <v>130</v>
      </c>
      <c r="T851" s="167" t="s">
        <v>70</v>
      </c>
      <c r="U851" s="48" t="s">
        <v>45</v>
      </c>
      <c r="V851" s="48"/>
      <c r="W851" s="5" t="s">
        <v>509</v>
      </c>
      <c r="X851" s="46" t="s">
        <v>39</v>
      </c>
      <c r="Y851" s="5" t="s">
        <v>40</v>
      </c>
      <c r="Z851" s="5"/>
      <c r="AA851" s="5"/>
      <c r="AB851" s="199" t="s">
        <v>3016</v>
      </c>
      <c r="AC851" s="33" t="s">
        <v>3520</v>
      </c>
      <c r="AD851" s="2871" t="s">
        <v>979</v>
      </c>
      <c r="AE851" s="239"/>
    </row>
    <row r="852" spans="1:32" s="1" customFormat="1" ht="72.5">
      <c r="A852" s="1184"/>
      <c r="B852" s="336"/>
      <c r="C852" s="4"/>
      <c r="D852" s="31" t="s">
        <v>32</v>
      </c>
      <c r="E852" s="31"/>
      <c r="F852" s="31"/>
      <c r="G852" s="31"/>
      <c r="H852" s="2751" t="s">
        <v>33</v>
      </c>
      <c r="I852" s="2751" t="s">
        <v>47</v>
      </c>
      <c r="J852" s="2752" t="s">
        <v>3521</v>
      </c>
      <c r="K852" s="2752"/>
      <c r="L852" s="2752"/>
      <c r="M852" s="199">
        <v>44044</v>
      </c>
      <c r="N852" s="199"/>
      <c r="O852" s="182">
        <v>44136</v>
      </c>
      <c r="P852" s="12">
        <v>12</v>
      </c>
      <c r="Q852" s="27">
        <v>12</v>
      </c>
      <c r="R852" s="18">
        <v>13000</v>
      </c>
      <c r="S852" s="2797" t="s">
        <v>84</v>
      </c>
      <c r="T852" s="2753" t="s">
        <v>38</v>
      </c>
      <c r="U852" s="2763" t="s">
        <v>67</v>
      </c>
      <c r="V852" s="2763"/>
      <c r="W852" s="2751" t="s">
        <v>2964</v>
      </c>
      <c r="X852" s="5" t="s">
        <v>54</v>
      </c>
      <c r="Y852" s="5" t="s">
        <v>115</v>
      </c>
      <c r="Z852" s="5"/>
      <c r="AA852" s="2752"/>
      <c r="AB852" s="199" t="s">
        <v>3016</v>
      </c>
      <c r="AC852" s="8" t="s">
        <v>3522</v>
      </c>
      <c r="AD852" s="76" t="s">
        <v>43</v>
      </c>
      <c r="AE852" s="2876"/>
      <c r="AF852" s="2890"/>
    </row>
    <row r="853" spans="1:32" s="1" customFormat="1" ht="43.5">
      <c r="A853" s="1119"/>
      <c r="B853" s="147"/>
      <c r="C853" s="2755"/>
      <c r="D853" s="2784" t="s">
        <v>122</v>
      </c>
      <c r="E853" s="2784"/>
      <c r="F853" s="2784"/>
      <c r="G853" s="2784"/>
      <c r="H853" s="2755" t="s">
        <v>1670</v>
      </c>
      <c r="I853" s="2763" t="s">
        <v>47</v>
      </c>
      <c r="J853" s="2755" t="s">
        <v>3523</v>
      </c>
      <c r="K853" s="2755"/>
      <c r="L853" s="2755"/>
      <c r="M853" s="2764">
        <v>44071</v>
      </c>
      <c r="N853" s="2764"/>
      <c r="O853" s="2764">
        <v>44136</v>
      </c>
      <c r="P853" s="2763">
        <v>12</v>
      </c>
      <c r="Q853" s="2837">
        <v>12</v>
      </c>
      <c r="R853" s="2826">
        <v>50000</v>
      </c>
      <c r="S853" s="2797" t="s">
        <v>51</v>
      </c>
      <c r="T853" s="2837" t="s">
        <v>38</v>
      </c>
      <c r="U853" s="2763" t="s">
        <v>67</v>
      </c>
      <c r="V853" s="2763"/>
      <c r="W853" s="2763" t="s">
        <v>3524</v>
      </c>
      <c r="X853" s="2763" t="s">
        <v>54</v>
      </c>
      <c r="Y853" s="2763" t="s">
        <v>727</v>
      </c>
      <c r="Z853" s="2763"/>
      <c r="AA853" s="2763"/>
      <c r="AB853" s="199" t="s">
        <v>3016</v>
      </c>
      <c r="AC853" s="2875" t="s">
        <v>3525</v>
      </c>
      <c r="AD853" s="2765" t="s">
        <v>860</v>
      </c>
      <c r="AE853" s="2837"/>
      <c r="AF853" s="2799"/>
    </row>
    <row r="854" spans="1:32" s="1" customFormat="1" ht="43.5">
      <c r="A854" s="2756"/>
      <c r="B854" s="336"/>
      <c r="C854" s="4" t="s">
        <v>3526</v>
      </c>
      <c r="D854" s="32" t="s">
        <v>57</v>
      </c>
      <c r="E854" s="32"/>
      <c r="F854" s="32"/>
      <c r="G854" s="32"/>
      <c r="H854" s="9" t="s">
        <v>46</v>
      </c>
      <c r="I854" s="15" t="s">
        <v>47</v>
      </c>
      <c r="J854" s="16" t="s">
        <v>3527</v>
      </c>
      <c r="K854" s="16"/>
      <c r="L854" s="5"/>
      <c r="M854" s="199"/>
      <c r="N854" s="199"/>
      <c r="O854" s="182">
        <v>44136</v>
      </c>
      <c r="P854" s="12">
        <v>17</v>
      </c>
      <c r="Q854" s="27">
        <v>17</v>
      </c>
      <c r="R854" s="95">
        <v>60367</v>
      </c>
      <c r="S854" s="31" t="s">
        <v>51</v>
      </c>
      <c r="T854" s="171" t="s">
        <v>38</v>
      </c>
      <c r="U854" s="51" t="s">
        <v>67</v>
      </c>
      <c r="V854" s="51"/>
      <c r="W854" s="5" t="s">
        <v>2036</v>
      </c>
      <c r="X854" s="9" t="s">
        <v>54</v>
      </c>
      <c r="Y854" s="5" t="s">
        <v>40</v>
      </c>
      <c r="Z854" s="5"/>
      <c r="AA854" s="5" t="s">
        <v>38</v>
      </c>
      <c r="AB854" s="199" t="s">
        <v>271</v>
      </c>
      <c r="AC854" s="33" t="s">
        <v>3528</v>
      </c>
      <c r="AD854" s="76"/>
      <c r="AE854" s="164">
        <v>42612</v>
      </c>
    </row>
    <row r="855" spans="1:32" s="1" customFormat="1" ht="86.9" customHeight="1">
      <c r="A855" s="1184"/>
      <c r="B855" s="147" t="s">
        <v>44</v>
      </c>
      <c r="C855" s="180" t="s">
        <v>2900</v>
      </c>
      <c r="D855" s="32" t="s">
        <v>57</v>
      </c>
      <c r="E855" s="32"/>
      <c r="F855" s="32"/>
      <c r="G855" s="32"/>
      <c r="H855" s="9" t="s">
        <v>363</v>
      </c>
      <c r="I855" s="9" t="s">
        <v>47</v>
      </c>
      <c r="J855" s="63" t="s">
        <v>2901</v>
      </c>
      <c r="K855" s="6"/>
      <c r="L855" s="6"/>
      <c r="M855" s="183">
        <v>43831</v>
      </c>
      <c r="N855" s="183"/>
      <c r="O855" s="183">
        <v>44136</v>
      </c>
      <c r="P855" s="9" t="s">
        <v>45</v>
      </c>
      <c r="Q855" s="185" t="s">
        <v>45</v>
      </c>
      <c r="R855" s="9" t="s">
        <v>45</v>
      </c>
      <c r="S855" s="32" t="s">
        <v>45</v>
      </c>
      <c r="T855" s="166" t="s">
        <v>38</v>
      </c>
      <c r="U855" s="217" t="s">
        <v>67</v>
      </c>
      <c r="V855" s="217"/>
      <c r="W855" s="9" t="s">
        <v>789</v>
      </c>
      <c r="X855" s="46" t="s">
        <v>1892</v>
      </c>
      <c r="Y855" s="9" t="s">
        <v>115</v>
      </c>
      <c r="Z855" s="9"/>
      <c r="AA855" s="9"/>
      <c r="AB855" s="2877"/>
      <c r="AC855" s="6" t="s">
        <v>3529</v>
      </c>
      <c r="AD855" s="76" t="s">
        <v>46</v>
      </c>
      <c r="AE855" s="231"/>
    </row>
    <row r="856" spans="1:32" s="1" customFormat="1" ht="50">
      <c r="A856" s="1119"/>
      <c r="B856" s="958" t="s">
        <v>56</v>
      </c>
      <c r="C856" s="511" t="s">
        <v>3530</v>
      </c>
      <c r="D856" s="611" t="s">
        <v>57</v>
      </c>
      <c r="E856" s="611"/>
      <c r="F856" s="611"/>
      <c r="G856" s="611"/>
      <c r="H856" s="511" t="s">
        <v>58</v>
      </c>
      <c r="I856" s="519" t="s">
        <v>47</v>
      </c>
      <c r="J856" s="606" t="s">
        <v>3531</v>
      </c>
      <c r="K856" s="529"/>
      <c r="L856" s="515">
        <v>44013</v>
      </c>
      <c r="M856" s="515"/>
      <c r="N856" s="515"/>
      <c r="O856" s="515">
        <v>44136</v>
      </c>
      <c r="P856" s="516">
        <v>48</v>
      </c>
      <c r="Q856" s="516">
        <v>48</v>
      </c>
      <c r="R856" s="528">
        <f>280000*4</f>
        <v>1120000</v>
      </c>
      <c r="S856" s="515" t="s">
        <v>3532</v>
      </c>
      <c r="T856" s="1055" t="s">
        <v>310</v>
      </c>
      <c r="U856" s="511" t="s">
        <v>60</v>
      </c>
      <c r="V856" s="511"/>
      <c r="W856" s="531" t="s">
        <v>1711</v>
      </c>
      <c r="X856" s="120"/>
      <c r="Y856" s="120"/>
      <c r="Z856" s="120"/>
      <c r="AA856" s="120"/>
      <c r="AB856" s="120"/>
      <c r="AC856" s="120"/>
      <c r="AD856"/>
      <c r="AE856" s="186"/>
      <c r="AF856" s="35"/>
    </row>
    <row r="857" spans="1:32" s="35" customFormat="1" ht="43.4" customHeight="1">
      <c r="A857" s="1185"/>
      <c r="B857" s="60"/>
      <c r="C857" s="4" t="s">
        <v>2556</v>
      </c>
      <c r="D857" s="32" t="s">
        <v>32</v>
      </c>
      <c r="E857" s="32"/>
      <c r="F857" s="32"/>
      <c r="G857" s="32"/>
      <c r="H857" s="5" t="s">
        <v>33</v>
      </c>
      <c r="I857" s="5" t="s">
        <v>34</v>
      </c>
      <c r="J857" s="16" t="s">
        <v>3533</v>
      </c>
      <c r="K857" s="16"/>
      <c r="L857" s="5" t="e">
        <f>IF(OR(S857=#REF!,S857=#REF!,S857=#REF!,S857=#REF!,S857=#REF!,S857=#REF!,S857=#REF!,S857=#REF!),12,IF(OR(S857=#REF!,S857=#REF!,S857=#REF!,S857=#REF!,S857=#REF!,S857=#REF!,S857=#REF!),3,IF(S857=#REF!,1,IF(S857=#REF!,18,IF(OR(S857=#REF!,S857=#REF!,S857=#REF!,S857=#REF!,S857=#REF!),14,"Invalid proposed procurement method")))))</f>
        <v>#REF!</v>
      </c>
      <c r="M857" s="199" t="str">
        <f>IFERROR(EDATE($N857,-3),"Invalid procurement method or date entered")</f>
        <v>Invalid procurement method or date entered</v>
      </c>
      <c r="N857" s="199" t="str">
        <f>IFERROR(EDATE(O857,-L857),"Invalid procurement method or date entered")</f>
        <v>Invalid procurement method or date entered</v>
      </c>
      <c r="O857" s="182">
        <v>44140</v>
      </c>
      <c r="P857" s="5">
        <v>48</v>
      </c>
      <c r="Q857" s="26" t="s">
        <v>281</v>
      </c>
      <c r="R857" s="18">
        <v>294800</v>
      </c>
      <c r="S857" s="31" t="s">
        <v>130</v>
      </c>
      <c r="T857" s="26" t="s">
        <v>62</v>
      </c>
      <c r="U857" s="12" t="s">
        <v>67</v>
      </c>
      <c r="V857" s="12"/>
      <c r="W857" s="12" t="s">
        <v>440</v>
      </c>
      <c r="X857" s="46" t="s">
        <v>543</v>
      </c>
      <c r="Y857" s="5" t="s">
        <v>40</v>
      </c>
      <c r="Z857" s="5"/>
      <c r="AA857" s="5" t="s">
        <v>70</v>
      </c>
      <c r="AB857" s="199" t="s">
        <v>41</v>
      </c>
      <c r="AC857" s="8" t="s">
        <v>2678</v>
      </c>
      <c r="AD857" s="80" t="s">
        <v>3534</v>
      </c>
      <c r="AE857" s="164">
        <v>34000</v>
      </c>
    </row>
    <row r="858" spans="1:32" s="1" customFormat="1" ht="62.5">
      <c r="A858" s="1119"/>
      <c r="B858" s="958" t="s">
        <v>56</v>
      </c>
      <c r="C858" s="511" t="s">
        <v>3535</v>
      </c>
      <c r="D858" s="611" t="s">
        <v>57</v>
      </c>
      <c r="E858" s="611"/>
      <c r="F858" s="611"/>
      <c r="G858" s="611"/>
      <c r="H858" s="511" t="s">
        <v>58</v>
      </c>
      <c r="I858" s="519" t="s">
        <v>47</v>
      </c>
      <c r="J858" s="1578" t="s">
        <v>3536</v>
      </c>
      <c r="K858" s="512"/>
      <c r="L858" s="512"/>
      <c r="M858" s="511">
        <v>3</v>
      </c>
      <c r="N858" s="514" t="str">
        <f>IF(O858="tbc","",(IFERROR(EDATE(#REF!,-3),"Invalid procurement method or date entered")))</f>
        <v>Invalid procurement method or date entered</v>
      </c>
      <c r="O858" s="515">
        <v>44155</v>
      </c>
      <c r="P858" s="516">
        <v>1</v>
      </c>
      <c r="Q858" s="516">
        <v>1</v>
      </c>
      <c r="R858" s="528">
        <v>324112</v>
      </c>
      <c r="S858" s="515" t="s">
        <v>61</v>
      </c>
      <c r="T858" s="1055" t="s">
        <v>62</v>
      </c>
      <c r="U858" s="511" t="s">
        <v>60</v>
      </c>
      <c r="V858" s="511"/>
      <c r="W858" s="531" t="s">
        <v>3450</v>
      </c>
      <c r="X858" s="120"/>
      <c r="Y858" s="120"/>
      <c r="Z858" s="120"/>
      <c r="AA858" s="120"/>
      <c r="AB858" s="120"/>
      <c r="AC858" s="120"/>
      <c r="AD858"/>
      <c r="AE858" s="186"/>
    </row>
    <row r="859" spans="1:32" s="1" customFormat="1" ht="62.5">
      <c r="A859" s="1119"/>
      <c r="B859" s="958" t="s">
        <v>56</v>
      </c>
      <c r="C859" s="511" t="s">
        <v>60</v>
      </c>
      <c r="D859" s="611" t="s">
        <v>57</v>
      </c>
      <c r="E859" s="611"/>
      <c r="F859" s="611"/>
      <c r="G859" s="611"/>
      <c r="H859" s="511" t="s">
        <v>58</v>
      </c>
      <c r="I859" s="519" t="s">
        <v>47</v>
      </c>
      <c r="J859" s="1578" t="s">
        <v>3537</v>
      </c>
      <c r="K859" s="512"/>
      <c r="L859" s="512"/>
      <c r="M859" s="511">
        <v>3</v>
      </c>
      <c r="N859" s="514" t="str">
        <f>IF(O859="tbc","",(IFERROR(EDATE(#REF!,-3),"Invalid procurement method or date entered")))</f>
        <v>Invalid procurement method or date entered</v>
      </c>
      <c r="O859" s="515">
        <v>44155</v>
      </c>
      <c r="P859" s="516">
        <v>2</v>
      </c>
      <c r="Q859" s="516" t="s">
        <v>60</v>
      </c>
      <c r="R859" s="528">
        <v>878074</v>
      </c>
      <c r="S859" s="515" t="s">
        <v>61</v>
      </c>
      <c r="T859" s="1055" t="s">
        <v>310</v>
      </c>
      <c r="U859" s="511" t="s">
        <v>60</v>
      </c>
      <c r="V859" s="511"/>
      <c r="W859" s="531" t="s">
        <v>3450</v>
      </c>
      <c r="X859" s="120"/>
      <c r="Y859" s="120"/>
      <c r="Z859" s="120"/>
      <c r="AA859" s="120"/>
      <c r="AB859" s="120"/>
      <c r="AC859" s="120"/>
      <c r="AD859"/>
      <c r="AE859" s="186"/>
    </row>
    <row r="860" spans="1:32" s="1" customFormat="1" ht="29.15" customHeight="1">
      <c r="A860" s="1185"/>
      <c r="B860" s="147"/>
      <c r="C860" s="4" t="s">
        <v>3538</v>
      </c>
      <c r="D860" s="31" t="s">
        <v>57</v>
      </c>
      <c r="E860" s="31"/>
      <c r="F860" s="31"/>
      <c r="G860" s="31"/>
      <c r="H860" s="5" t="s">
        <v>496</v>
      </c>
      <c r="I860" s="5" t="s">
        <v>47</v>
      </c>
      <c r="J860" s="16" t="s">
        <v>3096</v>
      </c>
      <c r="K860" s="8"/>
      <c r="L860" s="5" t="e">
        <f>IF(OR(S860=#REF!,S860=#REF!,S860=#REF!,S860=#REF!,S860=#REF!,S860=#REF!,S860=#REF!,S860=#REF!),12,IF(OR(S860=#REF!,S860=#REF!,S860=#REF!,S860=#REF!,S860=#REF!,S860=#REF!,S860=#REF!),3,IF(S860=#REF!,1,IF(S860=#REF!,18,IF(OR(S860=#REF!,S860=#REF!,S860=#REF!,S860=#REF!,S860=#REF!),14,"Invalid proposed procurement method")))))</f>
        <v>#REF!</v>
      </c>
      <c r="M860" s="199" t="str">
        <f>IFERROR(EDATE($N860,-3),"Invalid procurement method or date entered")</f>
        <v>Invalid procurement method or date entered</v>
      </c>
      <c r="N860" s="199" t="str">
        <f>IFERROR(EDATE(O860,-L860),"Invalid procurement method or date entered")</f>
        <v>Invalid procurement method or date entered</v>
      </c>
      <c r="O860" s="199">
        <v>44165</v>
      </c>
      <c r="P860" s="5">
        <v>60</v>
      </c>
      <c r="Q860" s="5">
        <v>60</v>
      </c>
      <c r="R860" s="18">
        <v>254000</v>
      </c>
      <c r="S860" s="5" t="s">
        <v>158</v>
      </c>
      <c r="T860" s="169" t="s">
        <v>62</v>
      </c>
      <c r="U860" s="53" t="s">
        <v>67</v>
      </c>
      <c r="V860" s="53"/>
      <c r="W860" s="5" t="s">
        <v>798</v>
      </c>
      <c r="X860" s="46" t="s">
        <v>86</v>
      </c>
      <c r="Y860" s="5" t="s">
        <v>40</v>
      </c>
      <c r="Z860" s="5"/>
      <c r="AA860" s="5" t="s">
        <v>70</v>
      </c>
      <c r="AB860" s="199" t="s">
        <v>132</v>
      </c>
      <c r="AC860" s="8" t="s">
        <v>89</v>
      </c>
      <c r="AD860" s="76" t="s">
        <v>165</v>
      </c>
      <c r="AE860" s="164"/>
      <c r="AF860" s="35"/>
    </row>
    <row r="861" spans="1:32" s="1" customFormat="1" ht="29.15" customHeight="1">
      <c r="A861" s="1184"/>
      <c r="B861" s="60"/>
      <c r="C861" s="4" t="s">
        <v>3539</v>
      </c>
      <c r="D861" s="31" t="s">
        <v>32</v>
      </c>
      <c r="E861" s="31"/>
      <c r="F861" s="31"/>
      <c r="G861" s="31"/>
      <c r="H861" s="5" t="s">
        <v>496</v>
      </c>
      <c r="I861" s="5" t="s">
        <v>34</v>
      </c>
      <c r="J861" s="16" t="s">
        <v>1878</v>
      </c>
      <c r="K861" s="16"/>
      <c r="L861" s="5" t="e">
        <f>IF(OR(S861=#REF!,S861=#REF!,S861=#REF!,S861=#REF!,S861=#REF!,S861=#REF!,S861=#REF!,S861=#REF!),12,IF(OR(S861=#REF!,S861=#REF!,S861=#REF!,S861=#REF!,S861=#REF!,S861=#REF!,S861=#REF!),3,IF(S861=#REF!,1,IF(S861=#REF!,18,IF(OR(S861=#REF!,S861=#REF!,S861=#REF!,S861=#REF!,S861=#REF!),14,"Invalid proposed procurement method")))))</f>
        <v>#REF!</v>
      </c>
      <c r="M861" s="199" t="str">
        <f>IFERROR(EDATE($N861,-3),"Invalid procurement method or date entered")</f>
        <v>Invalid procurement method or date entered</v>
      </c>
      <c r="N861" s="199" t="str">
        <f>IFERROR(EDATE(O861,-L861),"Invalid procurement method or date entered")</f>
        <v>Invalid procurement method or date entered</v>
      </c>
      <c r="O861" s="14">
        <v>44166</v>
      </c>
      <c r="P861" s="12">
        <v>6</v>
      </c>
      <c r="Q861" s="5">
        <v>6</v>
      </c>
      <c r="R861" s="18">
        <v>200000</v>
      </c>
      <c r="S861" s="5" t="s">
        <v>130</v>
      </c>
      <c r="T861" s="169" t="s">
        <v>70</v>
      </c>
      <c r="U861" s="53">
        <v>43894</v>
      </c>
      <c r="V861" s="53"/>
      <c r="W861" s="5" t="s">
        <v>2982</v>
      </c>
      <c r="X861" s="5" t="s">
        <v>86</v>
      </c>
      <c r="Y861" s="5" t="s">
        <v>40</v>
      </c>
      <c r="Z861" s="5"/>
      <c r="AA861" s="5" t="s">
        <v>70</v>
      </c>
      <c r="AB861" s="199" t="s">
        <v>132</v>
      </c>
      <c r="AC861" s="8" t="s">
        <v>89</v>
      </c>
      <c r="AD861" s="76" t="s">
        <v>496</v>
      </c>
      <c r="AE861" s="223"/>
    </row>
    <row r="862" spans="1:32" s="1" customFormat="1" ht="130.5">
      <c r="A862" s="1184"/>
      <c r="B862" s="60"/>
      <c r="C862" s="4" t="s">
        <v>45</v>
      </c>
      <c r="D862" s="32" t="s">
        <v>57</v>
      </c>
      <c r="E862" s="32"/>
      <c r="F862" s="32"/>
      <c r="G862" s="32"/>
      <c r="H862" s="5" t="s">
        <v>33</v>
      </c>
      <c r="I862" s="5" t="s">
        <v>47</v>
      </c>
      <c r="J862" s="16" t="s">
        <v>3540</v>
      </c>
      <c r="K862" s="16"/>
      <c r="L862" s="5" t="e">
        <f>IF(OR(S862=#REF!,S862=#REF!,S862=#REF!,S862=#REF!,S862=#REF!,S862=#REF!,S862=#REF!,S862=#REF!),12,IF(OR(S862=#REF!,S862=#REF!,S862=#REF!,S862=#REF!,S862=#REF!,S862=#REF!,S862=#REF!),3,IF(S862=#REF!,1,IF(S862=#REF!,18,IF(OR(S862=#REF!,S862=#REF!,S862=#REF!,S862=#REF!,S862=#REF!),14,"Invalid proposed procurement method")))))</f>
        <v>#REF!</v>
      </c>
      <c r="M862" s="199" t="str">
        <f>IFERROR(EDATE($N862,-3),"Invalid procurement method or date entered")</f>
        <v>Invalid procurement method or date entered</v>
      </c>
      <c r="N862" s="199" t="str">
        <f>IFERROR(EDATE(O862,-L862),"Invalid procurement method or date entered")</f>
        <v>Invalid procurement method or date entered</v>
      </c>
      <c r="O862" s="199">
        <v>44166</v>
      </c>
      <c r="P862" s="12" t="s">
        <v>45</v>
      </c>
      <c r="Q862" s="7" t="s">
        <v>45</v>
      </c>
      <c r="R862" s="18">
        <v>67500</v>
      </c>
      <c r="S862" s="31" t="s">
        <v>176</v>
      </c>
      <c r="T862" s="185" t="s">
        <v>38</v>
      </c>
      <c r="U862" s="15" t="s">
        <v>67</v>
      </c>
      <c r="V862" s="15"/>
      <c r="W862" s="5" t="s">
        <v>340</v>
      </c>
      <c r="X862" s="5" t="s">
        <v>125</v>
      </c>
      <c r="Y862" s="5" t="s">
        <v>727</v>
      </c>
      <c r="Z862" s="5"/>
      <c r="AA862" s="26" t="s">
        <v>38</v>
      </c>
      <c r="AB862" s="45" t="s">
        <v>271</v>
      </c>
      <c r="AC862" s="8" t="s">
        <v>3541</v>
      </c>
      <c r="AD862" s="80" t="s">
        <v>96</v>
      </c>
      <c r="AE862" s="227"/>
    </row>
    <row r="863" spans="1:32" s="99" customFormat="1" ht="72.5">
      <c r="A863" s="1119"/>
      <c r="B863" s="147"/>
      <c r="C863" s="4" t="s">
        <v>45</v>
      </c>
      <c r="D863" s="32" t="s">
        <v>32</v>
      </c>
      <c r="E863" s="32"/>
      <c r="F863" s="32"/>
      <c r="G863" s="32"/>
      <c r="H863" s="5" t="s">
        <v>33</v>
      </c>
      <c r="I863" s="5" t="s">
        <v>47</v>
      </c>
      <c r="J863" s="16" t="s">
        <v>3542</v>
      </c>
      <c r="K863" s="16"/>
      <c r="L863" s="5" t="e">
        <f>IF(OR(S863=#REF!,S863=#REF!,S863=#REF!,S863=#REF!,S863=#REF!,S863=#REF!,S863=#REF!,S863=#REF!),12,IF(OR(S863=#REF!,S863=#REF!,S863=#REF!,S863=#REF!,S863=#REF!,S863=#REF!,S863=#REF!),3,IF(S863=#REF!,1,IF(S863=#REF!,18,IF(OR(S863=#REF!,S863=#REF!,S863=#REF!,S863=#REF!,S863=#REF!),14,"Invalid proposed procurement method")))))</f>
        <v>#REF!</v>
      </c>
      <c r="M863" s="199" t="str">
        <f>IFERROR(EDATE($N863,-3),"Invalid procurement method or date entered")</f>
        <v>Invalid procurement method or date entered</v>
      </c>
      <c r="N863" s="199" t="str">
        <f>IFERROR(EDATE(O863,-L863),"Invalid procurement method or date entered")</f>
        <v>Invalid procurement method or date entered</v>
      </c>
      <c r="O863" s="14">
        <v>44166</v>
      </c>
      <c r="P863" s="12">
        <v>12</v>
      </c>
      <c r="Q863" s="26">
        <v>12</v>
      </c>
      <c r="R863" s="18">
        <v>20000</v>
      </c>
      <c r="S863" s="31" t="s">
        <v>37</v>
      </c>
      <c r="T863" s="164" t="s">
        <v>38</v>
      </c>
      <c r="U863" s="15" t="s">
        <v>67</v>
      </c>
      <c r="V863" s="15"/>
      <c r="W863" s="5" t="s">
        <v>2960</v>
      </c>
      <c r="X863" s="5" t="s">
        <v>54</v>
      </c>
      <c r="Y863" s="5" t="s">
        <v>727</v>
      </c>
      <c r="Z863" s="5"/>
      <c r="AA863" s="5" t="s">
        <v>70</v>
      </c>
      <c r="AB863" s="199" t="s">
        <v>132</v>
      </c>
      <c r="AC863" s="8" t="s">
        <v>3543</v>
      </c>
      <c r="AD863" s="76" t="s">
        <v>165</v>
      </c>
      <c r="AE863" s="223"/>
      <c r="AF863" s="1"/>
    </row>
    <row r="864" spans="1:32" s="1" customFormat="1" ht="29.15" customHeight="1">
      <c r="A864" s="1184"/>
      <c r="B864" s="147" t="s">
        <v>44</v>
      </c>
      <c r="C864" s="4" t="s">
        <v>3001</v>
      </c>
      <c r="D864" s="31" t="s">
        <v>32</v>
      </c>
      <c r="E864" s="31"/>
      <c r="F864" s="31"/>
      <c r="G864" s="31"/>
      <c r="H864" s="5" t="s">
        <v>1670</v>
      </c>
      <c r="I864" s="5" t="s">
        <v>34</v>
      </c>
      <c r="J864" s="16" t="s">
        <v>3002</v>
      </c>
      <c r="K864" s="16"/>
      <c r="L864" s="16"/>
      <c r="M864" s="182">
        <v>43783</v>
      </c>
      <c r="N864" s="182"/>
      <c r="O864" s="182">
        <v>44166</v>
      </c>
      <c r="P864" s="2763">
        <v>24</v>
      </c>
      <c r="Q864" s="46" t="s">
        <v>523</v>
      </c>
      <c r="R864" s="18">
        <v>25000</v>
      </c>
      <c r="S864" s="130" t="s">
        <v>84</v>
      </c>
      <c r="T864" s="169" t="s">
        <v>38</v>
      </c>
      <c r="U864" s="4"/>
      <c r="V864" s="4"/>
      <c r="W864" s="5" t="s">
        <v>977</v>
      </c>
      <c r="X864" s="5" t="s">
        <v>283</v>
      </c>
      <c r="Y864" s="5" t="s">
        <v>115</v>
      </c>
      <c r="Z864" s="5"/>
      <c r="AA864" s="5"/>
      <c r="AB864" s="199"/>
      <c r="AC864" s="8"/>
      <c r="AE864" s="224"/>
    </row>
    <row r="865" spans="1:32" s="1" customFormat="1" ht="57.65" customHeight="1">
      <c r="A865" s="1184"/>
      <c r="B865" s="147" t="s">
        <v>44</v>
      </c>
      <c r="C865" s="4" t="s">
        <v>45</v>
      </c>
      <c r="D865" s="32" t="s">
        <v>32</v>
      </c>
      <c r="E865" s="32"/>
      <c r="F865" s="32"/>
      <c r="G865" s="32"/>
      <c r="H865" s="5" t="s">
        <v>33</v>
      </c>
      <c r="I865" s="5" t="s">
        <v>270</v>
      </c>
      <c r="J865" s="16" t="s">
        <v>3544</v>
      </c>
      <c r="K865" s="8"/>
      <c r="L865" s="5" t="e">
        <f>IF(OR(S865=#REF!,S865=#REF!,S865=#REF!,S865=#REF!,S865=#REF!,S865=#REF!,S865=#REF!,S865=#REF!),12,IF(OR(S865=#REF!,S865=#REF!,S865=#REF!,S865=#REF!,S865=#REF!,S865=#REF!,S865=#REF!),3,IF(S865=#REF!,1,IF(S865=#REF!,18,IF(OR(S865=#REF!,S865=#REF!,S865=#REF!,S865=#REF!,S865=#REF!),14,"Invalid proposed procurement method")))))</f>
        <v>#REF!</v>
      </c>
      <c r="M865" s="199" t="str">
        <f>IFERROR(EDATE($N865,-3),"Invalid procurement method or date entered")</f>
        <v>Invalid procurement method or date entered</v>
      </c>
      <c r="N865" s="199" t="str">
        <f>IFERROR(EDATE(O865,-L865),"Invalid procurement method or date entered")</f>
        <v>Invalid procurement method or date entered</v>
      </c>
      <c r="O865" s="14">
        <v>44166</v>
      </c>
      <c r="P865" s="12">
        <v>24</v>
      </c>
      <c r="Q865" s="26">
        <v>24</v>
      </c>
      <c r="R865" s="18" t="s">
        <v>60</v>
      </c>
      <c r="S865" s="5" t="s">
        <v>270</v>
      </c>
      <c r="T865" s="26" t="s">
        <v>38</v>
      </c>
      <c r="U865" s="12" t="s">
        <v>67</v>
      </c>
      <c r="V865" s="12"/>
      <c r="W865" s="5" t="s">
        <v>3545</v>
      </c>
      <c r="X865" s="5" t="s">
        <v>39</v>
      </c>
      <c r="Y865" s="5" t="s">
        <v>40</v>
      </c>
      <c r="Z865" s="5"/>
      <c r="AA865" s="26" t="s">
        <v>70</v>
      </c>
      <c r="AB865" s="45">
        <v>44221</v>
      </c>
      <c r="AC865" s="33" t="s">
        <v>3546</v>
      </c>
      <c r="AD865" s="80" t="s">
        <v>3125</v>
      </c>
      <c r="AE865" s="246"/>
    </row>
    <row r="866" spans="1:32" s="1" customFormat="1" ht="62.5">
      <c r="A866" s="1119"/>
      <c r="B866" s="958" t="s">
        <v>56</v>
      </c>
      <c r="C866" s="510" t="s">
        <v>3547</v>
      </c>
      <c r="D866" s="611" t="s">
        <v>57</v>
      </c>
      <c r="E866" s="611"/>
      <c r="F866" s="611"/>
      <c r="G866" s="611"/>
      <c r="H866" s="511" t="s">
        <v>58</v>
      </c>
      <c r="I866" s="519" t="s">
        <v>47</v>
      </c>
      <c r="J866" s="606" t="s">
        <v>3548</v>
      </c>
      <c r="K866" s="529"/>
      <c r="L866" s="529"/>
      <c r="M866" s="511">
        <v>1</v>
      </c>
      <c r="N866" s="514" t="str">
        <f>IF(O866="tbc","",(IFERROR(EDATE(#REF!,-3),"Invalid procurement method or date entered")))</f>
        <v>Invalid procurement method or date entered</v>
      </c>
      <c r="O866" s="514">
        <v>44166</v>
      </c>
      <c r="P866" s="536" t="s">
        <v>60</v>
      </c>
      <c r="Q866" s="536" t="s">
        <v>60</v>
      </c>
      <c r="R866" s="538">
        <v>60000</v>
      </c>
      <c r="S866" s="1048" t="s">
        <v>176</v>
      </c>
      <c r="T866" s="1013" t="s">
        <v>62</v>
      </c>
      <c r="U866" s="514">
        <v>43700</v>
      </c>
      <c r="V866" s="514"/>
      <c r="W866" s="519" t="s">
        <v>3063</v>
      </c>
      <c r="X866" s="120"/>
      <c r="Y866" s="120"/>
      <c r="Z866" s="120"/>
      <c r="AA866" s="120"/>
      <c r="AB866" s="120"/>
      <c r="AC866" s="120"/>
      <c r="AD866"/>
      <c r="AE866" s="186"/>
    </row>
    <row r="867" spans="1:32" s="1" customFormat="1" ht="93">
      <c r="A867" s="1184"/>
      <c r="B867" s="466"/>
      <c r="C867" s="259" t="s">
        <v>3549</v>
      </c>
      <c r="D867" s="260" t="s">
        <v>57</v>
      </c>
      <c r="E867" s="260"/>
      <c r="F867" s="260"/>
      <c r="G867" s="260"/>
      <c r="H867" s="261" t="s">
        <v>46</v>
      </c>
      <c r="I867" s="261" t="s">
        <v>47</v>
      </c>
      <c r="J867" s="1588" t="s">
        <v>3550</v>
      </c>
      <c r="K867" s="259"/>
      <c r="L867" s="261" t="e">
        <f>IF(OR(S867=#REF!,S867=#REF!,S867=#REF!,S867=#REF!,S867=#REF!,S867=#REF!,S867=#REF!,S867=#REF!),12,IF(OR(S867=#REF!,S867=#REF!,S867=#REF!,S867=#REF!,S867=#REF!,S867=#REF!,S867=#REF!),3,IF(S867=#REF!,1,IF(S867=#REF!,18,IF(OR(S867=#REF!,S867=#REF!,S867=#REF!,S867=#REF!,S867=#REF!),14,"Invalid proposed procurement method")))))</f>
        <v>#REF!</v>
      </c>
      <c r="M867" s="262" t="str">
        <f>IFERROR(EDATE($N867,-3),"Invalid procurement method or date entered")</f>
        <v>Invalid procurement method or date entered</v>
      </c>
      <c r="N867" s="262" t="str">
        <f>IFERROR(EDATE(O867,-L867),"Invalid procurement method or date entered")</f>
        <v>Invalid procurement method or date entered</v>
      </c>
      <c r="O867" s="262">
        <v>44173</v>
      </c>
      <c r="P867" s="263">
        <v>4</v>
      </c>
      <c r="Q867" s="263">
        <v>4</v>
      </c>
      <c r="R867" s="264">
        <v>35000</v>
      </c>
      <c r="S867" s="263" t="s">
        <v>176</v>
      </c>
      <c r="T867" s="474" t="s">
        <v>38</v>
      </c>
      <c r="U867" s="263" t="s">
        <v>67</v>
      </c>
      <c r="V867" s="263"/>
      <c r="W867" s="261" t="s">
        <v>3551</v>
      </c>
      <c r="X867" s="261" t="s">
        <v>94</v>
      </c>
      <c r="Y867" s="261" t="s">
        <v>727</v>
      </c>
      <c r="Z867" s="261"/>
      <c r="AA867" s="261" t="s">
        <v>70</v>
      </c>
      <c r="AB867" s="199" t="s">
        <v>41</v>
      </c>
      <c r="AC867" s="259" t="s">
        <v>3552</v>
      </c>
      <c r="AD867" s="494" t="s">
        <v>46</v>
      </c>
      <c r="AE867" s="265">
        <v>35000</v>
      </c>
    </row>
    <row r="868" spans="1:32" s="1" customFormat="1" ht="72.5">
      <c r="A868" s="1185"/>
      <c r="B868" s="60"/>
      <c r="C868" s="4" t="s">
        <v>3553</v>
      </c>
      <c r="D868" s="31" t="s">
        <v>32</v>
      </c>
      <c r="E868" s="31"/>
      <c r="F868" s="31"/>
      <c r="G868" s="31"/>
      <c r="H868" s="5" t="s">
        <v>33</v>
      </c>
      <c r="I868" s="5" t="s">
        <v>47</v>
      </c>
      <c r="J868" s="16" t="s">
        <v>3554</v>
      </c>
      <c r="K868" s="16"/>
      <c r="L868" s="5" t="e">
        <f>IF(OR(S868=#REF!,S868=#REF!,S868=#REF!,S868=#REF!,S868=#REF!,S868=#REF!,S868=#REF!,S868=#REF!),12,IF(OR(S868=#REF!,S868=#REF!,S868=#REF!,S868=#REF!,S868=#REF!,S868=#REF!,S868=#REF!),3,IF(S868=#REF!,1,IF(S868=#REF!,18,IF(OR(S868=#REF!,S868=#REF!,S868=#REF!,S868=#REF!,S868=#REF!),14,"Invalid proposed procurement method")))))</f>
        <v>#REF!</v>
      </c>
      <c r="M868" s="199" t="str">
        <f>IFERROR(EDATE($N868,-3),"Invalid procurement method or date entered")</f>
        <v>Invalid procurement method or date entered</v>
      </c>
      <c r="N868" s="199" t="str">
        <f>IFERROR(EDATE(O868,-L868),"Invalid procurement method or date entered")</f>
        <v>Invalid procurement method or date entered</v>
      </c>
      <c r="O868" s="182">
        <v>44174</v>
      </c>
      <c r="P868" s="12">
        <v>60</v>
      </c>
      <c r="Q868" s="7" t="s">
        <v>1871</v>
      </c>
      <c r="R868" s="18">
        <v>636804.12</v>
      </c>
      <c r="S868" s="199" t="s">
        <v>84</v>
      </c>
      <c r="T868" s="164" t="s">
        <v>70</v>
      </c>
      <c r="U868" s="182">
        <v>44172</v>
      </c>
      <c r="V868" s="182"/>
      <c r="W868" s="12" t="s">
        <v>440</v>
      </c>
      <c r="X868" s="5" t="s">
        <v>543</v>
      </c>
      <c r="Y868" s="5" t="s">
        <v>40</v>
      </c>
      <c r="Z868" s="5"/>
      <c r="AA868" s="12" t="s">
        <v>38</v>
      </c>
      <c r="AB868" s="199" t="s">
        <v>41</v>
      </c>
      <c r="AC868" s="8" t="s">
        <v>3555</v>
      </c>
      <c r="AD868" s="80" t="s">
        <v>3556</v>
      </c>
      <c r="AE868" s="224">
        <v>127360.82</v>
      </c>
    </row>
    <row r="869" spans="1:32" s="1" customFormat="1" ht="72.5">
      <c r="A869" s="1191"/>
      <c r="B869" s="336"/>
      <c r="C869" s="4"/>
      <c r="D869" s="31" t="s">
        <v>32</v>
      </c>
      <c r="E869" s="31"/>
      <c r="F869" s="31"/>
      <c r="G869" s="31"/>
      <c r="H869" s="5" t="s">
        <v>33</v>
      </c>
      <c r="I869" s="5" t="s">
        <v>47</v>
      </c>
      <c r="J869" s="16" t="s">
        <v>3010</v>
      </c>
      <c r="K869" s="8"/>
      <c r="L869" s="5" t="e">
        <f>IF(OR(S869=#REF!,S869=#REF!,S869=#REF!,S869=#REF!,S869=#REF!,S869=#REF!,S869=#REF!,S869=#REF!),12,IF(OR(S869=#REF!,S869=#REF!,S869=#REF!,S869=#REF!,S869=#REF!,S869=#REF!,S869=#REF!),3,IF(S869=#REF!,1,IF(S869=#REF!,18,IF(OR(S869=#REF!,S869=#REF!,S869=#REF!,S869=#REF!,S869=#REF!),14,"Invalid proposed procurement method")))))</f>
        <v>#REF!</v>
      </c>
      <c r="M869" s="199" t="str">
        <f>IFERROR(EDATE($N869,-3),"Invalid procurement method or date entered")</f>
        <v>Invalid procurement method or date entered</v>
      </c>
      <c r="N869" s="199" t="str">
        <f>IFERROR(EDATE(O869,-L869),"Invalid procurement method or date entered")</f>
        <v>Invalid procurement method or date entered</v>
      </c>
      <c r="O869" s="182">
        <v>44185</v>
      </c>
      <c r="P869" s="12">
        <v>12</v>
      </c>
      <c r="Q869" s="7" t="s">
        <v>50</v>
      </c>
      <c r="R869" s="41">
        <v>5000</v>
      </c>
      <c r="S869" s="5" t="s">
        <v>37</v>
      </c>
      <c r="T869" s="163" t="s">
        <v>38</v>
      </c>
      <c r="U869" s="71" t="s">
        <v>67</v>
      </c>
      <c r="V869" s="71"/>
      <c r="W869" s="5" t="s">
        <v>383</v>
      </c>
      <c r="X869" s="5" t="s">
        <v>45</v>
      </c>
      <c r="Y869" s="5" t="s">
        <v>115</v>
      </c>
      <c r="Z869" s="5"/>
      <c r="AA869" s="5" t="s">
        <v>70</v>
      </c>
      <c r="AB869" s="199" t="s">
        <v>41</v>
      </c>
      <c r="AC869" s="8" t="s">
        <v>2587</v>
      </c>
      <c r="AD869" s="76" t="s">
        <v>2339</v>
      </c>
      <c r="AE869" s="164"/>
    </row>
    <row r="870" spans="1:32" s="1" customFormat="1">
      <c r="A870" s="1648">
        <v>44974</v>
      </c>
      <c r="B870" s="1569" t="s">
        <v>1168</v>
      </c>
      <c r="C870" s="1664" t="s">
        <v>3557</v>
      </c>
      <c r="D870" s="1570" t="s">
        <v>1243</v>
      </c>
      <c r="E870" s="1569" t="s">
        <v>1168</v>
      </c>
      <c r="F870" s="1569" t="s">
        <v>1170</v>
      </c>
      <c r="G870" s="1569" t="s">
        <v>1170</v>
      </c>
      <c r="H870" s="1655" t="s">
        <v>1170</v>
      </c>
      <c r="I870" s="1655" t="s">
        <v>1170</v>
      </c>
      <c r="J870" s="1698" t="s">
        <v>3558</v>
      </c>
      <c r="K870" s="1664" t="s">
        <v>3559</v>
      </c>
      <c r="L870" s="1655" t="s">
        <v>1170</v>
      </c>
      <c r="M870" s="1655" t="s">
        <v>1170</v>
      </c>
      <c r="N870" s="1655" t="s">
        <v>1170</v>
      </c>
      <c r="O870" s="1755">
        <v>44187</v>
      </c>
      <c r="P870" s="1755">
        <v>44551</v>
      </c>
      <c r="Q870" s="1667" t="s">
        <v>3560</v>
      </c>
      <c r="R870" s="1805">
        <v>56597</v>
      </c>
      <c r="S870" s="1570" t="s">
        <v>3561</v>
      </c>
      <c r="T870" s="1842" t="s">
        <v>1170</v>
      </c>
      <c r="U870" s="1655" t="s">
        <v>1170</v>
      </c>
      <c r="V870" s="1655"/>
      <c r="W870" s="1664" t="s">
        <v>3562</v>
      </c>
      <c r="X870" s="1664" t="s">
        <v>1175</v>
      </c>
      <c r="Y870" s="1664" t="s">
        <v>251</v>
      </c>
      <c r="Z870" s="1655" t="s">
        <v>1170</v>
      </c>
      <c r="AA870" s="1655" t="s">
        <v>1170</v>
      </c>
      <c r="AB870" s="1655" t="s">
        <v>1170</v>
      </c>
      <c r="AC870" s="1698" t="s">
        <v>3563</v>
      </c>
      <c r="AD870" s="1657" t="s">
        <v>1170</v>
      </c>
      <c r="AE870" s="1934">
        <v>56597</v>
      </c>
      <c r="AF870"/>
    </row>
    <row r="871" spans="1:32" s="1" customFormat="1">
      <c r="A871" s="1648">
        <v>44974</v>
      </c>
      <c r="B871" s="1569" t="s">
        <v>1168</v>
      </c>
      <c r="C871" s="1664" t="s">
        <v>3557</v>
      </c>
      <c r="D871" s="1570" t="s">
        <v>1254</v>
      </c>
      <c r="E871" s="1569" t="s">
        <v>1168</v>
      </c>
      <c r="F871" s="1569" t="s">
        <v>1170</v>
      </c>
      <c r="G871" s="1569" t="s">
        <v>1170</v>
      </c>
      <c r="H871" s="1655" t="s">
        <v>1170</v>
      </c>
      <c r="I871" s="1655" t="s">
        <v>1170</v>
      </c>
      <c r="J871" s="1698" t="s">
        <v>3564</v>
      </c>
      <c r="K871" s="1664" t="s">
        <v>3565</v>
      </c>
      <c r="L871" s="1655" t="s">
        <v>1170</v>
      </c>
      <c r="M871" s="1655" t="s">
        <v>1170</v>
      </c>
      <c r="N871" s="1655" t="s">
        <v>1170</v>
      </c>
      <c r="O871" s="1755">
        <v>44187</v>
      </c>
      <c r="P871" s="1755">
        <v>44551</v>
      </c>
      <c r="Q871" s="1664" t="s">
        <v>3560</v>
      </c>
      <c r="R871" s="1805">
        <v>83016</v>
      </c>
      <c r="S871" s="1664" t="s">
        <v>3561</v>
      </c>
      <c r="T871" s="1842" t="s">
        <v>1170</v>
      </c>
      <c r="U871" s="1655" t="s">
        <v>1170</v>
      </c>
      <c r="V871" s="1655"/>
      <c r="W871" s="1664" t="s">
        <v>3562</v>
      </c>
      <c r="X871" s="1664" t="s">
        <v>1175</v>
      </c>
      <c r="Y871" s="1664" t="s">
        <v>251</v>
      </c>
      <c r="Z871" s="1655" t="s">
        <v>1170</v>
      </c>
      <c r="AA871" s="1655" t="s">
        <v>1170</v>
      </c>
      <c r="AB871" s="1655" t="s">
        <v>1170</v>
      </c>
      <c r="AC871" s="1698" t="s">
        <v>3563</v>
      </c>
      <c r="AD871" s="1657" t="s">
        <v>1170</v>
      </c>
      <c r="AE871" s="1934">
        <v>83016</v>
      </c>
      <c r="AF871"/>
    </row>
    <row r="872" spans="1:32" s="1" customFormat="1" ht="188.5">
      <c r="A872" s="1119"/>
      <c r="B872" s="336"/>
      <c r="C872" s="2758" t="s">
        <v>3566</v>
      </c>
      <c r="D872" s="31" t="s">
        <v>32</v>
      </c>
      <c r="E872" s="31"/>
      <c r="F872" s="31"/>
      <c r="G872" s="31"/>
      <c r="H872" s="5" t="s">
        <v>127</v>
      </c>
      <c r="I872" s="5" t="s">
        <v>34</v>
      </c>
      <c r="J872" s="16" t="s">
        <v>3014</v>
      </c>
      <c r="K872" s="16"/>
      <c r="L872" s="5" t="e">
        <f>IF(OR(S872=#REF!,S872=#REF!,S872=#REF!,S872=#REF!,S872=#REF!,S872=#REF!,S872=#REF!,S872=#REF!),12,IF(OR(S872=#REF!,S872=#REF!,S872=#REF!,S872=#REF!,S872=#REF!,S872=#REF!,S872=#REF!),3,IF(S872=#REF!,1,IF(S872=#REF!,18,IF(OR(S872=#REF!,S872=#REF!,S872=#REF!,S872=#REF!,S872=#REF!),14,"Invalid proposed procurement method")))))</f>
        <v>#REF!</v>
      </c>
      <c r="M872" s="199" t="str">
        <f>IFERROR(EDATE($N872,-3),"Invalid procurement method or date entered")</f>
        <v>Invalid procurement method or date entered</v>
      </c>
      <c r="N872" s="199" t="str">
        <f>IFERROR(EDATE(O872,-L872),"Invalid procurement method or date entered")</f>
        <v>Invalid procurement method or date entered</v>
      </c>
      <c r="O872" s="182">
        <v>44189</v>
      </c>
      <c r="P872" s="12">
        <v>18</v>
      </c>
      <c r="Q872" s="27" t="s">
        <v>3567</v>
      </c>
      <c r="R872" s="18">
        <v>126000</v>
      </c>
      <c r="S872" s="31" t="s">
        <v>130</v>
      </c>
      <c r="T872" s="171" t="s">
        <v>62</v>
      </c>
      <c r="U872" s="51" t="s">
        <v>67</v>
      </c>
      <c r="V872" s="51"/>
      <c r="W872" s="12" t="s">
        <v>3015</v>
      </c>
      <c r="X872" s="5" t="s">
        <v>39</v>
      </c>
      <c r="Y872" s="5" t="s">
        <v>40</v>
      </c>
      <c r="Z872" s="5"/>
      <c r="AA872" s="5" t="s">
        <v>70</v>
      </c>
      <c r="AB872" s="199" t="s">
        <v>132</v>
      </c>
      <c r="AC872" s="8" t="s">
        <v>3568</v>
      </c>
      <c r="AD872" s="76" t="s">
        <v>127</v>
      </c>
      <c r="AE872" s="224" t="s">
        <v>3569</v>
      </c>
    </row>
    <row r="873" spans="1:32" s="1" customFormat="1" ht="25">
      <c r="A873" s="1119"/>
      <c r="B873" s="958" t="s">
        <v>56</v>
      </c>
      <c r="C873" s="521" t="s">
        <v>60</v>
      </c>
      <c r="D873" s="611" t="s">
        <v>32</v>
      </c>
      <c r="E873" s="611"/>
      <c r="F873" s="611"/>
      <c r="G873" s="611"/>
      <c r="H873" s="511" t="s">
        <v>3570</v>
      </c>
      <c r="I873" s="511" t="s">
        <v>34</v>
      </c>
      <c r="J873" s="1589" t="s">
        <v>3571</v>
      </c>
      <c r="K873" s="630"/>
      <c r="L873" s="631">
        <v>44075</v>
      </c>
      <c r="M873" s="631"/>
      <c r="N873" s="631"/>
      <c r="O873" s="631">
        <v>44189</v>
      </c>
      <c r="P873" s="521">
        <v>12</v>
      </c>
      <c r="Q873" s="241">
        <v>12</v>
      </c>
      <c r="R873" s="521" t="s">
        <v>60</v>
      </c>
      <c r="S873" s="1036" t="s">
        <v>34</v>
      </c>
      <c r="T873" s="241" t="s">
        <v>60</v>
      </c>
      <c r="U873" s="521" t="s">
        <v>60</v>
      </c>
      <c r="V873" s="521"/>
      <c r="W873" s="529" t="s">
        <v>2690</v>
      </c>
      <c r="X873" s="120"/>
      <c r="Y873" s="120"/>
      <c r="Z873" s="120"/>
      <c r="AA873" s="120"/>
      <c r="AB873" s="120"/>
      <c r="AC873" s="120"/>
      <c r="AD873"/>
      <c r="AE873" s="186"/>
      <c r="AF873" s="3"/>
    </row>
    <row r="874" spans="1:32" s="3" customFormat="1" ht="72" customHeight="1">
      <c r="A874" s="1185"/>
      <c r="B874" s="60"/>
      <c r="C874" s="4" t="s">
        <v>45</v>
      </c>
      <c r="D874" s="32" t="s">
        <v>32</v>
      </c>
      <c r="E874" s="32"/>
      <c r="F874" s="32"/>
      <c r="G874" s="32"/>
      <c r="H874" s="5" t="s">
        <v>33</v>
      </c>
      <c r="I874" s="12" t="s">
        <v>47</v>
      </c>
      <c r="J874" s="16" t="s">
        <v>2362</v>
      </c>
      <c r="K874" s="16"/>
      <c r="L874" s="5" t="e">
        <f>IF(OR(S874=#REF!,S874=#REF!,S874=#REF!,S874=#REF!,S874=#REF!,S874=#REF!,S874=#REF!,S874=#REF!),12,IF(OR(S874=#REF!,S874=#REF!,S874=#REF!,S874=#REF!,S874=#REF!,S874=#REF!,S874=#REF!),3,IF(S874=#REF!,1,IF(S874=#REF!,18,IF(OR(S874=#REF!,S874=#REF!,S874=#REF!,S874=#REF!,S874=#REF!),14,"Invalid proposed procurement method")))))</f>
        <v>#REF!</v>
      </c>
      <c r="M874" s="199" t="str">
        <f t="shared" ref="M874:M879" si="0">IFERROR(EDATE($N874,-3),"Invalid procurement method or date entered")</f>
        <v>Invalid procurement method or date entered</v>
      </c>
      <c r="N874" s="199" t="str">
        <f t="shared" ref="N874:N879" si="1">IFERROR(EDATE(O874,-L874),"Invalid procurement method or date entered")</f>
        <v>Invalid procurement method or date entered</v>
      </c>
      <c r="O874" s="182">
        <v>44194</v>
      </c>
      <c r="P874" s="12">
        <v>24</v>
      </c>
      <c r="Q874" s="25" t="s">
        <v>391</v>
      </c>
      <c r="R874" s="18">
        <v>6024</v>
      </c>
      <c r="S874" s="31" t="s">
        <v>176</v>
      </c>
      <c r="T874" s="26" t="s">
        <v>38</v>
      </c>
      <c r="U874" s="11" t="s">
        <v>67</v>
      </c>
      <c r="V874" s="11"/>
      <c r="W874" s="12" t="s">
        <v>262</v>
      </c>
      <c r="X874" s="5" t="s">
        <v>54</v>
      </c>
      <c r="Y874" s="5" t="s">
        <v>115</v>
      </c>
      <c r="Z874" s="5"/>
      <c r="AA874" s="5" t="s">
        <v>70</v>
      </c>
      <c r="AB874" s="199" t="s">
        <v>132</v>
      </c>
      <c r="AC874" s="2873" t="s">
        <v>3572</v>
      </c>
      <c r="AD874" s="80" t="s">
        <v>3573</v>
      </c>
      <c r="AE874" s="224">
        <v>6325</v>
      </c>
      <c r="AF874" s="1"/>
    </row>
    <row r="875" spans="1:32" s="3" customFormat="1" ht="43.4" customHeight="1">
      <c r="A875" s="1119"/>
      <c r="B875" s="60"/>
      <c r="C875" s="4" t="s">
        <v>45</v>
      </c>
      <c r="D875" s="32" t="s">
        <v>32</v>
      </c>
      <c r="E875" s="32"/>
      <c r="F875" s="32"/>
      <c r="G875" s="32"/>
      <c r="H875" s="5" t="s">
        <v>33</v>
      </c>
      <c r="I875" s="5" t="s">
        <v>47</v>
      </c>
      <c r="J875" s="16" t="s">
        <v>3574</v>
      </c>
      <c r="K875" s="8"/>
      <c r="L875" s="5" t="e">
        <f>IF(OR(S875=#REF!,S875=#REF!,S875=#REF!,S875=#REF!,S875=#REF!,S875=#REF!,S875=#REF!,S875=#REF!),12,IF(OR(S875=#REF!,S875=#REF!,S875=#REF!,S875=#REF!,S875=#REF!,S875=#REF!,S875=#REF!),3,IF(S875=#REF!,1,IF(S875=#REF!,18,IF(OR(S875=#REF!,S875=#REF!,S875=#REF!,S875=#REF!,S875=#REF!),14,"Invalid proposed procurement method")))))</f>
        <v>#REF!</v>
      </c>
      <c r="M875" s="199" t="str">
        <f t="shared" si="0"/>
        <v>Invalid procurement method or date entered</v>
      </c>
      <c r="N875" s="199" t="str">
        <f t="shared" si="1"/>
        <v>Invalid procurement method or date entered</v>
      </c>
      <c r="O875" s="14">
        <v>44196</v>
      </c>
      <c r="P875" s="12">
        <v>12</v>
      </c>
      <c r="Q875" s="26">
        <v>12</v>
      </c>
      <c r="R875" s="18">
        <v>15000</v>
      </c>
      <c r="S875" s="31" t="s">
        <v>84</v>
      </c>
      <c r="T875" s="26" t="s">
        <v>38</v>
      </c>
      <c r="U875" s="12" t="s">
        <v>67</v>
      </c>
      <c r="V875" s="12"/>
      <c r="W875" s="5" t="s">
        <v>3575</v>
      </c>
      <c r="X875" s="5" t="s">
        <v>54</v>
      </c>
      <c r="Y875" s="5" t="s">
        <v>727</v>
      </c>
      <c r="Z875" s="5"/>
      <c r="AA875" s="5" t="s">
        <v>70</v>
      </c>
      <c r="AB875" s="199" t="s">
        <v>132</v>
      </c>
      <c r="AC875" s="33" t="s">
        <v>3576</v>
      </c>
      <c r="AD875" s="80" t="s">
        <v>3125</v>
      </c>
      <c r="AE875" s="246"/>
      <c r="AF875" s="1"/>
    </row>
    <row r="876" spans="1:32" s="1" customFormat="1" ht="72.5">
      <c r="A876" s="1185"/>
      <c r="B876" s="60"/>
      <c r="C876" s="2755" t="s">
        <v>3577</v>
      </c>
      <c r="D876" s="31" t="s">
        <v>32</v>
      </c>
      <c r="E876" s="31"/>
      <c r="F876" s="31"/>
      <c r="G876" s="31"/>
      <c r="H876" s="5" t="s">
        <v>127</v>
      </c>
      <c r="I876" s="2789" t="s">
        <v>47</v>
      </c>
      <c r="J876" s="2872" t="s">
        <v>3578</v>
      </c>
      <c r="K876" s="2873"/>
      <c r="L876" s="5" t="e">
        <f>IF(OR(S876=#REF!,S876=#REF!,S876=#REF!,S876=#REF!,S876=#REF!,S876=#REF!,S876=#REF!,S876=#REF!),12,IF(OR(S876=#REF!,S876=#REF!,S876=#REF!,S876=#REF!,S876=#REF!,S876=#REF!,S876=#REF!),3,IF(S876=#REF!,1,IF(S876=#REF!,18,IF(OR(S876=#REF!,S876=#REF!,S876=#REF!,S876=#REF!,S876=#REF!),14,"Invalid proposed procurement method")))))</f>
        <v>#REF!</v>
      </c>
      <c r="M876" s="199" t="str">
        <f t="shared" si="0"/>
        <v>Invalid procurement method or date entered</v>
      </c>
      <c r="N876" s="199" t="str">
        <f t="shared" si="1"/>
        <v>Invalid procurement method or date entered</v>
      </c>
      <c r="O876" s="182">
        <v>44197</v>
      </c>
      <c r="P876" s="2789">
        <v>84</v>
      </c>
      <c r="Q876" s="2789" t="s">
        <v>3579</v>
      </c>
      <c r="R876" s="18">
        <v>700000</v>
      </c>
      <c r="S876" s="2797" t="s">
        <v>91</v>
      </c>
      <c r="T876" s="26" t="s">
        <v>62</v>
      </c>
      <c r="U876" s="12" t="s">
        <v>67</v>
      </c>
      <c r="V876" s="12"/>
      <c r="W876" s="2789" t="s">
        <v>425</v>
      </c>
      <c r="X876" s="46" t="s">
        <v>254</v>
      </c>
      <c r="Y876" s="5" t="s">
        <v>40</v>
      </c>
      <c r="Z876" s="5" t="s">
        <v>87</v>
      </c>
      <c r="AA876" s="5" t="s">
        <v>38</v>
      </c>
      <c r="AB876" s="199" t="s">
        <v>271</v>
      </c>
      <c r="AC876" s="8" t="s">
        <v>3580</v>
      </c>
      <c r="AD876" s="76" t="s">
        <v>127</v>
      </c>
      <c r="AE876" s="224">
        <v>100000</v>
      </c>
      <c r="AF876" s="3"/>
    </row>
    <row r="877" spans="1:32" s="1" customFormat="1" ht="43.4" customHeight="1">
      <c r="A877" s="1119"/>
      <c r="B877" s="147"/>
      <c r="C877" s="4" t="s">
        <v>3581</v>
      </c>
      <c r="D877" s="31" t="s">
        <v>32</v>
      </c>
      <c r="E877" s="31"/>
      <c r="F877" s="31"/>
      <c r="G877" s="31"/>
      <c r="H877" s="5" t="s">
        <v>33</v>
      </c>
      <c r="I877" s="5" t="s">
        <v>47</v>
      </c>
      <c r="J877" s="16" t="s">
        <v>3582</v>
      </c>
      <c r="K877" s="8"/>
      <c r="L877" s="5" t="e">
        <f>IF(OR(S877=#REF!,S877=#REF!,S877=#REF!,S877=#REF!,S877=#REF!,S877=#REF!,S877=#REF!,S877=#REF!),12,IF(OR(S877=#REF!,S877=#REF!,S877=#REF!,S877=#REF!,S877=#REF!,S877=#REF!,S877=#REF!),3,IF(S877=#REF!,1,IF(S877=#REF!,18,IF(OR(S877=#REF!,S877=#REF!,S877=#REF!,S877=#REF!,S877=#REF!),14,"Invalid proposed procurement method")))))</f>
        <v>#REF!</v>
      </c>
      <c r="M877" s="199" t="str">
        <f t="shared" si="0"/>
        <v>Invalid procurement method or date entered</v>
      </c>
      <c r="N877" s="199" t="str">
        <f t="shared" si="1"/>
        <v>Invalid procurement method or date entered</v>
      </c>
      <c r="O877" s="182">
        <v>44197</v>
      </c>
      <c r="P877" s="12">
        <v>36</v>
      </c>
      <c r="Q877" s="25" t="s">
        <v>98</v>
      </c>
      <c r="R877" s="41">
        <v>285138</v>
      </c>
      <c r="S877" s="1814" t="s">
        <v>84</v>
      </c>
      <c r="T877" s="168" t="s">
        <v>62</v>
      </c>
      <c r="U877" s="47" t="s">
        <v>67</v>
      </c>
      <c r="V877" s="47"/>
      <c r="W877" s="5" t="s">
        <v>440</v>
      </c>
      <c r="X877" s="5" t="s">
        <v>543</v>
      </c>
      <c r="Y877" s="5" t="s">
        <v>727</v>
      </c>
      <c r="Z877" s="5"/>
      <c r="AA877" s="12" t="s">
        <v>38</v>
      </c>
      <c r="AB877" s="199" t="s">
        <v>132</v>
      </c>
      <c r="AC877" s="8" t="s">
        <v>3583</v>
      </c>
      <c r="AD877" s="80" t="s">
        <v>3556</v>
      </c>
      <c r="AE877" s="164"/>
    </row>
    <row r="878" spans="1:32" s="1" customFormat="1" ht="101.15" customHeight="1">
      <c r="A878" s="1119"/>
      <c r="B878" s="147"/>
      <c r="C878" s="4" t="s">
        <v>45</v>
      </c>
      <c r="D878" s="32" t="s">
        <v>32</v>
      </c>
      <c r="E878" s="32"/>
      <c r="F878" s="32"/>
      <c r="G878" s="32"/>
      <c r="H878" s="5" t="s">
        <v>127</v>
      </c>
      <c r="I878" s="12" t="s">
        <v>47</v>
      </c>
      <c r="J878" s="16" t="s">
        <v>3584</v>
      </c>
      <c r="K878" s="16"/>
      <c r="L878" s="5" t="e">
        <f>IF(OR(S878=#REF!,S878=#REF!,S878=#REF!,S878=#REF!,S878=#REF!,S878=#REF!,S878=#REF!,S878=#REF!),12,IF(OR(S878=#REF!,S878=#REF!,S878=#REF!,S878=#REF!,S878=#REF!,S878=#REF!,S878=#REF!),3,IF(S878=#REF!,1,IF(S878=#REF!,18,IF(OR(S878=#REF!,S878=#REF!,S878=#REF!,S878=#REF!,S878=#REF!),14,"Invalid proposed procurement method")))))</f>
        <v>#REF!</v>
      </c>
      <c r="M878" s="199" t="str">
        <f t="shared" si="0"/>
        <v>Invalid procurement method or date entered</v>
      </c>
      <c r="N878" s="199" t="str">
        <f t="shared" si="1"/>
        <v>Invalid procurement method or date entered</v>
      </c>
      <c r="O878" s="182">
        <v>44197</v>
      </c>
      <c r="P878" s="12">
        <v>24</v>
      </c>
      <c r="Q878" s="25" t="s">
        <v>391</v>
      </c>
      <c r="R878" s="18">
        <v>20000</v>
      </c>
      <c r="S878" s="5" t="s">
        <v>176</v>
      </c>
      <c r="T878" s="26" t="s">
        <v>38</v>
      </c>
      <c r="U878" s="11" t="s">
        <v>67</v>
      </c>
      <c r="V878" s="11"/>
      <c r="W878" s="5" t="s">
        <v>3015</v>
      </c>
      <c r="X878" s="5" t="s">
        <v>784</v>
      </c>
      <c r="Y878" s="5" t="s">
        <v>115</v>
      </c>
      <c r="Z878" s="5"/>
      <c r="AA878" s="7" t="s">
        <v>38</v>
      </c>
      <c r="AB878" s="199" t="s">
        <v>132</v>
      </c>
      <c r="AC878" s="117" t="s">
        <v>3585</v>
      </c>
      <c r="AD878" s="76" t="s">
        <v>127</v>
      </c>
      <c r="AE878" s="164">
        <v>10000</v>
      </c>
    </row>
    <row r="879" spans="1:32" s="1" customFormat="1" ht="115.4" customHeight="1">
      <c r="A879" s="1119"/>
      <c r="B879" s="2784"/>
      <c r="C879" s="4" t="s">
        <v>3586</v>
      </c>
      <c r="D879" s="32" t="s">
        <v>32</v>
      </c>
      <c r="E879" s="32"/>
      <c r="F879" s="32"/>
      <c r="G879" s="32"/>
      <c r="H879" s="5" t="s">
        <v>480</v>
      </c>
      <c r="I879" s="5" t="s">
        <v>47</v>
      </c>
      <c r="J879" s="16" t="s">
        <v>481</v>
      </c>
      <c r="K879" s="8"/>
      <c r="L879" s="5" t="e">
        <f>IF(OR(S879=#REF!,S879=#REF!,S879=#REF!,S879=#REF!,S879=#REF!,S879=#REF!,S879=#REF!,S879=#REF!),12,IF(OR(S879=#REF!,S879=#REF!,S879=#REF!,S879=#REF!,S879=#REF!,S879=#REF!,S879=#REF!),3,IF(S879=#REF!,1,IF(S879=#REF!,18,IF(OR(S879=#REF!,S879=#REF!,S879=#REF!,S879=#REF!,S879=#REF!),14,"Invalid proposed procurement method")))))</f>
        <v>#REF!</v>
      </c>
      <c r="M879" s="199" t="str">
        <f t="shared" si="0"/>
        <v>Invalid procurement method or date entered</v>
      </c>
      <c r="N879" s="199" t="str">
        <f t="shared" si="1"/>
        <v>Invalid procurement method or date entered</v>
      </c>
      <c r="O879" s="14">
        <v>44197</v>
      </c>
      <c r="P879" s="5">
        <v>60</v>
      </c>
      <c r="Q879" s="7" t="s">
        <v>3587</v>
      </c>
      <c r="R879" s="18">
        <v>130000</v>
      </c>
      <c r="S879" s="2797" t="s">
        <v>84</v>
      </c>
      <c r="T879" s="171" t="s">
        <v>62</v>
      </c>
      <c r="U879" s="51" t="s">
        <v>67</v>
      </c>
      <c r="V879" s="51"/>
      <c r="W879" s="5" t="s">
        <v>483</v>
      </c>
      <c r="X879" s="5" t="s">
        <v>3588</v>
      </c>
      <c r="Y879" s="5" t="s">
        <v>727</v>
      </c>
      <c r="Z879" s="5" t="s">
        <v>69</v>
      </c>
      <c r="AA879" s="5" t="s">
        <v>38</v>
      </c>
      <c r="AB879" s="199">
        <v>44431</v>
      </c>
      <c r="AC879" s="8" t="s">
        <v>3589</v>
      </c>
      <c r="AD879" s="76" t="s">
        <v>127</v>
      </c>
      <c r="AE879" s="224">
        <v>26000</v>
      </c>
    </row>
    <row r="880" spans="1:32" s="1" customFormat="1" ht="43.4" customHeight="1">
      <c r="A880" s="1184"/>
      <c r="B880" s="147" t="s">
        <v>44</v>
      </c>
      <c r="C880" s="4"/>
      <c r="D880" s="118" t="s">
        <v>32</v>
      </c>
      <c r="E880" s="118"/>
      <c r="F880" s="118"/>
      <c r="G880" s="118"/>
      <c r="H880" s="5" t="s">
        <v>1837</v>
      </c>
      <c r="I880" s="5" t="s">
        <v>34</v>
      </c>
      <c r="J880" s="16" t="s">
        <v>3590</v>
      </c>
      <c r="K880" s="8"/>
      <c r="L880" s="8"/>
      <c r="M880" s="182">
        <v>43466</v>
      </c>
      <c r="N880" s="182"/>
      <c r="O880" s="182">
        <v>44197</v>
      </c>
      <c r="P880" s="12">
        <v>48</v>
      </c>
      <c r="Q880" s="25" t="s">
        <v>2996</v>
      </c>
      <c r="R880" s="18">
        <v>1000000</v>
      </c>
      <c r="S880" s="31" t="s">
        <v>130</v>
      </c>
      <c r="T880" s="163" t="s">
        <v>38</v>
      </c>
      <c r="U880" s="4"/>
      <c r="V880" s="4"/>
      <c r="W880" s="5" t="s">
        <v>3591</v>
      </c>
      <c r="X880" s="5" t="s">
        <v>413</v>
      </c>
      <c r="Y880" s="5" t="s">
        <v>40</v>
      </c>
      <c r="Z880" s="5"/>
      <c r="AA880" s="5"/>
      <c r="AB880" s="199">
        <v>43658</v>
      </c>
      <c r="AC880" s="8" t="s">
        <v>3592</v>
      </c>
      <c r="AE880" s="224"/>
    </row>
    <row r="881" spans="1:32" s="3" customFormat="1" ht="101.15" customHeight="1">
      <c r="A881" s="1119"/>
      <c r="B881" s="958" t="s">
        <v>56</v>
      </c>
      <c r="C881" s="968" t="s">
        <v>3593</v>
      </c>
      <c r="D881" s="529" t="s">
        <v>57</v>
      </c>
      <c r="E881" s="529"/>
      <c r="F881" s="529"/>
      <c r="G881" s="529"/>
      <c r="H881" s="529" t="s">
        <v>58</v>
      </c>
      <c r="I881" s="512" t="s">
        <v>47</v>
      </c>
      <c r="J881" s="1578" t="s">
        <v>3594</v>
      </c>
      <c r="K881" s="512"/>
      <c r="L881" s="512"/>
      <c r="M881" s="512"/>
      <c r="N881" s="512"/>
      <c r="O881" s="609">
        <v>44197</v>
      </c>
      <c r="P881" s="511">
        <v>3</v>
      </c>
      <c r="Q881" s="1020"/>
      <c r="R881" s="667">
        <v>185000</v>
      </c>
      <c r="S881" s="1043" t="s">
        <v>61</v>
      </c>
      <c r="T881" s="1059" t="s">
        <v>38</v>
      </c>
      <c r="U881" s="667" t="s">
        <v>71</v>
      </c>
      <c r="V881" s="667"/>
      <c r="W881" s="512" t="s">
        <v>840</v>
      </c>
      <c r="X881" s="120"/>
      <c r="Y881" s="120"/>
      <c r="Z881" s="120"/>
      <c r="AA881" s="186"/>
      <c r="AB881" s="186"/>
      <c r="AC881" s="120"/>
      <c r="AD881"/>
      <c r="AE881" s="186"/>
      <c r="AF881" s="1"/>
    </row>
    <row r="882" spans="1:32" s="1" customFormat="1" ht="43.4" customHeight="1">
      <c r="A882" s="1648">
        <v>44974</v>
      </c>
      <c r="B882" s="1569" t="s">
        <v>1168</v>
      </c>
      <c r="C882" s="1664" t="s">
        <v>3595</v>
      </c>
      <c r="D882" s="1570" t="s">
        <v>1506</v>
      </c>
      <c r="E882" s="1569" t="s">
        <v>1168</v>
      </c>
      <c r="F882" s="1569" t="s">
        <v>1170</v>
      </c>
      <c r="G882" s="1569" t="s">
        <v>1170</v>
      </c>
      <c r="H882" s="1655" t="s">
        <v>1170</v>
      </c>
      <c r="I882" s="1655" t="s">
        <v>1170</v>
      </c>
      <c r="J882" s="1698" t="s">
        <v>3596</v>
      </c>
      <c r="K882" s="1664" t="s">
        <v>3597</v>
      </c>
      <c r="L882" s="1655" t="s">
        <v>1170</v>
      </c>
      <c r="M882" s="1655" t="s">
        <v>1170</v>
      </c>
      <c r="N882" s="1655" t="s">
        <v>1170</v>
      </c>
      <c r="O882" s="1755">
        <v>44197</v>
      </c>
      <c r="P882" s="1755">
        <v>44926</v>
      </c>
      <c r="Q882" s="1755">
        <v>45657</v>
      </c>
      <c r="R882" s="1805">
        <v>117000</v>
      </c>
      <c r="S882" s="1664" t="s">
        <v>1621</v>
      </c>
      <c r="T882" s="1842" t="s">
        <v>1170</v>
      </c>
      <c r="U882" s="1655" t="s">
        <v>1170</v>
      </c>
      <c r="V882" s="1655"/>
      <c r="W882" s="1664" t="s">
        <v>3360</v>
      </c>
      <c r="X882" s="1664" t="s">
        <v>1175</v>
      </c>
      <c r="Y882" s="1664" t="s">
        <v>251</v>
      </c>
      <c r="Z882" s="1655" t="s">
        <v>1170</v>
      </c>
      <c r="AA882" s="1655" t="s">
        <v>1170</v>
      </c>
      <c r="AB882" s="1655" t="s">
        <v>1170</v>
      </c>
      <c r="AC882" s="1698" t="s">
        <v>3598</v>
      </c>
      <c r="AD882" s="1657" t="s">
        <v>1170</v>
      </c>
      <c r="AE882" s="1934">
        <v>117000</v>
      </c>
      <c r="AF882"/>
    </row>
    <row r="883" spans="1:32" s="1" customFormat="1">
      <c r="A883" s="1648">
        <v>44974</v>
      </c>
      <c r="B883" s="1569" t="s">
        <v>1168</v>
      </c>
      <c r="C883" s="1664" t="s">
        <v>3599</v>
      </c>
      <c r="D883" s="1570" t="s">
        <v>1506</v>
      </c>
      <c r="E883" s="1569" t="s">
        <v>1168</v>
      </c>
      <c r="F883" s="1569" t="s">
        <v>1170</v>
      </c>
      <c r="G883" s="1569" t="s">
        <v>1170</v>
      </c>
      <c r="H883" s="1655" t="s">
        <v>1170</v>
      </c>
      <c r="I883" s="1655" t="s">
        <v>1170</v>
      </c>
      <c r="J883" s="1698" t="s">
        <v>3596</v>
      </c>
      <c r="K883" s="1664" t="s">
        <v>3597</v>
      </c>
      <c r="L883" s="1655" t="s">
        <v>1170</v>
      </c>
      <c r="M883" s="1655" t="s">
        <v>1170</v>
      </c>
      <c r="N883" s="1655" t="s">
        <v>1170</v>
      </c>
      <c r="O883" s="1755">
        <v>44197</v>
      </c>
      <c r="P883" s="1755">
        <v>44651</v>
      </c>
      <c r="Q883" s="1770">
        <v>45657</v>
      </c>
      <c r="R883" s="1805">
        <v>117000</v>
      </c>
      <c r="S883" s="1664" t="s">
        <v>1621</v>
      </c>
      <c r="T883" s="1842" t="s">
        <v>1170</v>
      </c>
      <c r="U883" s="1655" t="s">
        <v>1170</v>
      </c>
      <c r="V883" s="1655"/>
      <c r="W883" s="1664" t="s">
        <v>1510</v>
      </c>
      <c r="X883" s="1664" t="s">
        <v>1175</v>
      </c>
      <c r="Y883" s="1664" t="s">
        <v>251</v>
      </c>
      <c r="Z883" s="1655" t="s">
        <v>1170</v>
      </c>
      <c r="AA883" s="1655" t="s">
        <v>1170</v>
      </c>
      <c r="AB883" s="1655" t="s">
        <v>1170</v>
      </c>
      <c r="AC883" s="1698" t="s">
        <v>3600</v>
      </c>
      <c r="AD883" s="1657" t="s">
        <v>1170</v>
      </c>
      <c r="AE883" s="1934">
        <v>117000</v>
      </c>
      <c r="AF883"/>
    </row>
    <row r="884" spans="1:32" s="1" customFormat="1" ht="14.9" customHeight="1">
      <c r="A884" s="1185"/>
      <c r="B884" s="336"/>
      <c r="C884" s="4" t="s">
        <v>318</v>
      </c>
      <c r="D884" s="8" t="s">
        <v>32</v>
      </c>
      <c r="E884" s="8"/>
      <c r="F884" s="8"/>
      <c r="G884" s="8"/>
      <c r="H884" s="5" t="s">
        <v>1810</v>
      </c>
      <c r="I884" s="5" t="s">
        <v>34</v>
      </c>
      <c r="J884" s="16" t="s">
        <v>1811</v>
      </c>
      <c r="K884" s="16"/>
      <c r="L884" s="16">
        <v>6</v>
      </c>
      <c r="M884" s="199">
        <f>IFERROR(EDATE($N884,-3),"Invalid procurement method or date entered")</f>
        <v>43923</v>
      </c>
      <c r="N884" s="199">
        <f>IFERROR(EDATE(O884,-L884),"Invalid procurement method or date entered")</f>
        <v>44014</v>
      </c>
      <c r="O884" s="182">
        <v>44198</v>
      </c>
      <c r="P884" s="12">
        <v>48</v>
      </c>
      <c r="Q884" s="25" t="s">
        <v>3601</v>
      </c>
      <c r="R884" s="18">
        <v>80000</v>
      </c>
      <c r="S884" s="5" t="s">
        <v>130</v>
      </c>
      <c r="T884" s="27" t="s">
        <v>38</v>
      </c>
      <c r="U884" s="4"/>
      <c r="V884" s="4"/>
      <c r="W884" s="5" t="s">
        <v>1766</v>
      </c>
      <c r="X884" s="5" t="s">
        <v>39</v>
      </c>
      <c r="Y884" s="5" t="s">
        <v>40</v>
      </c>
      <c r="Z884" s="5" t="s">
        <v>154</v>
      </c>
      <c r="AA884" s="26" t="s">
        <v>38</v>
      </c>
      <c r="AB884" s="45" t="s">
        <v>271</v>
      </c>
      <c r="AC884" s="8"/>
      <c r="AD884" s="80" t="s">
        <v>285</v>
      </c>
      <c r="AE884" s="2894">
        <v>15828</v>
      </c>
    </row>
    <row r="885" spans="1:32" s="1" customFormat="1" ht="14.9" customHeight="1">
      <c r="A885" s="1119"/>
      <c r="B885" s="958" t="s">
        <v>56</v>
      </c>
      <c r="C885" s="510" t="s">
        <v>60</v>
      </c>
      <c r="D885" s="611" t="s">
        <v>32</v>
      </c>
      <c r="E885" s="611"/>
      <c r="F885" s="611"/>
      <c r="G885" s="611"/>
      <c r="H885" s="511" t="s">
        <v>46</v>
      </c>
      <c r="I885" s="519" t="s">
        <v>47</v>
      </c>
      <c r="J885" s="1578" t="s">
        <v>3602</v>
      </c>
      <c r="K885" s="529"/>
      <c r="L885" s="511">
        <v>1</v>
      </c>
      <c r="M885" s="514">
        <f>IF(O885="tbc","",(IFERROR(EDATE($N885,-3),"Invalid procurement method or date entered")))</f>
        <v>44076</v>
      </c>
      <c r="N885" s="514">
        <f>IF(O885="tbc","",(IFERROR(EDATE(O885,-L885),"Invalid procurement method or date entered")))</f>
        <v>44167</v>
      </c>
      <c r="O885" s="515">
        <v>44198</v>
      </c>
      <c r="P885" s="516">
        <v>24</v>
      </c>
      <c r="Q885" s="1009">
        <v>24</v>
      </c>
      <c r="R885" s="528">
        <f>2*82321</f>
        <v>164642</v>
      </c>
      <c r="S885" s="515" t="s">
        <v>176</v>
      </c>
      <c r="T885" s="1055" t="s">
        <v>62</v>
      </c>
      <c r="U885" s="515" t="s">
        <v>60</v>
      </c>
      <c r="V885" s="515"/>
      <c r="W885" s="394" t="s">
        <v>70</v>
      </c>
      <c r="X885" s="120"/>
      <c r="Y885" s="120"/>
      <c r="Z885" s="120"/>
      <c r="AA885" s="120"/>
      <c r="AB885" s="120"/>
      <c r="AC885" s="120"/>
      <c r="AD885" s="336"/>
      <c r="AE885" s="186"/>
    </row>
    <row r="886" spans="1:32" s="1" customFormat="1" ht="43.4" customHeight="1">
      <c r="A886" s="1648">
        <v>44974</v>
      </c>
      <c r="B886" s="1569" t="s">
        <v>1168</v>
      </c>
      <c r="C886" s="1664" t="s">
        <v>3603</v>
      </c>
      <c r="D886" s="1570" t="s">
        <v>2054</v>
      </c>
      <c r="E886" s="1569" t="s">
        <v>1168</v>
      </c>
      <c r="F886" s="1569" t="s">
        <v>1170</v>
      </c>
      <c r="G886" s="1569" t="s">
        <v>1170</v>
      </c>
      <c r="H886" s="1655" t="s">
        <v>1170</v>
      </c>
      <c r="I886" s="1655" t="s">
        <v>1170</v>
      </c>
      <c r="J886" s="1698" t="s">
        <v>3604</v>
      </c>
      <c r="K886" s="1664" t="s">
        <v>3605</v>
      </c>
      <c r="L886" s="1655" t="s">
        <v>1170</v>
      </c>
      <c r="M886" s="1655" t="s">
        <v>1170</v>
      </c>
      <c r="N886" s="1655" t="s">
        <v>1170</v>
      </c>
      <c r="O886" s="1755">
        <v>44203</v>
      </c>
      <c r="P886" s="1755">
        <v>44270</v>
      </c>
      <c r="Q886" s="1667" t="s">
        <v>589</v>
      </c>
      <c r="R886" s="1805">
        <v>34208</v>
      </c>
      <c r="S886" s="1664" t="s">
        <v>1189</v>
      </c>
      <c r="T886" s="1842" t="s">
        <v>1170</v>
      </c>
      <c r="U886" s="1655" t="s">
        <v>1170</v>
      </c>
      <c r="V886" s="1655"/>
      <c r="W886" s="1664" t="s">
        <v>3606</v>
      </c>
      <c r="X886" s="1664" t="s">
        <v>1175</v>
      </c>
      <c r="Y886" s="1664" t="s">
        <v>251</v>
      </c>
      <c r="Z886" s="1655" t="s">
        <v>1170</v>
      </c>
      <c r="AA886" s="1655" t="s">
        <v>1170</v>
      </c>
      <c r="AB886" s="1655" t="s">
        <v>1170</v>
      </c>
      <c r="AC886" s="1698" t="s">
        <v>3607</v>
      </c>
      <c r="AD886" s="1569" t="s">
        <v>1170</v>
      </c>
      <c r="AE886" s="1934">
        <v>34208</v>
      </c>
      <c r="AF886"/>
    </row>
    <row r="887" spans="1:32" s="1" customFormat="1" ht="43.4" customHeight="1">
      <c r="A887" s="1648">
        <v>44974</v>
      </c>
      <c r="B887" s="1569" t="s">
        <v>1168</v>
      </c>
      <c r="C887" s="1664" t="s">
        <v>1170</v>
      </c>
      <c r="D887" s="1570" t="s">
        <v>2054</v>
      </c>
      <c r="E887" s="1569" t="s">
        <v>1168</v>
      </c>
      <c r="F887" s="1569" t="s">
        <v>1170</v>
      </c>
      <c r="G887" s="1569" t="s">
        <v>1170</v>
      </c>
      <c r="H887" s="1655" t="s">
        <v>1170</v>
      </c>
      <c r="I887" s="1655" t="s">
        <v>1170</v>
      </c>
      <c r="J887" s="1698" t="s">
        <v>3608</v>
      </c>
      <c r="K887" s="1664" t="s">
        <v>3605</v>
      </c>
      <c r="L887" s="1655" t="s">
        <v>1170</v>
      </c>
      <c r="M887" s="1655" t="s">
        <v>1170</v>
      </c>
      <c r="N887" s="1655" t="s">
        <v>1170</v>
      </c>
      <c r="O887" s="1755">
        <v>44203</v>
      </c>
      <c r="P887" s="1755">
        <v>44328</v>
      </c>
      <c r="Q887" s="1667" t="s">
        <v>71</v>
      </c>
      <c r="R887" s="1805">
        <v>85000</v>
      </c>
      <c r="S887" s="1664" t="s">
        <v>1189</v>
      </c>
      <c r="T887" s="1842" t="s">
        <v>1170</v>
      </c>
      <c r="U887" s="1655" t="s">
        <v>1170</v>
      </c>
      <c r="V887" s="1655"/>
      <c r="W887" s="1664" t="s">
        <v>3609</v>
      </c>
      <c r="X887" s="1664" t="s">
        <v>1175</v>
      </c>
      <c r="Y887" s="1664" t="s">
        <v>251</v>
      </c>
      <c r="Z887" s="1655" t="s">
        <v>1170</v>
      </c>
      <c r="AA887" s="1655" t="s">
        <v>1170</v>
      </c>
      <c r="AB887" s="1655" t="s">
        <v>1170</v>
      </c>
      <c r="AC887" s="1698" t="s">
        <v>3610</v>
      </c>
      <c r="AD887" s="1569" t="s">
        <v>1170</v>
      </c>
      <c r="AE887" s="1934">
        <v>85000</v>
      </c>
      <c r="AF887"/>
    </row>
    <row r="888" spans="1:32" s="1" customFormat="1" ht="14.9" customHeight="1">
      <c r="A888" s="1185"/>
      <c r="B888" s="336"/>
      <c r="C888" s="4" t="s">
        <v>2837</v>
      </c>
      <c r="D888" s="32" t="s">
        <v>32</v>
      </c>
      <c r="E888" s="32"/>
      <c r="F888" s="32"/>
      <c r="G888" s="32"/>
      <c r="H888" s="5" t="s">
        <v>1837</v>
      </c>
      <c r="I888" s="5" t="s">
        <v>34</v>
      </c>
      <c r="J888" s="191" t="s">
        <v>3590</v>
      </c>
      <c r="K888" s="74"/>
      <c r="L888" s="5" t="e">
        <f>IF(OR(S888=#REF!,S888=#REF!,S888=#REF!,S888=#REF!,S888=#REF!,S888=#REF!,S888=#REF!,S888=#REF!),12,IF(OR(S888=#REF!,S888=#REF!,S888=#REF!,S888=#REF!,S888=#REF!,S888=#REF!,S888=#REF!),3,IF(S888=#REF!,1,IF(S888=#REF!,18,IF(OR(S888=#REF!,S888=#REF!,S888=#REF!,S888=#REF!,S888=#REF!),14,"Invalid proposed procurement method")))))</f>
        <v>#REF!</v>
      </c>
      <c r="M888" s="199" t="str">
        <f>IFERROR(EDATE($N888,-3),"Invalid procurement method or date entered")</f>
        <v>Invalid procurement method or date entered</v>
      </c>
      <c r="N888" s="199" t="str">
        <f>IFERROR(EDATE(O888,-L888),"Invalid procurement method or date entered")</f>
        <v>Invalid procurement method or date entered</v>
      </c>
      <c r="O888" s="182">
        <v>44210</v>
      </c>
      <c r="P888" s="12">
        <v>48</v>
      </c>
      <c r="Q888" s="7" t="s">
        <v>141</v>
      </c>
      <c r="R888" s="18">
        <v>440000</v>
      </c>
      <c r="S888" s="5" t="s">
        <v>130</v>
      </c>
      <c r="T888" s="167" t="s">
        <v>70</v>
      </c>
      <c r="U888" s="210">
        <v>44089</v>
      </c>
      <c r="V888" s="210"/>
      <c r="W888" s="5" t="s">
        <v>3346</v>
      </c>
      <c r="X888" s="46" t="s">
        <v>283</v>
      </c>
      <c r="Y888" s="5" t="s">
        <v>40</v>
      </c>
      <c r="Z888" s="5"/>
      <c r="AA888" s="5" t="s">
        <v>70</v>
      </c>
      <c r="AB888" s="199" t="s">
        <v>41</v>
      </c>
      <c r="AC888" s="8" t="s">
        <v>3611</v>
      </c>
      <c r="AD888" s="20" t="s">
        <v>285</v>
      </c>
      <c r="AE888" s="224">
        <v>110000</v>
      </c>
    </row>
    <row r="889" spans="1:32" s="1" customFormat="1" ht="14.9" customHeight="1">
      <c r="A889" s="1648">
        <v>44974</v>
      </c>
      <c r="B889" s="1569" t="s">
        <v>1168</v>
      </c>
      <c r="C889" s="1664" t="s">
        <v>1170</v>
      </c>
      <c r="D889" s="1570" t="s">
        <v>1192</v>
      </c>
      <c r="E889" s="1569" t="s">
        <v>1168</v>
      </c>
      <c r="F889" s="1569" t="s">
        <v>1170</v>
      </c>
      <c r="G889" s="1569" t="s">
        <v>1170</v>
      </c>
      <c r="H889" s="1655" t="s">
        <v>1170</v>
      </c>
      <c r="I889" s="1655" t="s">
        <v>1170</v>
      </c>
      <c r="J889" s="1698" t="s">
        <v>3612</v>
      </c>
      <c r="K889" s="1664" t="s">
        <v>3613</v>
      </c>
      <c r="L889" s="1655" t="s">
        <v>1170</v>
      </c>
      <c r="M889" s="1655" t="s">
        <v>1170</v>
      </c>
      <c r="N889" s="1655" t="s">
        <v>1170</v>
      </c>
      <c r="O889" s="1755">
        <v>44217</v>
      </c>
      <c r="P889" s="1755">
        <v>44561</v>
      </c>
      <c r="Q889" s="1664" t="s">
        <v>589</v>
      </c>
      <c r="R889" s="1805">
        <v>8250</v>
      </c>
      <c r="S889" s="1664" t="s">
        <v>1189</v>
      </c>
      <c r="T889" s="1842" t="s">
        <v>1170</v>
      </c>
      <c r="U889" s="1655" t="s">
        <v>1170</v>
      </c>
      <c r="V889" s="1655"/>
      <c r="W889" s="1664" t="s">
        <v>3614</v>
      </c>
      <c r="X889" s="1664" t="s">
        <v>1175</v>
      </c>
      <c r="Y889" s="1664" t="s">
        <v>251</v>
      </c>
      <c r="Z889" s="1655" t="s">
        <v>1170</v>
      </c>
      <c r="AA889" s="1655" t="s">
        <v>1170</v>
      </c>
      <c r="AB889" s="1655" t="s">
        <v>1170</v>
      </c>
      <c r="AC889" s="1698" t="s">
        <v>3615</v>
      </c>
      <c r="AD889" s="1569" t="s">
        <v>1170</v>
      </c>
      <c r="AE889" s="1934">
        <v>8250</v>
      </c>
      <c r="AF889"/>
    </row>
    <row r="890" spans="1:32" s="35" customFormat="1" ht="29.15" customHeight="1">
      <c r="A890" s="1184"/>
      <c r="B890" s="2784"/>
      <c r="C890" s="2762" t="s">
        <v>3616</v>
      </c>
      <c r="D890" s="5" t="s">
        <v>32</v>
      </c>
      <c r="E890" s="5"/>
      <c r="F890" s="5"/>
      <c r="G890" s="5"/>
      <c r="H890" s="5" t="s">
        <v>1670</v>
      </c>
      <c r="I890" s="2763" t="s">
        <v>47</v>
      </c>
      <c r="J890" s="2752" t="s">
        <v>3617</v>
      </c>
      <c r="K890" s="2758"/>
      <c r="L890" s="5" t="e">
        <f>IF(OR(S890=#REF!,S890=#REF!,S890=#REF!,S890=#REF!,S890=#REF!,S890=#REF!,S890=#REF!,S890=#REF!),12,IF(OR(S890=#REF!,S890=#REF!,S890=#REF!,S890=#REF!,S890=#REF!,S890=#REF!,S890=#REF!),3,IF(S890=#REF!,1,IF(S890=#REF!,18,IF(OR(S890=#REF!,S890=#REF!,S890=#REF!,S890=#REF!,S890=#REF!),14,"Invalid proposed procurement method")))))</f>
        <v>#REF!</v>
      </c>
      <c r="M890" s="199" t="str">
        <f>IFERROR(EDATE($N890,-3),"Invalid procurement method or date entered")</f>
        <v>Invalid procurement method or date entered</v>
      </c>
      <c r="N890" s="199" t="str">
        <f>IFERROR(EDATE(O890,-L890),"Invalid procurement method or date entered")</f>
        <v>Invalid procurement method or date entered</v>
      </c>
      <c r="O890" s="2764">
        <v>44223</v>
      </c>
      <c r="P890" s="2832">
        <v>18</v>
      </c>
      <c r="Q890" s="2751">
        <v>18</v>
      </c>
      <c r="R890" s="18">
        <v>22000</v>
      </c>
      <c r="S890" s="5" t="s">
        <v>37</v>
      </c>
      <c r="T890" s="169" t="s">
        <v>38</v>
      </c>
      <c r="U890" s="53" t="s">
        <v>67</v>
      </c>
      <c r="V890" s="53"/>
      <c r="W890" s="2763" t="s">
        <v>617</v>
      </c>
      <c r="X890" s="2763" t="s">
        <v>254</v>
      </c>
      <c r="Y890" s="5" t="s">
        <v>40</v>
      </c>
      <c r="Z890" s="5"/>
      <c r="AA890" s="2763" t="s">
        <v>70</v>
      </c>
      <c r="AB890" s="199" t="s">
        <v>132</v>
      </c>
      <c r="AC890" s="57" t="s">
        <v>3057</v>
      </c>
      <c r="AD890" s="31" t="s">
        <v>506</v>
      </c>
      <c r="AE890" s="241"/>
      <c r="AF890" s="1"/>
    </row>
    <row r="891" spans="1:32" s="1" customFormat="1" ht="43.4" customHeight="1">
      <c r="A891" s="1185"/>
      <c r="B891" s="336"/>
      <c r="C891" s="200" t="s">
        <v>1035</v>
      </c>
      <c r="D891" s="31"/>
      <c r="E891" s="31"/>
      <c r="F891" s="31"/>
      <c r="G891" s="31"/>
      <c r="H891" s="5" t="s">
        <v>80</v>
      </c>
      <c r="I891" s="12" t="s">
        <v>47</v>
      </c>
      <c r="J891" s="16" t="s">
        <v>1036</v>
      </c>
      <c r="K891" s="16"/>
      <c r="L891" s="5" t="e">
        <f>IF(OR(S891=#REF!,S891=#REF!,S891=#REF!,S891=#REF!,S891=#REF!,S891=#REF!,S891=#REF!,S891=#REF!),12,IF(OR(S891=#REF!,S891=#REF!,S891=#REF!,S891=#REF!,S891=#REF!,S891=#REF!,S891=#REF!),3,IF(S891=#REF!,1,IF(S891=#REF!,18,IF(OR(S891=#REF!,S891=#REF!,S891=#REF!,S891=#REF!,S891=#REF!),14,"Invalid proposed procurement method")))))</f>
        <v>#REF!</v>
      </c>
      <c r="M891" s="199" t="str">
        <f>IFERROR(EDATE($N891,-3),"Invalid procurement method or date entered")</f>
        <v>Invalid procurement method or date entered</v>
      </c>
      <c r="N891" s="199" t="str">
        <f>IFERROR(EDATE(O891,-L891),"Invalid procurement method or date entered")</f>
        <v>Invalid procurement method or date entered</v>
      </c>
      <c r="O891" s="182">
        <v>44226</v>
      </c>
      <c r="P891" s="12">
        <v>36</v>
      </c>
      <c r="Q891" s="7" t="s">
        <v>160</v>
      </c>
      <c r="R891" s="18">
        <v>69000</v>
      </c>
      <c r="S891" s="5" t="s">
        <v>75</v>
      </c>
      <c r="T891" s="26" t="s">
        <v>38</v>
      </c>
      <c r="U891" s="12" t="s">
        <v>67</v>
      </c>
      <c r="V891" s="12"/>
      <c r="W891" s="12" t="s">
        <v>3618</v>
      </c>
      <c r="X891" s="5" t="s">
        <v>189</v>
      </c>
      <c r="Y891" s="5" t="s">
        <v>727</v>
      </c>
      <c r="Z891" s="5"/>
      <c r="AA891" s="5" t="s">
        <v>70</v>
      </c>
      <c r="AB891" s="199" t="s">
        <v>132</v>
      </c>
      <c r="AC891" s="8" t="s">
        <v>3619</v>
      </c>
      <c r="AD891" s="20" t="s">
        <v>80</v>
      </c>
      <c r="AE891" s="224"/>
    </row>
    <row r="892" spans="1:32" ht="43.5">
      <c r="A892" s="1185"/>
      <c r="B892" s="4"/>
      <c r="C892" s="4" t="s">
        <v>3620</v>
      </c>
      <c r="D892" s="9" t="s">
        <v>32</v>
      </c>
      <c r="E892" s="9"/>
      <c r="F892" s="9"/>
      <c r="G892" s="9"/>
      <c r="H892" s="5" t="s">
        <v>33</v>
      </c>
      <c r="I892" s="5" t="s">
        <v>47</v>
      </c>
      <c r="J892" s="16" t="s">
        <v>3621</v>
      </c>
      <c r="K892" s="8"/>
      <c r="L892" s="5">
        <v>24</v>
      </c>
      <c r="M892" s="199">
        <f>IFERROR(EDATE($N892,-3),"Invalid procurement method or date entered")</f>
        <v>43405</v>
      </c>
      <c r="N892" s="199">
        <f>IFERROR(EDATE(O892,-L892),"Invalid procurement method or date entered")</f>
        <v>43497</v>
      </c>
      <c r="O892" s="199">
        <v>44228</v>
      </c>
      <c r="P892" s="5">
        <v>48</v>
      </c>
      <c r="Q892" s="7" t="s">
        <v>83</v>
      </c>
      <c r="R892" s="41">
        <v>1840035</v>
      </c>
      <c r="S892" s="199" t="s">
        <v>84</v>
      </c>
      <c r="T892" s="52" t="s">
        <v>70</v>
      </c>
      <c r="U892" s="210">
        <v>44211</v>
      </c>
      <c r="V892" s="210"/>
      <c r="W892" s="5" t="s">
        <v>440</v>
      </c>
      <c r="X892" s="80" t="s">
        <v>543</v>
      </c>
      <c r="Y892" s="80" t="s">
        <v>40</v>
      </c>
      <c r="Z892" s="80"/>
      <c r="AA892" s="80" t="s">
        <v>70</v>
      </c>
      <c r="AB892" s="354" t="s">
        <v>132</v>
      </c>
      <c r="AC892" s="101" t="s">
        <v>3622</v>
      </c>
      <c r="AD892" s="80" t="s">
        <v>3534</v>
      </c>
      <c r="AE892" s="211">
        <v>455987</v>
      </c>
      <c r="AF892" s="1"/>
    </row>
    <row r="893" spans="1:32" ht="72.5">
      <c r="A893" s="1184"/>
      <c r="B893" s="4"/>
      <c r="C893" s="4" t="s">
        <v>3623</v>
      </c>
      <c r="D893" s="9" t="s">
        <v>32</v>
      </c>
      <c r="E893" s="9"/>
      <c r="F893" s="9"/>
      <c r="G893" s="9"/>
      <c r="H893" s="5" t="s">
        <v>323</v>
      </c>
      <c r="I893" s="5" t="s">
        <v>34</v>
      </c>
      <c r="J893" s="191" t="s">
        <v>457</v>
      </c>
      <c r="K893" s="74"/>
      <c r="L893" s="5" t="e">
        <f>IF(OR(S893=#REF!,S893=#REF!,S893=#REF!,S893=#REF!,S893=#REF!,S893=#REF!,S893=#REF!,S893=#REF!),12,IF(OR(S893=#REF!,S893=#REF!,S893=#REF!,S893=#REF!,S893=#REF!,S893=#REF!,S893=#REF!),3,IF(S893=#REF!,1,IF(S893=#REF!,18,IF(OR(S893=#REF!,S893=#REF!,S893=#REF!,S893=#REF!,S893=#REF!),14,"Invalid proposed procurement method")))))</f>
        <v>#REF!</v>
      </c>
      <c r="M893" s="199" t="str">
        <f>IFERROR(EDATE($N893,-3),"Invalid procurement method or date entered")</f>
        <v>Invalid procurement method or date entered</v>
      </c>
      <c r="N893" s="199" t="str">
        <f>IFERROR(EDATE(O893,-L893),"Invalid procurement method or date entered")</f>
        <v>Invalid procurement method or date entered</v>
      </c>
      <c r="O893" s="199">
        <v>44228</v>
      </c>
      <c r="P893" s="5">
        <v>60</v>
      </c>
      <c r="Q893" s="5" t="s">
        <v>3624</v>
      </c>
      <c r="R893" s="18">
        <v>740000</v>
      </c>
      <c r="S893" s="5" t="s">
        <v>158</v>
      </c>
      <c r="T893" s="52" t="s">
        <v>70</v>
      </c>
      <c r="U893" s="210">
        <v>44089</v>
      </c>
      <c r="V893" s="210"/>
      <c r="W893" s="5" t="s">
        <v>3625</v>
      </c>
      <c r="X893" s="1076" t="s">
        <v>283</v>
      </c>
      <c r="Y893" s="80" t="s">
        <v>40</v>
      </c>
      <c r="Z893" s="80"/>
      <c r="AA893" s="80" t="s">
        <v>70</v>
      </c>
      <c r="AB893" s="354" t="s">
        <v>41</v>
      </c>
      <c r="AC893" s="101" t="s">
        <v>3626</v>
      </c>
      <c r="AD893" s="76" t="s">
        <v>285</v>
      </c>
      <c r="AE893" s="211">
        <v>148000</v>
      </c>
      <c r="AF893" s="1"/>
    </row>
    <row r="894" spans="1:32" ht="29">
      <c r="A894" s="1185"/>
      <c r="B894" s="4"/>
      <c r="C894" s="4" t="s">
        <v>45</v>
      </c>
      <c r="D894" s="9" t="s">
        <v>32</v>
      </c>
      <c r="E894" s="9"/>
      <c r="F894" s="9"/>
      <c r="G894" s="9"/>
      <c r="H894" s="5" t="s">
        <v>33</v>
      </c>
      <c r="I894" s="5" t="s">
        <v>47</v>
      </c>
      <c r="J894" s="1590" t="s">
        <v>3627</v>
      </c>
      <c r="K894" s="64"/>
      <c r="L894" s="5">
        <v>6</v>
      </c>
      <c r="M894" s="199">
        <f>IFERROR(EDATE($N894,-3),"Invalid procurement method or date entered")</f>
        <v>43952</v>
      </c>
      <c r="N894" s="199">
        <f>IFERROR(EDATE(O894,-L894),"Invalid procurement method or date entered")</f>
        <v>44044</v>
      </c>
      <c r="O894" s="182">
        <v>44228</v>
      </c>
      <c r="P894" s="12">
        <v>12</v>
      </c>
      <c r="Q894" s="12">
        <v>12</v>
      </c>
      <c r="R894" s="18">
        <v>2500</v>
      </c>
      <c r="S894" s="5" t="s">
        <v>37</v>
      </c>
      <c r="T894" s="52" t="s">
        <v>38</v>
      </c>
      <c r="U894" s="48" t="s">
        <v>67</v>
      </c>
      <c r="V894" s="48"/>
      <c r="W894" s="12" t="s">
        <v>262</v>
      </c>
      <c r="X894" s="1076" t="s">
        <v>289</v>
      </c>
      <c r="Y894" s="80" t="s">
        <v>727</v>
      </c>
      <c r="Z894" s="80" t="s">
        <v>154</v>
      </c>
      <c r="AA894" s="80" t="s">
        <v>38</v>
      </c>
      <c r="AB894" s="354" t="s">
        <v>271</v>
      </c>
      <c r="AC894" s="1111" t="s">
        <v>3628</v>
      </c>
      <c r="AD894" s="80" t="s">
        <v>79</v>
      </c>
      <c r="AE894" s="211"/>
      <c r="AF894" s="1"/>
    </row>
    <row r="895" spans="1:32" ht="29">
      <c r="A895" s="1184"/>
      <c r="B895" s="4"/>
      <c r="C895" s="4" t="s">
        <v>3629</v>
      </c>
      <c r="D895" s="5" t="s">
        <v>57</v>
      </c>
      <c r="E895" s="5"/>
      <c r="F895" s="5"/>
      <c r="G895" s="5"/>
      <c r="H895" s="5" t="s">
        <v>46</v>
      </c>
      <c r="I895" s="5" t="s">
        <v>47</v>
      </c>
      <c r="J895" s="16" t="s">
        <v>3630</v>
      </c>
      <c r="K895" s="16"/>
      <c r="L895" s="16"/>
      <c r="M895" s="199">
        <v>43867</v>
      </c>
      <c r="N895" s="199"/>
      <c r="O895" s="199">
        <v>44228</v>
      </c>
      <c r="P895" s="5">
        <v>9</v>
      </c>
      <c r="Q895" s="7" t="s">
        <v>3631</v>
      </c>
      <c r="R895" s="41">
        <v>60000</v>
      </c>
      <c r="S895" s="5" t="s">
        <v>84</v>
      </c>
      <c r="T895" s="47" t="s">
        <v>62</v>
      </c>
      <c r="U895" s="47" t="s">
        <v>67</v>
      </c>
      <c r="V895" s="47"/>
      <c r="W895" s="5" t="s">
        <v>789</v>
      </c>
      <c r="X895" s="80" t="s">
        <v>94</v>
      </c>
      <c r="Y895" s="80" t="s">
        <v>727</v>
      </c>
      <c r="Z895" s="80"/>
      <c r="AA895" s="80"/>
      <c r="AB895" s="354" t="s">
        <v>3016</v>
      </c>
      <c r="AC895" s="101" t="s">
        <v>3632</v>
      </c>
      <c r="AD895" s="76" t="s">
        <v>46</v>
      </c>
      <c r="AE895" s="211">
        <v>80000</v>
      </c>
      <c r="AF895" s="1"/>
    </row>
    <row r="896" spans="1:32" ht="62.5">
      <c r="A896" s="1119"/>
      <c r="B896" s="577" t="s">
        <v>56</v>
      </c>
      <c r="C896" s="510" t="s">
        <v>60</v>
      </c>
      <c r="D896" s="511" t="s">
        <v>57</v>
      </c>
      <c r="E896" s="511"/>
      <c r="F896" s="511"/>
      <c r="G896" s="511"/>
      <c r="H896" s="511" t="s">
        <v>58</v>
      </c>
      <c r="I896" s="519" t="s">
        <v>47</v>
      </c>
      <c r="J896" s="1578" t="s">
        <v>3633</v>
      </c>
      <c r="K896" s="512"/>
      <c r="L896" s="512"/>
      <c r="M896" s="511">
        <v>1</v>
      </c>
      <c r="N896" s="514" t="str">
        <f>IF(O896="tbc","",(IFERROR(EDATE(#REF!,-3),"Invalid procurement method or date entered")))</f>
        <v>Invalid procurement method or date entered</v>
      </c>
      <c r="O896" s="515">
        <v>44228</v>
      </c>
      <c r="P896" s="530" t="s">
        <v>60</v>
      </c>
      <c r="Q896" s="530" t="s">
        <v>60</v>
      </c>
      <c r="R896" s="528">
        <v>25000</v>
      </c>
      <c r="S896" s="515" t="s">
        <v>176</v>
      </c>
      <c r="T896" s="515" t="s">
        <v>62</v>
      </c>
      <c r="U896" s="515" t="s">
        <v>60</v>
      </c>
      <c r="V896" s="515"/>
      <c r="W896" s="519" t="s">
        <v>1713</v>
      </c>
      <c r="AF896" s="1"/>
    </row>
    <row r="897" spans="1:32" ht="62.5">
      <c r="A897" s="1119"/>
      <c r="B897" s="577" t="s">
        <v>56</v>
      </c>
      <c r="C897" s="510" t="s">
        <v>3634</v>
      </c>
      <c r="D897" s="511" t="s">
        <v>57</v>
      </c>
      <c r="E897" s="511"/>
      <c r="F897" s="511"/>
      <c r="G897" s="511"/>
      <c r="H897" s="511" t="s">
        <v>58</v>
      </c>
      <c r="I897" s="510" t="s">
        <v>47</v>
      </c>
      <c r="J897" s="1580" t="s">
        <v>3635</v>
      </c>
      <c r="K897" s="533"/>
      <c r="L897" s="533"/>
      <c r="M897" s="511">
        <v>3</v>
      </c>
      <c r="N897" s="514" t="str">
        <f>IF(O897="tbc","",(IFERROR(EDATE(#REF!,-3),"Invalid procurement method or date entered")))</f>
        <v>Invalid procurement method or date entered</v>
      </c>
      <c r="O897" s="534">
        <v>44228</v>
      </c>
      <c r="P897" s="535">
        <v>1</v>
      </c>
      <c r="Q897" s="535">
        <v>1</v>
      </c>
      <c r="R897" s="528">
        <v>25000</v>
      </c>
      <c r="S897" s="510" t="s">
        <v>176</v>
      </c>
      <c r="T897" s="515" t="s">
        <v>62</v>
      </c>
      <c r="U897" s="515" t="s">
        <v>60</v>
      </c>
      <c r="V897" s="515"/>
      <c r="W897" s="510" t="s">
        <v>2425</v>
      </c>
      <c r="AF897" s="1"/>
    </row>
    <row r="898" spans="1:32" ht="62.5">
      <c r="A898" s="1119"/>
      <c r="B898" s="577" t="s">
        <v>56</v>
      </c>
      <c r="C898" s="510" t="s">
        <v>60</v>
      </c>
      <c r="D898" s="511" t="s">
        <v>122</v>
      </c>
      <c r="E898" s="511"/>
      <c r="F898" s="511"/>
      <c r="G898" s="511"/>
      <c r="H898" s="511" t="s">
        <v>308</v>
      </c>
      <c r="I898" s="519" t="s">
        <v>47</v>
      </c>
      <c r="J898" s="1578" t="s">
        <v>3636</v>
      </c>
      <c r="K898" s="512"/>
      <c r="L898" s="512"/>
      <c r="M898" s="511">
        <v>12</v>
      </c>
      <c r="N898" s="514" t="str">
        <f>IF(O898="tbc","",(IFERROR(EDATE(#REF!,-3),"Invalid procurement method or date entered")))</f>
        <v>Invalid procurement method or date entered</v>
      </c>
      <c r="O898" s="515">
        <v>44228</v>
      </c>
      <c r="P898" s="516">
        <v>7</v>
      </c>
      <c r="Q898" s="516">
        <v>7</v>
      </c>
      <c r="R898" s="528">
        <v>995000</v>
      </c>
      <c r="S898" s="515" t="s">
        <v>75</v>
      </c>
      <c r="T898" s="515" t="s">
        <v>310</v>
      </c>
      <c r="U898" s="515" t="s">
        <v>60</v>
      </c>
      <c r="V898" s="515"/>
      <c r="W898" s="519" t="s">
        <v>3637</v>
      </c>
      <c r="AF898" s="35"/>
    </row>
    <row r="899" spans="1:32" ht="62.5">
      <c r="A899" s="1119"/>
      <c r="B899" s="577" t="s">
        <v>56</v>
      </c>
      <c r="C899" s="510" t="s">
        <v>3638</v>
      </c>
      <c r="D899" s="511" t="s">
        <v>57</v>
      </c>
      <c r="E899" s="511"/>
      <c r="F899" s="511"/>
      <c r="G899" s="511"/>
      <c r="H899" s="511" t="s">
        <v>58</v>
      </c>
      <c r="I899" s="519" t="s">
        <v>47</v>
      </c>
      <c r="J899" s="1578" t="s">
        <v>3639</v>
      </c>
      <c r="K899" s="512"/>
      <c r="L899" s="512"/>
      <c r="M899" s="511">
        <v>1</v>
      </c>
      <c r="N899" s="514" t="str">
        <f>IF(O899="tbc","",(IFERROR(EDATE(#REF!,-3),"Invalid procurement method or date entered")))</f>
        <v>Invalid procurement method or date entered</v>
      </c>
      <c r="O899" s="515">
        <v>44228</v>
      </c>
      <c r="P899" s="516">
        <v>3</v>
      </c>
      <c r="Q899" s="516">
        <v>3</v>
      </c>
      <c r="R899" s="528">
        <v>50000</v>
      </c>
      <c r="S899" s="515" t="s">
        <v>176</v>
      </c>
      <c r="T899" s="515" t="s">
        <v>62</v>
      </c>
      <c r="U899" s="515" t="s">
        <v>60</v>
      </c>
      <c r="V899" s="515"/>
      <c r="W899" s="519" t="s">
        <v>2252</v>
      </c>
      <c r="AF899" s="1"/>
    </row>
    <row r="900" spans="1:32" ht="62.5">
      <c r="A900" s="1119"/>
      <c r="B900" s="577" t="s">
        <v>56</v>
      </c>
      <c r="C900" s="510" t="s">
        <v>60</v>
      </c>
      <c r="D900" s="511" t="s">
        <v>57</v>
      </c>
      <c r="E900" s="511"/>
      <c r="F900" s="511"/>
      <c r="G900" s="511"/>
      <c r="H900" s="511" t="s">
        <v>58</v>
      </c>
      <c r="I900" s="519" t="s">
        <v>47</v>
      </c>
      <c r="J900" s="1578" t="s">
        <v>3640</v>
      </c>
      <c r="K900" s="512"/>
      <c r="L900" s="512"/>
      <c r="M900" s="511">
        <v>3</v>
      </c>
      <c r="N900" s="514" t="str">
        <f>IF(O900="tbc","",(IFERROR(EDATE(#REF!,-3),"Invalid procurement method or date entered")))</f>
        <v>Invalid procurement method or date entered</v>
      </c>
      <c r="O900" s="515">
        <v>44228</v>
      </c>
      <c r="P900" s="516">
        <v>13</v>
      </c>
      <c r="Q900" s="516">
        <v>0</v>
      </c>
      <c r="R900" s="538">
        <v>300000</v>
      </c>
      <c r="S900" s="515" t="s">
        <v>61</v>
      </c>
      <c r="T900" s="515" t="s">
        <v>62</v>
      </c>
      <c r="U900" s="515" t="s">
        <v>60</v>
      </c>
      <c r="V900" s="515"/>
      <c r="W900" s="519" t="s">
        <v>668</v>
      </c>
      <c r="AF900" s="1"/>
    </row>
    <row r="901" spans="1:32" ht="117">
      <c r="A901" s="889" t="s">
        <v>71</v>
      </c>
      <c r="B901" s="707" t="s">
        <v>100</v>
      </c>
      <c r="C901" s="707" t="s">
        <v>45</v>
      </c>
      <c r="D901" s="710" t="s">
        <v>122</v>
      </c>
      <c r="E901" s="710"/>
      <c r="F901" s="710"/>
      <c r="G901" s="710"/>
      <c r="H901" s="710" t="s">
        <v>122</v>
      </c>
      <c r="I901" s="710" t="s">
        <v>103</v>
      </c>
      <c r="J901" s="1608" t="s">
        <v>103</v>
      </c>
      <c r="K901" s="710" t="s">
        <v>47</v>
      </c>
      <c r="L901" s="709" t="s">
        <v>3641</v>
      </c>
      <c r="M901" s="710" t="s">
        <v>365</v>
      </c>
      <c r="N901" s="710">
        <v>14</v>
      </c>
      <c r="O901" s="712">
        <f>IFERROR(EDATE(Q901,-N901),"Invalid procurement method or date entered")</f>
        <v>44228</v>
      </c>
      <c r="P901" s="713"/>
      <c r="Q901" s="713">
        <v>44652</v>
      </c>
      <c r="R901" s="777">
        <v>60</v>
      </c>
      <c r="S901" s="777">
        <v>60</v>
      </c>
      <c r="T901" s="772">
        <v>6000000</v>
      </c>
      <c r="U901" s="758" t="s">
        <v>105</v>
      </c>
      <c r="V901" s="758"/>
      <c r="W901" s="711" t="s">
        <v>3642</v>
      </c>
      <c r="X901" s="843" t="s">
        <v>3643</v>
      </c>
      <c r="Y901" s="843" t="s">
        <v>3644</v>
      </c>
      <c r="Z901" s="843" t="s">
        <v>413</v>
      </c>
      <c r="AA901" s="843" t="s">
        <v>40</v>
      </c>
      <c r="AB901" s="843" t="s">
        <v>87</v>
      </c>
      <c r="AC901" s="1092" t="s">
        <v>70</v>
      </c>
      <c r="AD901" s="1499">
        <v>44945</v>
      </c>
      <c r="AE901" s="1906" t="s">
        <v>3645</v>
      </c>
      <c r="AF901" s="1122" t="s">
        <v>3646</v>
      </c>
    </row>
    <row r="902" spans="1:32" ht="72.5">
      <c r="A902" s="1119"/>
      <c r="B902" s="4"/>
      <c r="C902" s="4" t="s">
        <v>3647</v>
      </c>
      <c r="D902" s="5" t="s">
        <v>32</v>
      </c>
      <c r="E902" s="5"/>
      <c r="F902" s="5"/>
      <c r="G902" s="5"/>
      <c r="H902" s="5" t="s">
        <v>33</v>
      </c>
      <c r="I902" s="12" t="s">
        <v>47</v>
      </c>
      <c r="J902" s="16" t="s">
        <v>3648</v>
      </c>
      <c r="K902" s="16"/>
      <c r="L902" s="5" t="e">
        <f>IF(OR(S902=#REF!,S902=#REF!,S902=#REF!,S902=#REF!,S902=#REF!,S902=#REF!,S902=#REF!,S902=#REF!),12,IF(OR(S902=#REF!,S902=#REF!,S902=#REF!,S902=#REF!,S902=#REF!,S902=#REF!,S902=#REF!),3,IF(S902=#REF!,1,IF(S902=#REF!,18,IF(OR(S902=#REF!,S902=#REF!,S902=#REF!,S902=#REF!,S902=#REF!),14,"Invalid proposed procurement method")))))</f>
        <v>#REF!</v>
      </c>
      <c r="M902" s="199" t="str">
        <f>IFERROR(EDATE($N902,-3),"Invalid procurement method or date entered")</f>
        <v>Invalid procurement method or date entered</v>
      </c>
      <c r="N902" s="199" t="str">
        <f>IFERROR(EDATE(O902,-L902),"Invalid procurement method or date entered")</f>
        <v>Invalid procurement method or date entered</v>
      </c>
      <c r="O902" s="219">
        <v>44230</v>
      </c>
      <c r="P902" s="12">
        <v>36</v>
      </c>
      <c r="Q902" s="5">
        <v>36</v>
      </c>
      <c r="R902" s="40">
        <v>43000</v>
      </c>
      <c r="S902" s="5" t="s">
        <v>51</v>
      </c>
      <c r="T902" s="41" t="s">
        <v>38</v>
      </c>
      <c r="U902" s="12" t="s">
        <v>67</v>
      </c>
      <c r="V902" s="12"/>
      <c r="W902" s="5" t="s">
        <v>3649</v>
      </c>
      <c r="X902" s="80" t="s">
        <v>86</v>
      </c>
      <c r="Y902" s="80" t="s">
        <v>40</v>
      </c>
      <c r="Z902" s="80"/>
      <c r="AA902" s="80" t="s">
        <v>70</v>
      </c>
      <c r="AB902" s="354" t="s">
        <v>132</v>
      </c>
      <c r="AC902" s="101" t="s">
        <v>89</v>
      </c>
      <c r="AD902" s="80" t="s">
        <v>3650</v>
      </c>
      <c r="AE902" s="1144"/>
      <c r="AF902" s="1"/>
    </row>
    <row r="903" spans="1:32" ht="203">
      <c r="A903" s="1184"/>
      <c r="B903" s="120"/>
      <c r="C903" s="4" t="s">
        <v>3651</v>
      </c>
      <c r="D903" s="5" t="s">
        <v>32</v>
      </c>
      <c r="E903" s="5"/>
      <c r="F903" s="5"/>
      <c r="G903" s="5"/>
      <c r="H903" s="5" t="s">
        <v>33</v>
      </c>
      <c r="I903" s="5" t="s">
        <v>47</v>
      </c>
      <c r="J903" s="16" t="s">
        <v>3652</v>
      </c>
      <c r="K903" s="16"/>
      <c r="L903" s="5" t="e">
        <f>IF(OR(S903=#REF!,S903=#REF!,S903=#REF!,S903=#REF!,S903=#REF!,S903=#REF!,S903=#REF!,S903=#REF!),12,IF(OR(S903=#REF!,S903=#REF!,S903=#REF!,S903=#REF!,S903=#REF!,S903=#REF!,S903=#REF!),3,IF(S903=#REF!,1,IF(S903=#REF!,18,IF(OR(S903=#REF!,S903=#REF!,S903=#REF!,S903=#REF!,S903=#REF!),14,"Invalid proposed procurement method")))))</f>
        <v>#REF!</v>
      </c>
      <c r="M903" s="199" t="str">
        <f>IFERROR(EDATE($N903,-3),"Invalid procurement method or date entered")</f>
        <v>Invalid procurement method or date entered</v>
      </c>
      <c r="N903" s="199" t="str">
        <f>IFERROR(EDATE(O903,-L903),"Invalid procurement method or date entered")</f>
        <v>Invalid procurement method or date entered</v>
      </c>
      <c r="O903" s="182">
        <v>44233</v>
      </c>
      <c r="P903" s="12">
        <v>24</v>
      </c>
      <c r="Q903" s="12" t="s">
        <v>1345</v>
      </c>
      <c r="R903" s="18">
        <v>20000</v>
      </c>
      <c r="S903" s="5" t="s">
        <v>51</v>
      </c>
      <c r="T903" s="5" t="s">
        <v>38</v>
      </c>
      <c r="U903" s="182" t="s">
        <v>67</v>
      </c>
      <c r="V903" s="182"/>
      <c r="W903" s="5" t="s">
        <v>3653</v>
      </c>
      <c r="X903" s="80" t="s">
        <v>254</v>
      </c>
      <c r="Y903" s="80" t="s">
        <v>40</v>
      </c>
      <c r="Z903" s="80"/>
      <c r="AA903" s="80" t="s">
        <v>70</v>
      </c>
      <c r="AB903" s="354" t="s">
        <v>132</v>
      </c>
      <c r="AC903" s="101" t="s">
        <v>3654</v>
      </c>
      <c r="AD903" s="80" t="s">
        <v>3650</v>
      </c>
      <c r="AE903" s="339">
        <v>7440</v>
      </c>
      <c r="AF903" s="1"/>
    </row>
    <row r="904" spans="1:32">
      <c r="A904" s="1648">
        <v>44974</v>
      </c>
      <c r="B904" s="1655" t="s">
        <v>1168</v>
      </c>
      <c r="C904" s="1664" t="s">
        <v>3655</v>
      </c>
      <c r="D904" s="1664" t="s">
        <v>2054</v>
      </c>
      <c r="E904" s="1655" t="s">
        <v>1168</v>
      </c>
      <c r="F904" s="1655" t="s">
        <v>1170</v>
      </c>
      <c r="G904" s="1655" t="s">
        <v>1170</v>
      </c>
      <c r="H904" s="1655" t="s">
        <v>1170</v>
      </c>
      <c r="I904" s="1655" t="s">
        <v>1170</v>
      </c>
      <c r="J904" s="1698" t="s">
        <v>3656</v>
      </c>
      <c r="K904" s="1664" t="s">
        <v>3657</v>
      </c>
      <c r="L904" s="1655" t="s">
        <v>1170</v>
      </c>
      <c r="M904" s="1655" t="s">
        <v>1170</v>
      </c>
      <c r="N904" s="1655" t="s">
        <v>1170</v>
      </c>
      <c r="O904" s="1755">
        <v>44235</v>
      </c>
      <c r="P904" s="1755">
        <v>45329</v>
      </c>
      <c r="Q904" s="1755">
        <v>46060</v>
      </c>
      <c r="R904" s="1805">
        <v>112752</v>
      </c>
      <c r="S904" s="1664" t="s">
        <v>3658</v>
      </c>
      <c r="T904" s="1655" t="s">
        <v>1170</v>
      </c>
      <c r="U904" s="1655" t="s">
        <v>1170</v>
      </c>
      <c r="V904" s="1655"/>
      <c r="W904" s="1664" t="s">
        <v>1236</v>
      </c>
      <c r="X904" s="1723" t="s">
        <v>1175</v>
      </c>
      <c r="Y904" s="1723" t="s">
        <v>251</v>
      </c>
      <c r="Z904" s="1657" t="s">
        <v>1170</v>
      </c>
      <c r="AA904" s="1657" t="s">
        <v>1170</v>
      </c>
      <c r="AB904" s="1657" t="s">
        <v>1170</v>
      </c>
      <c r="AC904" s="909" t="s">
        <v>3659</v>
      </c>
      <c r="AD904" s="1657" t="s">
        <v>1170</v>
      </c>
      <c r="AE904" s="1828">
        <v>112752</v>
      </c>
    </row>
    <row r="905" spans="1:32" ht="87">
      <c r="A905" s="1184"/>
      <c r="B905" s="120"/>
      <c r="C905" s="4" t="s">
        <v>3660</v>
      </c>
      <c r="D905" s="9" t="s">
        <v>32</v>
      </c>
      <c r="E905" s="9"/>
      <c r="F905" s="9"/>
      <c r="G905" s="9"/>
      <c r="H905" s="5" t="s">
        <v>33</v>
      </c>
      <c r="I905" s="5" t="s">
        <v>47</v>
      </c>
      <c r="J905" s="2752" t="s">
        <v>3661</v>
      </c>
      <c r="K905" s="2752"/>
      <c r="L905" s="5">
        <v>3</v>
      </c>
      <c r="M905" s="199">
        <f>IFERROR(EDATE($N905,-3),"Invalid procurement method or date entered")</f>
        <v>44053</v>
      </c>
      <c r="N905" s="199">
        <f>IFERROR(EDATE(O905,-L905),"Invalid procurement method or date entered")</f>
        <v>44145</v>
      </c>
      <c r="O905" s="2764">
        <v>44237</v>
      </c>
      <c r="P905" s="2763">
        <v>36</v>
      </c>
      <c r="Q905" s="5" t="s">
        <v>1538</v>
      </c>
      <c r="R905" s="18">
        <v>90305</v>
      </c>
      <c r="S905" s="5" t="s">
        <v>84</v>
      </c>
      <c r="T905" s="50" t="s">
        <v>62</v>
      </c>
      <c r="U905" s="48" t="s">
        <v>71</v>
      </c>
      <c r="V905" s="48"/>
      <c r="W905" s="5" t="s">
        <v>3662</v>
      </c>
      <c r="X905" s="2765" t="s">
        <v>543</v>
      </c>
      <c r="Y905" s="80" t="s">
        <v>40</v>
      </c>
      <c r="Z905" s="80"/>
      <c r="AA905" s="80" t="s">
        <v>70</v>
      </c>
      <c r="AB905" s="354" t="s">
        <v>132</v>
      </c>
      <c r="AC905" s="2761" t="s">
        <v>3663</v>
      </c>
      <c r="AD905" s="80" t="s">
        <v>3405</v>
      </c>
      <c r="AE905" s="197" t="s">
        <v>3664</v>
      </c>
      <c r="AF905" s="1"/>
    </row>
    <row r="906" spans="1:32" ht="72.5">
      <c r="A906" s="1184"/>
      <c r="B906" s="4"/>
      <c r="C906" s="10" t="s">
        <v>45</v>
      </c>
      <c r="D906" s="5" t="s">
        <v>57</v>
      </c>
      <c r="E906" s="5"/>
      <c r="F906" s="5"/>
      <c r="G906" s="5"/>
      <c r="H906" s="5" t="s">
        <v>496</v>
      </c>
      <c r="I906" s="5" t="s">
        <v>47</v>
      </c>
      <c r="J906" s="16" t="s">
        <v>1902</v>
      </c>
      <c r="K906" s="8"/>
      <c r="L906" s="5" t="e">
        <f>IF(OR(S906=#REF!,S906=#REF!,S906=#REF!,S906=#REF!,S906=#REF!,S906=#REF!,S906=#REF!,S906=#REF!),12,IF(OR(S906=#REF!,S906=#REF!,S906=#REF!,S906=#REF!,S906=#REF!,S906=#REF!,S906=#REF!),3,IF(S906=#REF!,1,IF(S906=#REF!,18,IF(OR(S906=#REF!,S906=#REF!,S906=#REF!,S906=#REF!,S906=#REF!),14,"Invalid proposed procurement method")))))</f>
        <v>#REF!</v>
      </c>
      <c r="M906" s="199" t="str">
        <f>IFERROR(EDATE($N906,-3),"Invalid procurement method or date entered")</f>
        <v>Invalid procurement method or date entered</v>
      </c>
      <c r="N906" s="199" t="str">
        <f>IFERROR(EDATE(O906,-L906),"Invalid procurement method or date entered")</f>
        <v>Invalid procurement method or date entered</v>
      </c>
      <c r="O906" s="14">
        <v>44239</v>
      </c>
      <c r="P906" s="12">
        <v>33</v>
      </c>
      <c r="Q906" s="5" t="s">
        <v>3665</v>
      </c>
      <c r="R906" s="18" t="s">
        <v>45</v>
      </c>
      <c r="S906" s="5" t="s">
        <v>176</v>
      </c>
      <c r="T906" s="14" t="s">
        <v>38</v>
      </c>
      <c r="U906" s="14" t="s">
        <v>67</v>
      </c>
      <c r="V906" s="14"/>
      <c r="W906" s="5" t="s">
        <v>798</v>
      </c>
      <c r="X906" s="80" t="s">
        <v>94</v>
      </c>
      <c r="Y906" s="80" t="s">
        <v>727</v>
      </c>
      <c r="Z906" s="80"/>
      <c r="AA906" s="80" t="s">
        <v>70</v>
      </c>
      <c r="AB906" s="354" t="s">
        <v>41</v>
      </c>
      <c r="AC906" s="101" t="s">
        <v>3666</v>
      </c>
      <c r="AD906" s="76" t="s">
        <v>496</v>
      </c>
      <c r="AE906" s="3"/>
      <c r="AF906" s="99"/>
    </row>
    <row r="907" spans="1:32">
      <c r="A907" s="1648">
        <v>44974</v>
      </c>
      <c r="B907" s="1655" t="s">
        <v>1168</v>
      </c>
      <c r="C907" s="1664" t="s">
        <v>3667</v>
      </c>
      <c r="D907" s="1664" t="s">
        <v>2054</v>
      </c>
      <c r="E907" s="1655" t="s">
        <v>1168</v>
      </c>
      <c r="F907" s="1655" t="s">
        <v>1170</v>
      </c>
      <c r="G907" s="1655" t="s">
        <v>1170</v>
      </c>
      <c r="H907" s="1655" t="s">
        <v>1170</v>
      </c>
      <c r="I907" s="1655" t="s">
        <v>1170</v>
      </c>
      <c r="J907" s="1698" t="s">
        <v>3668</v>
      </c>
      <c r="K907" s="1664" t="s">
        <v>3669</v>
      </c>
      <c r="L907" s="1655" t="s">
        <v>1170</v>
      </c>
      <c r="M907" s="1655" t="s">
        <v>1170</v>
      </c>
      <c r="N907" s="1655" t="s">
        <v>1170</v>
      </c>
      <c r="O907" s="1755">
        <v>44239</v>
      </c>
      <c r="P907" s="1755">
        <v>44309</v>
      </c>
      <c r="Q907" s="1664" t="s">
        <v>71</v>
      </c>
      <c r="R907" s="1805">
        <v>574355</v>
      </c>
      <c r="S907" s="1664" t="s">
        <v>1189</v>
      </c>
      <c r="T907" s="1655" t="s">
        <v>1170</v>
      </c>
      <c r="U907" s="1655" t="s">
        <v>1170</v>
      </c>
      <c r="V907" s="1655"/>
      <c r="W907" s="1664" t="s">
        <v>3670</v>
      </c>
      <c r="X907" s="1723" t="s">
        <v>1175</v>
      </c>
      <c r="Y907" s="1723" t="s">
        <v>251</v>
      </c>
      <c r="Z907" s="1657" t="s">
        <v>1170</v>
      </c>
      <c r="AA907" s="1657" t="s">
        <v>1170</v>
      </c>
      <c r="AB907" s="1657" t="s">
        <v>1170</v>
      </c>
      <c r="AC907" s="909" t="s">
        <v>3671</v>
      </c>
      <c r="AD907" s="1657" t="s">
        <v>1170</v>
      </c>
      <c r="AE907" s="1828">
        <v>574355</v>
      </c>
    </row>
    <row r="908" spans="1:32" ht="62.5">
      <c r="A908" s="1119"/>
      <c r="B908" s="577" t="s">
        <v>56</v>
      </c>
      <c r="C908" s="510" t="s">
        <v>60</v>
      </c>
      <c r="D908" s="511" t="s">
        <v>57</v>
      </c>
      <c r="E908" s="511"/>
      <c r="F908" s="511"/>
      <c r="G908" s="511"/>
      <c r="H908" s="511" t="s">
        <v>58</v>
      </c>
      <c r="I908" s="519" t="s">
        <v>47</v>
      </c>
      <c r="J908" s="1578" t="s">
        <v>3672</v>
      </c>
      <c r="K908" s="512"/>
      <c r="L908" s="512"/>
      <c r="M908" s="511">
        <v>3</v>
      </c>
      <c r="N908" s="514" t="str">
        <f>IF(O908="tbc","",(IFERROR(EDATE(#REF!,-3),"Invalid procurement method or date entered")))</f>
        <v>Invalid procurement method or date entered</v>
      </c>
      <c r="O908" s="515">
        <v>44242</v>
      </c>
      <c r="P908" s="516">
        <v>6</v>
      </c>
      <c r="Q908" s="516">
        <v>0</v>
      </c>
      <c r="R908" s="538">
        <v>1500000</v>
      </c>
      <c r="S908" s="515" t="s">
        <v>61</v>
      </c>
      <c r="T908" s="515" t="s">
        <v>310</v>
      </c>
      <c r="U908" s="515" t="s">
        <v>60</v>
      </c>
      <c r="V908" s="515"/>
      <c r="W908" s="519" t="s">
        <v>668</v>
      </c>
      <c r="AF908" s="1"/>
    </row>
    <row r="909" spans="1:32" ht="50">
      <c r="A909" s="1119"/>
      <c r="B909" s="577" t="s">
        <v>56</v>
      </c>
      <c r="C909" s="510" t="s">
        <v>3673</v>
      </c>
      <c r="D909" s="511" t="s">
        <v>57</v>
      </c>
      <c r="E909" s="511"/>
      <c r="F909" s="511"/>
      <c r="G909" s="511"/>
      <c r="H909" s="511" t="s">
        <v>58</v>
      </c>
      <c r="I909" s="519" t="s">
        <v>47</v>
      </c>
      <c r="J909" s="606" t="s">
        <v>3674</v>
      </c>
      <c r="K909" s="529"/>
      <c r="L909" s="511">
        <v>14</v>
      </c>
      <c r="M909" s="514">
        <f>IF(O909="tbc","",(IFERROR(EDATE($N909,-3),"Invalid procurement method or date entered")))</f>
        <v>43723</v>
      </c>
      <c r="N909" s="514">
        <f>IF(O909="tbc","",(IFERROR(EDATE(O909,-L909),"Invalid procurement method or date entered")))</f>
        <v>43814</v>
      </c>
      <c r="O909" s="514">
        <v>44242</v>
      </c>
      <c r="P909" s="536">
        <v>2</v>
      </c>
      <c r="Q909" s="536">
        <v>2</v>
      </c>
      <c r="R909" s="538">
        <v>150000</v>
      </c>
      <c r="S909" s="536" t="s">
        <v>182</v>
      </c>
      <c r="T909" s="536" t="s">
        <v>62</v>
      </c>
      <c r="U909" s="514">
        <v>43700</v>
      </c>
      <c r="V909" s="514"/>
      <c r="W909" s="569" t="s">
        <v>577</v>
      </c>
      <c r="AF909" s="1"/>
    </row>
    <row r="910" spans="1:32">
      <c r="A910" s="1184"/>
      <c r="B910" s="362" t="s">
        <v>100</v>
      </c>
      <c r="C910" s="362"/>
      <c r="D910" s="8" t="s">
        <v>122</v>
      </c>
      <c r="E910" s="8"/>
      <c r="F910" s="8"/>
      <c r="G910" s="8"/>
      <c r="H910" s="8" t="s">
        <v>103</v>
      </c>
      <c r="I910" s="8" t="s">
        <v>47</v>
      </c>
      <c r="J910" s="16" t="s">
        <v>3675</v>
      </c>
      <c r="K910" s="8"/>
      <c r="L910" s="84">
        <v>12</v>
      </c>
      <c r="M910" s="436">
        <f>IFERROR(EDATE(N910,-3),"Invalid procurement method or date entered")</f>
        <v>43787</v>
      </c>
      <c r="N910" s="386">
        <f>IFERROR(EDATE(O910,-L910),"Invalid procurement method or date entered")</f>
        <v>43879</v>
      </c>
      <c r="O910" s="367">
        <v>44245</v>
      </c>
      <c r="P910" s="368"/>
      <c r="Q910" s="368"/>
      <c r="R910" s="159">
        <v>70000</v>
      </c>
      <c r="S910" s="5" t="s">
        <v>176</v>
      </c>
      <c r="T910" s="357" t="s">
        <v>45</v>
      </c>
      <c r="U910" s="357" t="s">
        <v>45</v>
      </c>
      <c r="V910" s="357"/>
      <c r="W910" s="8" t="s">
        <v>3352</v>
      </c>
      <c r="X910" s="101" t="s">
        <v>125</v>
      </c>
      <c r="Y910" s="101" t="s">
        <v>1161</v>
      </c>
      <c r="Z910" s="101"/>
      <c r="AA910" s="1886"/>
      <c r="AB910" s="400" t="s">
        <v>70</v>
      </c>
      <c r="AC910" s="432">
        <v>44243</v>
      </c>
      <c r="AD910" s="432"/>
      <c r="AE910" s="432"/>
      <c r="AF910" s="1"/>
    </row>
    <row r="911" spans="1:32">
      <c r="A911" s="1648">
        <v>44974</v>
      </c>
      <c r="B911" s="1655" t="s">
        <v>1168</v>
      </c>
      <c r="C911" s="1664" t="s">
        <v>3676</v>
      </c>
      <c r="D911" s="1664" t="s">
        <v>1178</v>
      </c>
      <c r="E911" s="1655" t="s">
        <v>1168</v>
      </c>
      <c r="F911" s="1655" t="s">
        <v>1170</v>
      </c>
      <c r="G911" s="1655" t="s">
        <v>1170</v>
      </c>
      <c r="H911" s="1655" t="s">
        <v>1170</v>
      </c>
      <c r="I911" s="1655" t="s">
        <v>1170</v>
      </c>
      <c r="J911" s="1698" t="s">
        <v>3677</v>
      </c>
      <c r="K911" s="1664" t="s">
        <v>3678</v>
      </c>
      <c r="L911" s="1655" t="s">
        <v>1170</v>
      </c>
      <c r="M911" s="1655" t="s">
        <v>1170</v>
      </c>
      <c r="N911" s="1655" t="s">
        <v>1170</v>
      </c>
      <c r="O911" s="1755">
        <v>44246</v>
      </c>
      <c r="P911" s="1755">
        <v>44255</v>
      </c>
      <c r="Q911" s="1664" t="s">
        <v>589</v>
      </c>
      <c r="R911" s="1805">
        <v>12258</v>
      </c>
      <c r="S911" s="1664" t="s">
        <v>1189</v>
      </c>
      <c r="T911" s="1655" t="s">
        <v>1170</v>
      </c>
      <c r="U911" s="1655" t="s">
        <v>1170</v>
      </c>
      <c r="V911" s="1655"/>
      <c r="W911" s="1664" t="s">
        <v>1081</v>
      </c>
      <c r="X911" s="1723" t="s">
        <v>1175</v>
      </c>
      <c r="Y911" s="1723" t="s">
        <v>251</v>
      </c>
      <c r="Z911" s="1657" t="s">
        <v>1170</v>
      </c>
      <c r="AA911" s="1657" t="s">
        <v>1170</v>
      </c>
      <c r="AB911" s="1657" t="s">
        <v>1170</v>
      </c>
      <c r="AC911" s="909" t="s">
        <v>3679</v>
      </c>
      <c r="AD911" s="1657" t="s">
        <v>1170</v>
      </c>
      <c r="AE911" s="1828">
        <v>12258</v>
      </c>
    </row>
    <row r="912" spans="1:32" ht="72.5">
      <c r="A912" s="1185"/>
      <c r="B912" s="4"/>
      <c r="C912" s="4" t="s">
        <v>654</v>
      </c>
      <c r="D912" s="5" t="s">
        <v>32</v>
      </c>
      <c r="E912" s="5"/>
      <c r="F912" s="5"/>
      <c r="G912" s="5"/>
      <c r="H912" s="5" t="s">
        <v>444</v>
      </c>
      <c r="I912" s="5" t="s">
        <v>47</v>
      </c>
      <c r="J912" s="16" t="s">
        <v>655</v>
      </c>
      <c r="K912" s="8"/>
      <c r="L912" s="5" t="e">
        <f>IF(OR(S912=#REF!,S912=#REF!,S912=#REF!,S912=#REF!,S912=#REF!,S912=#REF!,S912=#REF!,S912=#REF!),12,IF(OR(S912=#REF!,S912=#REF!,S912=#REF!,S912=#REF!,S912=#REF!,S912=#REF!,S912=#REF!),3,IF(S912=#REF!,1,IF(S912=#REF!,18,IF(OR(S912=#REF!,S912=#REF!,S912=#REF!,S912=#REF!,S912=#REF!),14,"Invalid proposed procurement method")))))</f>
        <v>#REF!</v>
      </c>
      <c r="M912" s="199" t="str">
        <f>IFERROR(EDATE($N912,-3),"Invalid procurement method or date entered")</f>
        <v>Invalid procurement method or date entered</v>
      </c>
      <c r="N912" s="199" t="str">
        <f>IFERROR(EDATE(O912,-L912),"Invalid procurement method or date entered")</f>
        <v>Invalid procurement method or date entered</v>
      </c>
      <c r="O912" s="199">
        <v>44249</v>
      </c>
      <c r="P912" s="5">
        <v>48</v>
      </c>
      <c r="Q912" s="5" t="s">
        <v>215</v>
      </c>
      <c r="R912" s="18">
        <v>750000</v>
      </c>
      <c r="S912" s="5" t="s">
        <v>84</v>
      </c>
      <c r="T912" s="53" t="s">
        <v>70</v>
      </c>
      <c r="U912" s="53">
        <v>44147</v>
      </c>
      <c r="V912" s="53"/>
      <c r="W912" s="5" t="s">
        <v>3346</v>
      </c>
      <c r="X912" s="493" t="s">
        <v>86</v>
      </c>
      <c r="Y912" s="80" t="s">
        <v>40</v>
      </c>
      <c r="Z912" s="80"/>
      <c r="AA912" s="80" t="s">
        <v>70</v>
      </c>
      <c r="AB912" s="354" t="s">
        <v>41</v>
      </c>
      <c r="AC912" s="101" t="s">
        <v>89</v>
      </c>
      <c r="AD912" s="76" t="s">
        <v>285</v>
      </c>
      <c r="AE912" s="211"/>
      <c r="AF912" s="1"/>
    </row>
    <row r="913" spans="1:32" ht="50">
      <c r="A913" s="1119"/>
      <c r="B913" s="577" t="s">
        <v>56</v>
      </c>
      <c r="C913" s="511" t="s">
        <v>60</v>
      </c>
      <c r="D913" s="511" t="s">
        <v>57</v>
      </c>
      <c r="E913" s="511"/>
      <c r="F913" s="511"/>
      <c r="G913" s="511"/>
      <c r="H913" s="511" t="s">
        <v>58</v>
      </c>
      <c r="I913" s="519" t="s">
        <v>47</v>
      </c>
      <c r="J913" s="606" t="s">
        <v>3680</v>
      </c>
      <c r="K913" s="529"/>
      <c r="L913" s="511">
        <v>3</v>
      </c>
      <c r="M913" s="514">
        <f>IF(O913="tbc","",(IFERROR(EDATE($N913,-3),"Invalid procurement method or date entered")))</f>
        <v>44065</v>
      </c>
      <c r="N913" s="514">
        <f>IF(O913="tbc","",(IFERROR(EDATE(O913,-L913),"Invalid procurement method or date entered")))</f>
        <v>44157</v>
      </c>
      <c r="O913" s="515">
        <v>44249</v>
      </c>
      <c r="P913" s="516">
        <v>2</v>
      </c>
      <c r="Q913" s="516">
        <v>2</v>
      </c>
      <c r="R913" s="528">
        <f>382766+228693+250797</f>
        <v>862256</v>
      </c>
      <c r="S913" s="515" t="s">
        <v>61</v>
      </c>
      <c r="T913" s="515" t="s">
        <v>62</v>
      </c>
      <c r="U913" s="511" t="s">
        <v>60</v>
      </c>
      <c r="V913" s="511"/>
      <c r="W913" s="511"/>
      <c r="AF913" s="1"/>
    </row>
    <row r="914" spans="1:32" ht="50">
      <c r="A914" s="1119"/>
      <c r="B914" s="577" t="s">
        <v>56</v>
      </c>
      <c r="C914" s="511" t="s">
        <v>60</v>
      </c>
      <c r="D914" s="511" t="s">
        <v>57</v>
      </c>
      <c r="E914" s="511"/>
      <c r="F914" s="511"/>
      <c r="G914" s="511"/>
      <c r="H914" s="511" t="s">
        <v>58</v>
      </c>
      <c r="I914" s="519" t="s">
        <v>47</v>
      </c>
      <c r="J914" s="606" t="s">
        <v>3681</v>
      </c>
      <c r="K914" s="529"/>
      <c r="L914" s="511">
        <v>3</v>
      </c>
      <c r="M914" s="514">
        <f>IF(O914="tbc","",(IFERROR(EDATE($N914,-3),"Invalid procurement method or date entered")))</f>
        <v>44065</v>
      </c>
      <c r="N914" s="514">
        <f>IF(O914="tbc","",(IFERROR(EDATE(O914,-L914),"Invalid procurement method or date entered")))</f>
        <v>44157</v>
      </c>
      <c r="O914" s="515">
        <v>44249</v>
      </c>
      <c r="P914" s="516">
        <v>2</v>
      </c>
      <c r="Q914" s="516">
        <v>2</v>
      </c>
      <c r="R914" s="528">
        <f>866897+197444</f>
        <v>1064341</v>
      </c>
      <c r="S914" s="515" t="s">
        <v>61</v>
      </c>
      <c r="T914" s="515" t="s">
        <v>62</v>
      </c>
      <c r="U914" s="511" t="s">
        <v>60</v>
      </c>
      <c r="V914" s="511"/>
      <c r="W914" s="511"/>
      <c r="AF914" s="1"/>
    </row>
    <row r="915" spans="1:32" ht="72.5">
      <c r="A915" s="1184"/>
      <c r="B915" s="4"/>
      <c r="C915" s="4" t="s">
        <v>3682</v>
      </c>
      <c r="D915" s="5" t="s">
        <v>32</v>
      </c>
      <c r="E915" s="5"/>
      <c r="F915" s="5"/>
      <c r="G915" s="5"/>
      <c r="H915" s="2751" t="s">
        <v>80</v>
      </c>
      <c r="I915" s="2751" t="s">
        <v>47</v>
      </c>
      <c r="J915" s="2752" t="s">
        <v>3683</v>
      </c>
      <c r="K915" s="2752"/>
      <c r="L915" s="5" t="e">
        <f>IF(OR(S915=#REF!,S915=#REF!,S915=#REF!,S915=#REF!,S915=#REF!,S915=#REF!,S915=#REF!,S915=#REF!),12,IF(OR(S915=#REF!,S915=#REF!,S915=#REF!,S915=#REF!,S915=#REF!,S915=#REF!,S915=#REF!),3,IF(S915=#REF!,1,IF(S915=#REF!,18,IF(OR(S915=#REF!,S915=#REF!,S915=#REF!,S915=#REF!,S915=#REF!),14,"Invalid proposed procurement method")))))</f>
        <v>#REF!</v>
      </c>
      <c r="M915" s="199" t="str">
        <f>IFERROR(EDATE($N915,-3),"Invalid procurement method or date entered")</f>
        <v>Invalid procurement method or date entered</v>
      </c>
      <c r="N915" s="199" t="str">
        <f>IFERROR(EDATE(O915,-L915),"Invalid procurement method or date entered")</f>
        <v>Invalid procurement method or date entered</v>
      </c>
      <c r="O915" s="182">
        <v>44250</v>
      </c>
      <c r="P915" s="2751">
        <v>26</v>
      </c>
      <c r="Q915" s="2751" t="s">
        <v>3684</v>
      </c>
      <c r="R915" s="18">
        <v>1400000</v>
      </c>
      <c r="S915" s="5" t="s">
        <v>158</v>
      </c>
      <c r="T915" s="5" t="s">
        <v>70</v>
      </c>
      <c r="U915" s="182">
        <v>44154</v>
      </c>
      <c r="V915" s="182"/>
      <c r="W915" s="2751" t="s">
        <v>3685</v>
      </c>
      <c r="X915" s="80" t="s">
        <v>86</v>
      </c>
      <c r="Y915" s="80" t="s">
        <v>40</v>
      </c>
      <c r="Z915" s="80"/>
      <c r="AA915" s="2760" t="s">
        <v>38</v>
      </c>
      <c r="AB915" s="354" t="s">
        <v>271</v>
      </c>
      <c r="AC915" s="2761" t="s">
        <v>89</v>
      </c>
      <c r="AD915" s="76" t="s">
        <v>80</v>
      </c>
      <c r="AE915" s="211">
        <v>672000</v>
      </c>
      <c r="AF915" s="1"/>
    </row>
    <row r="916" spans="1:32" ht="72.5">
      <c r="A916" s="1184"/>
      <c r="B916" s="174"/>
      <c r="C916" s="2755" t="s">
        <v>2654</v>
      </c>
      <c r="D916" s="9" t="s">
        <v>32</v>
      </c>
      <c r="E916" s="9"/>
      <c r="F916" s="9"/>
      <c r="G916" s="9"/>
      <c r="H916" s="5" t="s">
        <v>2629</v>
      </c>
      <c r="I916" s="5" t="s">
        <v>34</v>
      </c>
      <c r="J916" s="191" t="s">
        <v>2630</v>
      </c>
      <c r="K916" s="191"/>
      <c r="L916" s="5" t="e">
        <f>IF(OR(S916=#REF!,S916=#REF!,S916=#REF!,S916=#REF!,S916=#REF!,S916=#REF!,S916=#REF!,S916=#REF!),12,IF(OR(S916=#REF!,S916=#REF!,S916=#REF!,S916=#REF!,S916=#REF!,S916=#REF!,S916=#REF!),3,IF(S916=#REF!,1,IF(S916=#REF!,18,IF(OR(S916=#REF!,S916=#REF!,S916=#REF!,S916=#REF!,S916=#REF!),14,"Invalid proposed procurement method")))))</f>
        <v>#REF!</v>
      </c>
      <c r="M916" s="199" t="str">
        <f>IFERROR(EDATE($N916,-3),"Invalid procurement method or date entered")</f>
        <v>Invalid procurement method or date entered</v>
      </c>
      <c r="N916" s="199" t="str">
        <f>IFERROR(EDATE(O916,-L916),"Invalid procurement method or date entered")</f>
        <v>Invalid procurement method or date entered</v>
      </c>
      <c r="O916" s="14">
        <v>44254</v>
      </c>
      <c r="P916" s="5">
        <v>33</v>
      </c>
      <c r="Q916" s="5" t="s">
        <v>3686</v>
      </c>
      <c r="R916" s="198">
        <v>1217376</v>
      </c>
      <c r="S916" s="5" t="s">
        <v>130</v>
      </c>
      <c r="T916" s="51" t="s">
        <v>70</v>
      </c>
      <c r="U916" s="51">
        <v>44095</v>
      </c>
      <c r="V916" s="51"/>
      <c r="W916" s="5" t="s">
        <v>3687</v>
      </c>
      <c r="X916" s="80" t="s">
        <v>283</v>
      </c>
      <c r="Y916" s="80" t="s">
        <v>40</v>
      </c>
      <c r="Z916" s="80"/>
      <c r="AA916" s="80" t="s">
        <v>70</v>
      </c>
      <c r="AB916" s="354" t="s">
        <v>41</v>
      </c>
      <c r="AC916" s="101" t="s">
        <v>3688</v>
      </c>
      <c r="AD916" s="76" t="s">
        <v>285</v>
      </c>
      <c r="AE916" s="211">
        <v>773617.68</v>
      </c>
      <c r="AF916" s="1"/>
    </row>
    <row r="917" spans="1:32" ht="43.5">
      <c r="A917" s="1184"/>
      <c r="B917" s="4"/>
      <c r="C917" s="4" t="s">
        <v>45</v>
      </c>
      <c r="D917" s="9" t="s">
        <v>32</v>
      </c>
      <c r="E917" s="9"/>
      <c r="F917" s="9"/>
      <c r="G917" s="9"/>
      <c r="H917" s="5" t="s">
        <v>33</v>
      </c>
      <c r="I917" s="5" t="s">
        <v>47</v>
      </c>
      <c r="J917" s="1590" t="s">
        <v>3689</v>
      </c>
      <c r="K917" s="64"/>
      <c r="L917" s="5">
        <v>6</v>
      </c>
      <c r="M917" s="199">
        <f>IFERROR(EDATE($N917,-3),"Invalid procurement method or date entered")</f>
        <v>43978</v>
      </c>
      <c r="N917" s="199">
        <f>IFERROR(EDATE(O917,-L917),"Invalid procurement method or date entered")</f>
        <v>44070</v>
      </c>
      <c r="O917" s="182">
        <v>44254</v>
      </c>
      <c r="P917" s="12">
        <v>12</v>
      </c>
      <c r="Q917" s="12">
        <v>12</v>
      </c>
      <c r="R917" s="18">
        <v>4940</v>
      </c>
      <c r="S917" s="5" t="s">
        <v>37</v>
      </c>
      <c r="T917" s="52" t="s">
        <v>38</v>
      </c>
      <c r="U917" s="48" t="s">
        <v>67</v>
      </c>
      <c r="V917" s="48"/>
      <c r="W917" s="12" t="s">
        <v>262</v>
      </c>
      <c r="X917" s="1076" t="s">
        <v>289</v>
      </c>
      <c r="Y917" s="80" t="s">
        <v>727</v>
      </c>
      <c r="Z917" s="80" t="s">
        <v>154</v>
      </c>
      <c r="AA917" s="80" t="s">
        <v>38</v>
      </c>
      <c r="AB917" s="354" t="s">
        <v>271</v>
      </c>
      <c r="AC917" s="1111"/>
      <c r="AD917" s="80" t="s">
        <v>264</v>
      </c>
      <c r="AE917" s="211">
        <v>529882</v>
      </c>
      <c r="AF917" s="1"/>
    </row>
    <row r="918" spans="1:32" ht="87">
      <c r="A918" s="1185"/>
      <c r="B918" s="4"/>
      <c r="C918" s="4" t="s">
        <v>2470</v>
      </c>
      <c r="D918" s="9" t="s">
        <v>32</v>
      </c>
      <c r="E918" s="9"/>
      <c r="F918" s="9"/>
      <c r="G918" s="9"/>
      <c r="H918" s="5" t="s">
        <v>444</v>
      </c>
      <c r="I918" s="5" t="s">
        <v>34</v>
      </c>
      <c r="J918" s="191" t="s">
        <v>3690</v>
      </c>
      <c r="K918" s="74"/>
      <c r="L918" s="5" t="e">
        <f>IF(OR(S918=#REF!,S918=#REF!,S918=#REF!,S918=#REF!,S918=#REF!,S918=#REF!,S918=#REF!,S918=#REF!),12,IF(OR(S918=#REF!,S918=#REF!,S918=#REF!,S918=#REF!,S918=#REF!,S918=#REF!,S918=#REF!),3,IF(S918=#REF!,1,IF(S918=#REF!,18,IF(OR(S918=#REF!,S918=#REF!,S918=#REF!,S918=#REF!,S918=#REF!),14,"Invalid proposed procurement method")))))</f>
        <v>#REF!</v>
      </c>
      <c r="M918" s="199" t="str">
        <f>IFERROR(EDATE($N918,-3),"Invalid procurement method or date entered")</f>
        <v>Invalid procurement method or date entered</v>
      </c>
      <c r="N918" s="199" t="str">
        <f>IFERROR(EDATE(O918,-L918),"Invalid procurement method or date entered")</f>
        <v>Invalid procurement method or date entered</v>
      </c>
      <c r="O918" s="199">
        <v>44256</v>
      </c>
      <c r="P918" s="5">
        <v>27</v>
      </c>
      <c r="Q918" s="7" t="s">
        <v>3691</v>
      </c>
      <c r="R918" s="18">
        <v>934000</v>
      </c>
      <c r="S918" s="5" t="s">
        <v>130</v>
      </c>
      <c r="T918" s="52" t="s">
        <v>62</v>
      </c>
      <c r="U918" s="48" t="s">
        <v>67</v>
      </c>
      <c r="V918" s="48"/>
      <c r="W918" s="5" t="s">
        <v>3346</v>
      </c>
      <c r="X918" s="493" t="s">
        <v>283</v>
      </c>
      <c r="Y918" s="80" t="s">
        <v>40</v>
      </c>
      <c r="Z918" s="80"/>
      <c r="AA918" s="1076" t="s">
        <v>70</v>
      </c>
      <c r="AB918" s="354" t="s">
        <v>41</v>
      </c>
      <c r="AC918" s="101" t="s">
        <v>3692</v>
      </c>
      <c r="AD918" s="76" t="s">
        <v>285</v>
      </c>
      <c r="AE918" s="211">
        <v>415000</v>
      </c>
      <c r="AF918" s="1"/>
    </row>
    <row r="919" spans="1:32" ht="29">
      <c r="A919" s="1184"/>
      <c r="B919" s="362" t="s">
        <v>100</v>
      </c>
      <c r="C919" s="389" t="s">
        <v>1162</v>
      </c>
      <c r="D919" s="8" t="s">
        <v>122</v>
      </c>
      <c r="E919" s="8"/>
      <c r="F919" s="8"/>
      <c r="G919" s="8"/>
      <c r="H919" s="8" t="s">
        <v>103</v>
      </c>
      <c r="I919" s="8" t="s">
        <v>47</v>
      </c>
      <c r="J919" s="16" t="s">
        <v>1164</v>
      </c>
      <c r="K919" s="8"/>
      <c r="L919" s="84">
        <v>12</v>
      </c>
      <c r="M919" s="436">
        <f>IFERROR(EDATE(N919,-3),"Invalid procurement method or date entered")</f>
        <v>43800</v>
      </c>
      <c r="N919" s="386">
        <f>IFERROR(EDATE(O919,-L919),"Invalid procurement method or date entered")</f>
        <v>43891</v>
      </c>
      <c r="O919" s="367">
        <v>44256</v>
      </c>
      <c r="P919" s="71">
        <v>60</v>
      </c>
      <c r="Q919" s="71" t="s">
        <v>3693</v>
      </c>
      <c r="R919" s="159">
        <v>100000</v>
      </c>
      <c r="S919" s="159" t="s">
        <v>176</v>
      </c>
      <c r="T919" s="365" t="s">
        <v>38</v>
      </c>
      <c r="U919" s="365" t="s">
        <v>45</v>
      </c>
      <c r="V919" s="365"/>
      <c r="W919" s="8" t="s">
        <v>3694</v>
      </c>
      <c r="X919" s="101" t="s">
        <v>254</v>
      </c>
      <c r="Y919" s="101" t="s">
        <v>40</v>
      </c>
      <c r="Z919" s="101"/>
      <c r="AA919" s="356"/>
      <c r="AB919" s="432">
        <v>43844</v>
      </c>
      <c r="AC919" s="101" t="s">
        <v>3695</v>
      </c>
      <c r="AD919" s="101"/>
      <c r="AE919" s="101"/>
      <c r="AF919" s="3"/>
    </row>
    <row r="920" spans="1:32" ht="87">
      <c r="A920" s="1184"/>
      <c r="B920" s="4" t="s">
        <v>44</v>
      </c>
      <c r="C920" s="4" t="s">
        <v>3696</v>
      </c>
      <c r="D920" s="9" t="s">
        <v>32</v>
      </c>
      <c r="E920" s="9"/>
      <c r="F920" s="9"/>
      <c r="G920" s="9"/>
      <c r="H920" s="5" t="s">
        <v>33</v>
      </c>
      <c r="I920" s="12" t="s">
        <v>34</v>
      </c>
      <c r="J920" s="16" t="s">
        <v>3697</v>
      </c>
      <c r="K920" s="16"/>
      <c r="L920" s="16"/>
      <c r="M920" s="199">
        <v>43831</v>
      </c>
      <c r="N920" s="199"/>
      <c r="O920" s="182">
        <v>44256</v>
      </c>
      <c r="P920" s="12">
        <v>96</v>
      </c>
      <c r="Q920" s="7" t="s">
        <v>3698</v>
      </c>
      <c r="R920" s="18">
        <v>64000</v>
      </c>
      <c r="S920" s="5" t="s">
        <v>130</v>
      </c>
      <c r="T920" s="5" t="s">
        <v>38</v>
      </c>
      <c r="U920" s="12" t="s">
        <v>67</v>
      </c>
      <c r="V920" s="12"/>
      <c r="W920" s="5" t="s">
        <v>3025</v>
      </c>
      <c r="X920" s="493" t="s">
        <v>39</v>
      </c>
      <c r="Y920" s="80" t="s">
        <v>115</v>
      </c>
      <c r="Z920" s="80"/>
      <c r="AA920" s="76"/>
      <c r="AB920" s="354">
        <v>43984</v>
      </c>
      <c r="AC920" s="101" t="s">
        <v>3699</v>
      </c>
      <c r="AD920" s="76" t="s">
        <v>3146</v>
      </c>
      <c r="AE920" s="339"/>
      <c r="AF920" s="3"/>
    </row>
    <row r="921" spans="1:32" ht="62.5">
      <c r="A921" s="1119"/>
      <c r="B921" s="577" t="s">
        <v>56</v>
      </c>
      <c r="C921" s="510" t="s">
        <v>60</v>
      </c>
      <c r="D921" s="511" t="s">
        <v>57</v>
      </c>
      <c r="E921" s="511"/>
      <c r="F921" s="511"/>
      <c r="G921" s="511"/>
      <c r="H921" s="511" t="s">
        <v>58</v>
      </c>
      <c r="I921" s="519" t="s">
        <v>47</v>
      </c>
      <c r="J921" s="1578" t="s">
        <v>3700</v>
      </c>
      <c r="K921" s="512"/>
      <c r="L921" s="512"/>
      <c r="M921" s="511">
        <v>3</v>
      </c>
      <c r="N921" s="514" t="str">
        <f>IF(O921="tbc","",(IFERROR(EDATE(#REF!,-3),"Invalid procurement method or date entered")))</f>
        <v>Invalid procurement method or date entered</v>
      </c>
      <c r="O921" s="515">
        <v>44256</v>
      </c>
      <c r="P921" s="516">
        <v>1</v>
      </c>
      <c r="Q921" s="516">
        <v>1</v>
      </c>
      <c r="R921" s="528">
        <v>220150</v>
      </c>
      <c r="S921" s="515" t="s">
        <v>61</v>
      </c>
      <c r="T921" s="515" t="s">
        <v>62</v>
      </c>
      <c r="U921" s="515" t="s">
        <v>60</v>
      </c>
      <c r="V921" s="515"/>
      <c r="W921" s="519" t="s">
        <v>3701</v>
      </c>
      <c r="AF921" s="1"/>
    </row>
    <row r="922" spans="1:32" ht="62.5">
      <c r="A922" s="1119"/>
      <c r="B922" s="577" t="s">
        <v>56</v>
      </c>
      <c r="C922" s="510" t="s">
        <v>60</v>
      </c>
      <c r="D922" s="511" t="s">
        <v>57</v>
      </c>
      <c r="E922" s="511"/>
      <c r="F922" s="511"/>
      <c r="G922" s="511"/>
      <c r="H922" s="511" t="s">
        <v>58</v>
      </c>
      <c r="I922" s="519" t="s">
        <v>47</v>
      </c>
      <c r="J922" s="1578" t="s">
        <v>3702</v>
      </c>
      <c r="K922" s="512"/>
      <c r="L922" s="512"/>
      <c r="M922" s="511">
        <v>3</v>
      </c>
      <c r="N922" s="514" t="str">
        <f>IF(O922="tbc","",(IFERROR(EDATE(#REF!,-3),"Invalid procurement method or date entered")))</f>
        <v>Invalid procurement method or date entered</v>
      </c>
      <c r="O922" s="515">
        <v>44256</v>
      </c>
      <c r="P922" s="516">
        <v>2</v>
      </c>
      <c r="Q922" s="516">
        <v>2</v>
      </c>
      <c r="R922" s="528">
        <v>464148</v>
      </c>
      <c r="S922" s="515" t="s">
        <v>61</v>
      </c>
      <c r="T922" s="515" t="s">
        <v>62</v>
      </c>
      <c r="U922" s="515" t="s">
        <v>60</v>
      </c>
      <c r="V922" s="515"/>
      <c r="W922" s="519" t="s">
        <v>3701</v>
      </c>
      <c r="AF922" s="1"/>
    </row>
    <row r="923" spans="1:32" ht="62.5">
      <c r="A923" s="1119"/>
      <c r="B923" s="577" t="s">
        <v>56</v>
      </c>
      <c r="C923" s="510" t="s">
        <v>60</v>
      </c>
      <c r="D923" s="511" t="s">
        <v>57</v>
      </c>
      <c r="E923" s="511"/>
      <c r="F923" s="511"/>
      <c r="G923" s="511"/>
      <c r="H923" s="511" t="s">
        <v>58</v>
      </c>
      <c r="I923" s="519" t="s">
        <v>47</v>
      </c>
      <c r="J923" s="1578" t="s">
        <v>3703</v>
      </c>
      <c r="K923" s="512"/>
      <c r="L923" s="512"/>
      <c r="M923" s="511">
        <v>3</v>
      </c>
      <c r="N923" s="514" t="str">
        <f>IF(O923="tbc","",(IFERROR(EDATE(#REF!,-3),"Invalid procurement method or date entered")))</f>
        <v>Invalid procurement method or date entered</v>
      </c>
      <c r="O923" s="515">
        <v>44256</v>
      </c>
      <c r="P923" s="516">
        <v>1</v>
      </c>
      <c r="Q923" s="516">
        <v>1</v>
      </c>
      <c r="R923" s="528">
        <v>91593</v>
      </c>
      <c r="S923" s="515" t="s">
        <v>61</v>
      </c>
      <c r="T923" s="515" t="s">
        <v>62</v>
      </c>
      <c r="U923" s="515" t="s">
        <v>60</v>
      </c>
      <c r="V923" s="515"/>
      <c r="W923" s="519" t="s">
        <v>3701</v>
      </c>
      <c r="AF923" s="1"/>
    </row>
    <row r="924" spans="1:32" ht="62.5">
      <c r="A924" s="1119"/>
      <c r="B924" s="577" t="s">
        <v>56</v>
      </c>
      <c r="C924" s="510" t="s">
        <v>60</v>
      </c>
      <c r="D924" s="511" t="s">
        <v>57</v>
      </c>
      <c r="E924" s="511"/>
      <c r="F924" s="511"/>
      <c r="G924" s="511"/>
      <c r="H924" s="511" t="s">
        <v>58</v>
      </c>
      <c r="I924" s="519" t="s">
        <v>47</v>
      </c>
      <c r="J924" s="1578" t="s">
        <v>3704</v>
      </c>
      <c r="K924" s="512"/>
      <c r="L924" s="512"/>
      <c r="M924" s="511">
        <v>3</v>
      </c>
      <c r="N924" s="514" t="str">
        <f>IF(O924="tbc","",(IFERROR(EDATE(#REF!,-3),"Invalid procurement method or date entered")))</f>
        <v>Invalid procurement method or date entered</v>
      </c>
      <c r="O924" s="515">
        <v>44256</v>
      </c>
      <c r="P924" s="516">
        <v>1</v>
      </c>
      <c r="Q924" s="516">
        <v>1</v>
      </c>
      <c r="R924" s="528">
        <v>140977</v>
      </c>
      <c r="S924" s="515" t="s">
        <v>61</v>
      </c>
      <c r="T924" s="515" t="s">
        <v>62</v>
      </c>
      <c r="U924" s="515" t="s">
        <v>60</v>
      </c>
      <c r="V924" s="515"/>
      <c r="W924" s="519" t="s">
        <v>3701</v>
      </c>
      <c r="AF924" s="1"/>
    </row>
    <row r="925" spans="1:32" ht="62.5">
      <c r="A925" s="1119"/>
      <c r="B925" s="577" t="s">
        <v>56</v>
      </c>
      <c r="C925" s="510" t="s">
        <v>60</v>
      </c>
      <c r="D925" s="511" t="s">
        <v>57</v>
      </c>
      <c r="E925" s="511"/>
      <c r="F925" s="511"/>
      <c r="G925" s="511"/>
      <c r="H925" s="511" t="s">
        <v>58</v>
      </c>
      <c r="I925" s="519" t="s">
        <v>47</v>
      </c>
      <c r="J925" s="1578" t="s">
        <v>3705</v>
      </c>
      <c r="K925" s="512"/>
      <c r="L925" s="512"/>
      <c r="M925" s="511">
        <v>3</v>
      </c>
      <c r="N925" s="514" t="str">
        <f>IF(O925="tbc","",(IFERROR(EDATE(#REF!,-3),"Invalid procurement method or date entered")))</f>
        <v>Invalid procurement method or date entered</v>
      </c>
      <c r="O925" s="515">
        <v>44256</v>
      </c>
      <c r="P925" s="516">
        <v>1</v>
      </c>
      <c r="Q925" s="516">
        <v>1</v>
      </c>
      <c r="R925" s="528">
        <v>150068</v>
      </c>
      <c r="S925" s="515" t="s">
        <v>61</v>
      </c>
      <c r="T925" s="515" t="s">
        <v>62</v>
      </c>
      <c r="U925" s="515" t="s">
        <v>60</v>
      </c>
      <c r="V925" s="515"/>
      <c r="W925" s="519" t="s">
        <v>3701</v>
      </c>
      <c r="AF925" s="1"/>
    </row>
    <row r="926" spans="1:32" ht="62.5">
      <c r="A926" s="1119"/>
      <c r="B926" s="577" t="s">
        <v>56</v>
      </c>
      <c r="C926" s="510" t="s">
        <v>60</v>
      </c>
      <c r="D926" s="511" t="s">
        <v>57</v>
      </c>
      <c r="E926" s="511"/>
      <c r="F926" s="511"/>
      <c r="G926" s="511"/>
      <c r="H926" s="511" t="s">
        <v>58</v>
      </c>
      <c r="I926" s="519" t="s">
        <v>47</v>
      </c>
      <c r="J926" s="1578" t="s">
        <v>3706</v>
      </c>
      <c r="K926" s="512"/>
      <c r="L926" s="512"/>
      <c r="M926" s="511">
        <v>3</v>
      </c>
      <c r="N926" s="514" t="str">
        <f>IF(O926="tbc","",(IFERROR(EDATE(#REF!,-3),"Invalid procurement method or date entered")))</f>
        <v>Invalid procurement method or date entered</v>
      </c>
      <c r="O926" s="515">
        <v>44256</v>
      </c>
      <c r="P926" s="516">
        <v>1</v>
      </c>
      <c r="Q926" s="516">
        <v>1</v>
      </c>
      <c r="R926" s="528">
        <v>171017</v>
      </c>
      <c r="S926" s="515" t="s">
        <v>61</v>
      </c>
      <c r="T926" s="515" t="s">
        <v>62</v>
      </c>
      <c r="U926" s="515" t="s">
        <v>60</v>
      </c>
      <c r="V926" s="515"/>
      <c r="W926" s="519" t="s">
        <v>3701</v>
      </c>
      <c r="AF926" s="3"/>
    </row>
    <row r="927" spans="1:32" ht="62.5">
      <c r="A927" s="1119"/>
      <c r="B927" s="577" t="s">
        <v>56</v>
      </c>
      <c r="C927" s="510" t="s">
        <v>60</v>
      </c>
      <c r="D927" s="511" t="s">
        <v>57</v>
      </c>
      <c r="E927" s="511"/>
      <c r="F927" s="511"/>
      <c r="G927" s="511"/>
      <c r="H927" s="511" t="s">
        <v>58</v>
      </c>
      <c r="I927" s="519" t="s">
        <v>47</v>
      </c>
      <c r="J927" s="1578" t="s">
        <v>3707</v>
      </c>
      <c r="K927" s="512"/>
      <c r="L927" s="512"/>
      <c r="M927" s="511">
        <v>3</v>
      </c>
      <c r="N927" s="514" t="str">
        <f>IF(O927="tbc","",(IFERROR(EDATE(#REF!,-3),"Invalid procurement method or date entered")))</f>
        <v>Invalid procurement method or date entered</v>
      </c>
      <c r="O927" s="515">
        <v>44256</v>
      </c>
      <c r="P927" s="516">
        <v>1</v>
      </c>
      <c r="Q927" s="516">
        <v>1</v>
      </c>
      <c r="R927" s="528">
        <v>155114</v>
      </c>
      <c r="S927" s="515" t="s">
        <v>61</v>
      </c>
      <c r="T927" s="515" t="s">
        <v>62</v>
      </c>
      <c r="U927" s="515" t="s">
        <v>60</v>
      </c>
      <c r="V927" s="515"/>
      <c r="W927" s="519" t="s">
        <v>3701</v>
      </c>
      <c r="AF927" s="1"/>
    </row>
    <row r="928" spans="1:32" ht="62.5">
      <c r="A928" s="1119"/>
      <c r="B928" s="577" t="s">
        <v>56</v>
      </c>
      <c r="C928" s="510" t="s">
        <v>60</v>
      </c>
      <c r="D928" s="511" t="s">
        <v>57</v>
      </c>
      <c r="E928" s="511"/>
      <c r="F928" s="511"/>
      <c r="G928" s="511"/>
      <c r="H928" s="511" t="s">
        <v>58</v>
      </c>
      <c r="I928" s="519" t="s">
        <v>47</v>
      </c>
      <c r="J928" s="1578" t="s">
        <v>3708</v>
      </c>
      <c r="K928" s="512"/>
      <c r="L928" s="512"/>
      <c r="M928" s="511">
        <v>3</v>
      </c>
      <c r="N928" s="514" t="str">
        <f>IF(O928="tbc","",(IFERROR(EDATE(#REF!,-3),"Invalid procurement method or date entered")))</f>
        <v>Invalid procurement method or date entered</v>
      </c>
      <c r="O928" s="515">
        <v>44256</v>
      </c>
      <c r="P928" s="516">
        <v>1</v>
      </c>
      <c r="Q928" s="516">
        <v>1</v>
      </c>
      <c r="R928" s="528">
        <v>168676</v>
      </c>
      <c r="S928" s="515" t="s">
        <v>61</v>
      </c>
      <c r="T928" s="515" t="s">
        <v>62</v>
      </c>
      <c r="U928" s="515" t="s">
        <v>60</v>
      </c>
      <c r="V928" s="515"/>
      <c r="W928" s="519" t="s">
        <v>3701</v>
      </c>
      <c r="AF928" s="1"/>
    </row>
    <row r="929" spans="1:32" ht="62.5">
      <c r="A929" s="1119"/>
      <c r="B929" s="577" t="s">
        <v>56</v>
      </c>
      <c r="C929" s="510" t="s">
        <v>60</v>
      </c>
      <c r="D929" s="511" t="s">
        <v>57</v>
      </c>
      <c r="E929" s="511"/>
      <c r="F929" s="511"/>
      <c r="G929" s="511"/>
      <c r="H929" s="511" t="s">
        <v>58</v>
      </c>
      <c r="I929" s="519" t="s">
        <v>47</v>
      </c>
      <c r="J929" s="1578" t="s">
        <v>3709</v>
      </c>
      <c r="K929" s="512"/>
      <c r="L929" s="512"/>
      <c r="M929" s="511">
        <v>3</v>
      </c>
      <c r="N929" s="514" t="str">
        <f>IF(O929="tbc","",(IFERROR(EDATE(#REF!,-3),"Invalid procurement method or date entered")))</f>
        <v>Invalid procurement method or date entered</v>
      </c>
      <c r="O929" s="515">
        <v>44256</v>
      </c>
      <c r="P929" s="516">
        <v>1</v>
      </c>
      <c r="Q929" s="516">
        <v>1</v>
      </c>
      <c r="R929" s="528">
        <v>43000</v>
      </c>
      <c r="S929" s="515" t="s">
        <v>61</v>
      </c>
      <c r="T929" s="515" t="s">
        <v>62</v>
      </c>
      <c r="U929" s="515" t="s">
        <v>60</v>
      </c>
      <c r="V929" s="515"/>
      <c r="W929" s="519" t="s">
        <v>3701</v>
      </c>
      <c r="AF929" s="1"/>
    </row>
    <row r="930" spans="1:32" ht="62.5">
      <c r="A930" s="1119"/>
      <c r="B930" s="577" t="s">
        <v>56</v>
      </c>
      <c r="C930" s="510" t="s">
        <v>60</v>
      </c>
      <c r="D930" s="511" t="s">
        <v>57</v>
      </c>
      <c r="E930" s="511"/>
      <c r="F930" s="511"/>
      <c r="G930" s="511"/>
      <c r="H930" s="511" t="s">
        <v>58</v>
      </c>
      <c r="I930" s="519" t="s">
        <v>47</v>
      </c>
      <c r="J930" s="1578" t="s">
        <v>3710</v>
      </c>
      <c r="K930" s="512"/>
      <c r="L930" s="512"/>
      <c r="M930" s="511">
        <v>3</v>
      </c>
      <c r="N930" s="514" t="str">
        <f>IF(O930="tbc","",(IFERROR(EDATE(#REF!,-3),"Invalid procurement method or date entered")))</f>
        <v>Invalid procurement method or date entered</v>
      </c>
      <c r="O930" s="515">
        <v>44256</v>
      </c>
      <c r="P930" s="516">
        <v>1</v>
      </c>
      <c r="Q930" s="516">
        <v>1</v>
      </c>
      <c r="R930" s="528">
        <v>69304</v>
      </c>
      <c r="S930" s="515" t="s">
        <v>61</v>
      </c>
      <c r="T930" s="515" t="s">
        <v>62</v>
      </c>
      <c r="U930" s="515" t="s">
        <v>60</v>
      </c>
      <c r="V930" s="515"/>
      <c r="W930" s="519" t="s">
        <v>3701</v>
      </c>
      <c r="AF930" s="1"/>
    </row>
    <row r="931" spans="1:32" ht="62.5">
      <c r="A931" s="1119"/>
      <c r="B931" s="577" t="s">
        <v>56</v>
      </c>
      <c r="C931" s="510" t="s">
        <v>60</v>
      </c>
      <c r="D931" s="511" t="s">
        <v>57</v>
      </c>
      <c r="E931" s="511"/>
      <c r="F931" s="511"/>
      <c r="G931" s="511"/>
      <c r="H931" s="511" t="s">
        <v>58</v>
      </c>
      <c r="I931" s="519" t="s">
        <v>47</v>
      </c>
      <c r="J931" s="1578" t="s">
        <v>3711</v>
      </c>
      <c r="K931" s="512"/>
      <c r="L931" s="512"/>
      <c r="M931" s="511">
        <v>3</v>
      </c>
      <c r="N931" s="514" t="str">
        <f>IF(O931="tbc","",(IFERROR(EDATE(#REF!,-3),"Invalid procurement method or date entered")))</f>
        <v>Invalid procurement method or date entered</v>
      </c>
      <c r="O931" s="515">
        <v>44256</v>
      </c>
      <c r="P931" s="516">
        <v>1</v>
      </c>
      <c r="Q931" s="516">
        <v>1</v>
      </c>
      <c r="R931" s="528">
        <v>58871</v>
      </c>
      <c r="S931" s="515" t="s">
        <v>61</v>
      </c>
      <c r="T931" s="515" t="s">
        <v>62</v>
      </c>
      <c r="U931" s="515" t="s">
        <v>60</v>
      </c>
      <c r="V931" s="515"/>
      <c r="W931" s="519" t="s">
        <v>3701</v>
      </c>
      <c r="AF931" s="1"/>
    </row>
    <row r="932" spans="1:32" ht="62.5">
      <c r="A932" s="1119"/>
      <c r="B932" s="577" t="s">
        <v>56</v>
      </c>
      <c r="C932" s="510" t="s">
        <v>60</v>
      </c>
      <c r="D932" s="511" t="s">
        <v>57</v>
      </c>
      <c r="E932" s="511"/>
      <c r="F932" s="511"/>
      <c r="G932" s="511"/>
      <c r="H932" s="511" t="s">
        <v>58</v>
      </c>
      <c r="I932" s="519" t="s">
        <v>47</v>
      </c>
      <c r="J932" s="1578" t="s">
        <v>3712</v>
      </c>
      <c r="K932" s="512"/>
      <c r="L932" s="512"/>
      <c r="M932" s="511">
        <v>3</v>
      </c>
      <c r="N932" s="514" t="str">
        <f>IF(O932="tbc","",(IFERROR(EDATE(#REF!,-3),"Invalid procurement method or date entered")))</f>
        <v>Invalid procurement method or date entered</v>
      </c>
      <c r="O932" s="515">
        <v>44256</v>
      </c>
      <c r="P932" s="516">
        <v>1</v>
      </c>
      <c r="Q932" s="516">
        <v>1</v>
      </c>
      <c r="R932" s="528">
        <v>71622</v>
      </c>
      <c r="S932" s="515" t="s">
        <v>61</v>
      </c>
      <c r="T932" s="515" t="s">
        <v>62</v>
      </c>
      <c r="U932" s="515" t="s">
        <v>60</v>
      </c>
      <c r="V932" s="515"/>
      <c r="W932" s="519" t="s">
        <v>3701</v>
      </c>
      <c r="AF932" s="1"/>
    </row>
    <row r="933" spans="1:32" ht="62.5">
      <c r="A933" s="1119"/>
      <c r="B933" s="577" t="s">
        <v>56</v>
      </c>
      <c r="C933" s="510" t="s">
        <v>60</v>
      </c>
      <c r="D933" s="511" t="s">
        <v>57</v>
      </c>
      <c r="E933" s="511"/>
      <c r="F933" s="511"/>
      <c r="G933" s="511"/>
      <c r="H933" s="511" t="s">
        <v>58</v>
      </c>
      <c r="I933" s="519" t="s">
        <v>47</v>
      </c>
      <c r="J933" s="1578" t="s">
        <v>3713</v>
      </c>
      <c r="K933" s="512"/>
      <c r="L933" s="512"/>
      <c r="M933" s="511">
        <v>3</v>
      </c>
      <c r="N933" s="514" t="str">
        <f>IF(O933="tbc","",(IFERROR(EDATE(#REF!,-3),"Invalid procurement method or date entered")))</f>
        <v>Invalid procurement method or date entered</v>
      </c>
      <c r="O933" s="515">
        <v>44256</v>
      </c>
      <c r="P933" s="516">
        <v>1</v>
      </c>
      <c r="Q933" s="516">
        <v>1</v>
      </c>
      <c r="R933" s="528">
        <v>107932</v>
      </c>
      <c r="S933" s="515" t="s">
        <v>61</v>
      </c>
      <c r="T933" s="515" t="s">
        <v>62</v>
      </c>
      <c r="U933" s="515" t="s">
        <v>60</v>
      </c>
      <c r="V933" s="515"/>
      <c r="W933" s="519" t="s">
        <v>3701</v>
      </c>
      <c r="AF933" s="1"/>
    </row>
    <row r="934" spans="1:32" ht="62.5">
      <c r="A934" s="1119"/>
      <c r="B934" s="577" t="s">
        <v>56</v>
      </c>
      <c r="C934" s="510" t="s">
        <v>60</v>
      </c>
      <c r="D934" s="511" t="s">
        <v>57</v>
      </c>
      <c r="E934" s="511"/>
      <c r="F934" s="511"/>
      <c r="G934" s="511"/>
      <c r="H934" s="511" t="s">
        <v>58</v>
      </c>
      <c r="I934" s="519" t="s">
        <v>47</v>
      </c>
      <c r="J934" s="1578" t="s">
        <v>3714</v>
      </c>
      <c r="K934" s="512"/>
      <c r="L934" s="512"/>
      <c r="M934" s="511">
        <v>3</v>
      </c>
      <c r="N934" s="514" t="str">
        <f>IF(O934="tbc","",(IFERROR(EDATE(#REF!,-3),"Invalid procurement method or date entered")))</f>
        <v>Invalid procurement method or date entered</v>
      </c>
      <c r="O934" s="515">
        <v>44256</v>
      </c>
      <c r="P934" s="516">
        <v>1</v>
      </c>
      <c r="Q934" s="516">
        <v>1</v>
      </c>
      <c r="R934" s="528">
        <v>62194</v>
      </c>
      <c r="S934" s="515" t="s">
        <v>61</v>
      </c>
      <c r="T934" s="515" t="s">
        <v>62</v>
      </c>
      <c r="U934" s="515" t="s">
        <v>60</v>
      </c>
      <c r="V934" s="515"/>
      <c r="W934" s="519" t="s">
        <v>3701</v>
      </c>
      <c r="AF934" s="1"/>
    </row>
    <row r="935" spans="1:32" ht="62.5">
      <c r="A935" s="1119"/>
      <c r="B935" s="577" t="s">
        <v>56</v>
      </c>
      <c r="C935" s="510" t="s">
        <v>60</v>
      </c>
      <c r="D935" s="511" t="s">
        <v>57</v>
      </c>
      <c r="E935" s="511"/>
      <c r="F935" s="511"/>
      <c r="G935" s="511"/>
      <c r="H935" s="511" t="s">
        <v>58</v>
      </c>
      <c r="I935" s="519" t="s">
        <v>47</v>
      </c>
      <c r="J935" s="1578" t="s">
        <v>3715</v>
      </c>
      <c r="K935" s="512"/>
      <c r="L935" s="512"/>
      <c r="M935" s="511">
        <v>3</v>
      </c>
      <c r="N935" s="514" t="str">
        <f>IF(O935="tbc","",(IFERROR(EDATE(#REF!,-3),"Invalid procurement method or date entered")))</f>
        <v>Invalid procurement method or date entered</v>
      </c>
      <c r="O935" s="515">
        <v>44256</v>
      </c>
      <c r="P935" s="516">
        <v>1</v>
      </c>
      <c r="Q935" s="516">
        <v>1</v>
      </c>
      <c r="R935" s="528">
        <v>110383</v>
      </c>
      <c r="S935" s="515" t="s">
        <v>61</v>
      </c>
      <c r="T935" s="515" t="s">
        <v>62</v>
      </c>
      <c r="U935" s="515" t="s">
        <v>60</v>
      </c>
      <c r="V935" s="515"/>
      <c r="W935" s="519" t="s">
        <v>3701</v>
      </c>
      <c r="AF935" s="35"/>
    </row>
    <row r="936" spans="1:32" ht="62.5">
      <c r="A936" s="1119"/>
      <c r="B936" s="577" t="s">
        <v>56</v>
      </c>
      <c r="C936" s="510" t="s">
        <v>60</v>
      </c>
      <c r="D936" s="511" t="s">
        <v>57</v>
      </c>
      <c r="E936" s="511"/>
      <c r="F936" s="511"/>
      <c r="G936" s="511"/>
      <c r="H936" s="511" t="s">
        <v>58</v>
      </c>
      <c r="I936" s="519" t="s">
        <v>47</v>
      </c>
      <c r="J936" s="1578" t="s">
        <v>3716</v>
      </c>
      <c r="K936" s="512"/>
      <c r="L936" s="512"/>
      <c r="M936" s="511">
        <v>3</v>
      </c>
      <c r="N936" s="514" t="str">
        <f>IF(O936="tbc","",(IFERROR(EDATE(#REF!,-3),"Invalid procurement method or date entered")))</f>
        <v>Invalid procurement method or date entered</v>
      </c>
      <c r="O936" s="515">
        <v>44256</v>
      </c>
      <c r="P936" s="516">
        <v>1</v>
      </c>
      <c r="Q936" s="516">
        <v>1</v>
      </c>
      <c r="R936" s="528">
        <v>115404</v>
      </c>
      <c r="S936" s="515" t="s">
        <v>61</v>
      </c>
      <c r="T936" s="515" t="s">
        <v>62</v>
      </c>
      <c r="U936" s="515" t="s">
        <v>60</v>
      </c>
      <c r="V936" s="515"/>
      <c r="W936" s="519" t="s">
        <v>3701</v>
      </c>
      <c r="AF936" s="1"/>
    </row>
    <row r="937" spans="1:32" ht="62.5">
      <c r="A937" s="1119"/>
      <c r="B937" s="577" t="s">
        <v>56</v>
      </c>
      <c r="C937" s="510" t="s">
        <v>60</v>
      </c>
      <c r="D937" s="511" t="s">
        <v>57</v>
      </c>
      <c r="E937" s="511"/>
      <c r="F937" s="511"/>
      <c r="G937" s="511"/>
      <c r="H937" s="511" t="s">
        <v>58</v>
      </c>
      <c r="I937" s="519" t="s">
        <v>47</v>
      </c>
      <c r="J937" s="1578" t="s">
        <v>3717</v>
      </c>
      <c r="K937" s="512"/>
      <c r="L937" s="512"/>
      <c r="M937" s="511">
        <v>3</v>
      </c>
      <c r="N937" s="514" t="str">
        <f>IF(O937="tbc","",(IFERROR(EDATE(#REF!,-3),"Invalid procurement method or date entered")))</f>
        <v>Invalid procurement method or date entered</v>
      </c>
      <c r="O937" s="515">
        <v>44256</v>
      </c>
      <c r="P937" s="516">
        <v>1</v>
      </c>
      <c r="Q937" s="516">
        <v>1</v>
      </c>
      <c r="R937" s="528">
        <v>50943</v>
      </c>
      <c r="S937" s="515" t="s">
        <v>61</v>
      </c>
      <c r="T937" s="515" t="s">
        <v>62</v>
      </c>
      <c r="U937" s="515" t="s">
        <v>60</v>
      </c>
      <c r="V937" s="515"/>
      <c r="W937" s="519" t="s">
        <v>3701</v>
      </c>
    </row>
    <row r="938" spans="1:32" ht="62.5">
      <c r="A938" s="1119"/>
      <c r="B938" s="577" t="s">
        <v>56</v>
      </c>
      <c r="C938" s="510" t="s">
        <v>60</v>
      </c>
      <c r="D938" s="511" t="s">
        <v>57</v>
      </c>
      <c r="E938" s="511"/>
      <c r="F938" s="511"/>
      <c r="G938" s="511"/>
      <c r="H938" s="511" t="s">
        <v>58</v>
      </c>
      <c r="I938" s="519" t="s">
        <v>47</v>
      </c>
      <c r="J938" s="1578" t="s">
        <v>3718</v>
      </c>
      <c r="K938" s="512"/>
      <c r="L938" s="512"/>
      <c r="M938" s="511">
        <v>3</v>
      </c>
      <c r="N938" s="514" t="str">
        <f>IF(O938="tbc","",(IFERROR(EDATE(#REF!,-3),"Invalid procurement method or date entered")))</f>
        <v>Invalid procurement method or date entered</v>
      </c>
      <c r="O938" s="515">
        <v>44256</v>
      </c>
      <c r="P938" s="516">
        <v>1</v>
      </c>
      <c r="Q938" s="516">
        <v>1</v>
      </c>
      <c r="R938" s="528">
        <v>53987</v>
      </c>
      <c r="S938" s="515" t="s">
        <v>61</v>
      </c>
      <c r="T938" s="515" t="s">
        <v>62</v>
      </c>
      <c r="U938" s="515" t="s">
        <v>60</v>
      </c>
      <c r="V938" s="515"/>
      <c r="W938" s="519" t="s">
        <v>3701</v>
      </c>
    </row>
    <row r="939" spans="1:32" ht="62.5">
      <c r="A939" s="1119"/>
      <c r="B939" s="577" t="s">
        <v>56</v>
      </c>
      <c r="C939" s="510" t="s">
        <v>60</v>
      </c>
      <c r="D939" s="511" t="s">
        <v>57</v>
      </c>
      <c r="E939" s="511"/>
      <c r="F939" s="511"/>
      <c r="G939" s="511"/>
      <c r="H939" s="511" t="s">
        <v>58</v>
      </c>
      <c r="I939" s="519" t="s">
        <v>47</v>
      </c>
      <c r="J939" s="1578" t="s">
        <v>3719</v>
      </c>
      <c r="K939" s="512"/>
      <c r="L939" s="512"/>
      <c r="M939" s="511">
        <v>1</v>
      </c>
      <c r="N939" s="514" t="str">
        <f>IF(O939="tbc","",(IFERROR(EDATE(#REF!,-3),"Invalid procurement method or date entered")))</f>
        <v>Invalid procurement method or date entered</v>
      </c>
      <c r="O939" s="515">
        <v>44256</v>
      </c>
      <c r="P939" s="530" t="s">
        <v>60</v>
      </c>
      <c r="Q939" s="530" t="s">
        <v>60</v>
      </c>
      <c r="R939" s="528">
        <v>25000</v>
      </c>
      <c r="S939" s="515" t="s">
        <v>176</v>
      </c>
      <c r="T939" s="515" t="s">
        <v>62</v>
      </c>
      <c r="U939" s="515" t="s">
        <v>60</v>
      </c>
      <c r="V939" s="515"/>
      <c r="W939" s="519" t="s">
        <v>986</v>
      </c>
    </row>
    <row r="940" spans="1:32" ht="62.5">
      <c r="A940" s="1119"/>
      <c r="B940" s="577" t="s">
        <v>56</v>
      </c>
      <c r="C940" s="510" t="s">
        <v>3720</v>
      </c>
      <c r="D940" s="511" t="s">
        <v>57</v>
      </c>
      <c r="E940" s="511"/>
      <c r="F940" s="511"/>
      <c r="G940" s="511"/>
      <c r="H940" s="511" t="s">
        <v>58</v>
      </c>
      <c r="I940" s="519" t="s">
        <v>47</v>
      </c>
      <c r="J940" s="1578" t="s">
        <v>3721</v>
      </c>
      <c r="K940" s="512"/>
      <c r="L940" s="512"/>
      <c r="M940" s="511">
        <v>1</v>
      </c>
      <c r="N940" s="514" t="str">
        <f>IF(O940="tbc","",(IFERROR(EDATE(#REF!,-3),"Invalid procurement method or date entered")))</f>
        <v>Invalid procurement method or date entered</v>
      </c>
      <c r="O940" s="515">
        <v>44256</v>
      </c>
      <c r="P940" s="516">
        <v>0.25</v>
      </c>
      <c r="Q940" s="516">
        <v>0.25</v>
      </c>
      <c r="R940" s="528">
        <v>25000</v>
      </c>
      <c r="S940" s="515" t="s">
        <v>176</v>
      </c>
      <c r="T940" s="515" t="s">
        <v>62</v>
      </c>
      <c r="U940" s="515" t="s">
        <v>60</v>
      </c>
      <c r="V940" s="515"/>
      <c r="W940" s="519" t="s">
        <v>3063</v>
      </c>
    </row>
    <row r="941" spans="1:32" ht="62.5">
      <c r="A941" s="1119"/>
      <c r="B941" s="577" t="s">
        <v>56</v>
      </c>
      <c r="C941" s="511" t="s">
        <v>3722</v>
      </c>
      <c r="D941" s="529" t="s">
        <v>57</v>
      </c>
      <c r="E941" s="529"/>
      <c r="F941" s="529"/>
      <c r="G941" s="529"/>
      <c r="H941" s="529" t="s">
        <v>58</v>
      </c>
      <c r="I941" s="512" t="s">
        <v>47</v>
      </c>
      <c r="J941" s="606" t="s">
        <v>3723</v>
      </c>
      <c r="K941" s="529"/>
      <c r="L941" s="529"/>
      <c r="M941" s="511">
        <v>1</v>
      </c>
      <c r="N941" s="514" t="str">
        <f>IF(O941="tbc","",(IFERROR(EDATE(#REF!,-3),"Invalid procurement method or date entered")))</f>
        <v>Invalid procurement method or date entered</v>
      </c>
      <c r="O941" s="515">
        <v>44256</v>
      </c>
      <c r="P941" s="519">
        <v>1</v>
      </c>
      <c r="Q941" s="530" t="s">
        <v>60</v>
      </c>
      <c r="R941" s="528">
        <v>120000</v>
      </c>
      <c r="S941" s="515" t="s">
        <v>176</v>
      </c>
      <c r="T941" s="515" t="s">
        <v>62</v>
      </c>
      <c r="U941" s="511" t="s">
        <v>60</v>
      </c>
      <c r="V941" s="511"/>
      <c r="W941" s="637" t="s">
        <v>2252</v>
      </c>
    </row>
    <row r="942" spans="1:32" ht="62.5">
      <c r="A942" s="1119"/>
      <c r="B942" s="577" t="s">
        <v>56</v>
      </c>
      <c r="C942" s="510" t="s">
        <v>3724</v>
      </c>
      <c r="D942" s="511" t="s">
        <v>57</v>
      </c>
      <c r="E942" s="511"/>
      <c r="F942" s="511"/>
      <c r="G942" s="511"/>
      <c r="H942" s="511" t="s">
        <v>58</v>
      </c>
      <c r="I942" s="519" t="s">
        <v>47</v>
      </c>
      <c r="J942" s="606" t="s">
        <v>3725</v>
      </c>
      <c r="K942" s="529"/>
      <c r="L942" s="529"/>
      <c r="M942" s="511">
        <v>3</v>
      </c>
      <c r="N942" s="514" t="str">
        <f>IF(O942="tbc","",(IFERROR(EDATE(#REF!,-3),"Invalid procurement method or date entered")))</f>
        <v>Invalid procurement method or date entered</v>
      </c>
      <c r="O942" s="514">
        <v>44256</v>
      </c>
      <c r="P942" s="536">
        <v>2</v>
      </c>
      <c r="Q942" s="536">
        <v>2</v>
      </c>
      <c r="R942" s="538">
        <v>100000</v>
      </c>
      <c r="S942" s="515" t="s">
        <v>61</v>
      </c>
      <c r="T942" s="536" t="s">
        <v>62</v>
      </c>
      <c r="U942" s="514">
        <v>43700</v>
      </c>
      <c r="V942" s="514"/>
      <c r="W942" s="519" t="s">
        <v>740</v>
      </c>
    </row>
    <row r="943" spans="1:32" ht="62.5">
      <c r="A943" s="1119"/>
      <c r="B943" s="577" t="s">
        <v>56</v>
      </c>
      <c r="C943" s="510" t="s">
        <v>3726</v>
      </c>
      <c r="D943" s="511" t="s">
        <v>57</v>
      </c>
      <c r="E943" s="511"/>
      <c r="F943" s="511"/>
      <c r="G943" s="511"/>
      <c r="H943" s="511" t="s">
        <v>58</v>
      </c>
      <c r="I943" s="519" t="s">
        <v>47</v>
      </c>
      <c r="J943" s="606" t="s">
        <v>3727</v>
      </c>
      <c r="K943" s="529"/>
      <c r="L943" s="529"/>
      <c r="M943" s="511">
        <v>1</v>
      </c>
      <c r="N943" s="514" t="str">
        <f>IF(O943="tbc","",(IFERROR(EDATE(#REF!,-3),"Invalid procurement method or date entered")))</f>
        <v>Invalid procurement method or date entered</v>
      </c>
      <c r="O943" s="514">
        <v>44256</v>
      </c>
      <c r="P943" s="536" t="s">
        <v>1572</v>
      </c>
      <c r="Q943" s="536" t="s">
        <v>1572</v>
      </c>
      <c r="R943" s="538">
        <v>60000</v>
      </c>
      <c r="S943" s="536" t="s">
        <v>176</v>
      </c>
      <c r="T943" s="536" t="s">
        <v>62</v>
      </c>
      <c r="U943" s="514">
        <v>43700</v>
      </c>
      <c r="V943" s="514"/>
      <c r="W943" s="519" t="s">
        <v>740</v>
      </c>
    </row>
    <row r="944" spans="1:32" ht="62.5">
      <c r="A944" s="1119"/>
      <c r="B944" s="577" t="s">
        <v>56</v>
      </c>
      <c r="C944" s="510" t="s">
        <v>589</v>
      </c>
      <c r="D944" s="511" t="s">
        <v>32</v>
      </c>
      <c r="E944" s="511"/>
      <c r="F944" s="511"/>
      <c r="G944" s="511"/>
      <c r="H944" s="511" t="s">
        <v>308</v>
      </c>
      <c r="I944" s="519" t="s">
        <v>34</v>
      </c>
      <c r="J944" s="1578" t="s">
        <v>3728</v>
      </c>
      <c r="K944" s="512"/>
      <c r="L944" s="512"/>
      <c r="M944" s="511">
        <v>14</v>
      </c>
      <c r="N944" s="514" t="str">
        <f>IF(O944="tbc","",(IFERROR(EDATE(#REF!,-3),"Invalid procurement method or date entered")))</f>
        <v>Invalid procurement method or date entered</v>
      </c>
      <c r="O944" s="515">
        <v>44256</v>
      </c>
      <c r="P944" s="516">
        <v>12</v>
      </c>
      <c r="Q944" s="516">
        <v>12</v>
      </c>
      <c r="R944" s="528" t="s">
        <v>60</v>
      </c>
      <c r="S944" s="515" t="s">
        <v>60</v>
      </c>
      <c r="T944" s="515" t="s">
        <v>60</v>
      </c>
      <c r="U944" s="515" t="s">
        <v>60</v>
      </c>
      <c r="V944" s="515"/>
      <c r="W944" s="519" t="s">
        <v>714</v>
      </c>
    </row>
    <row r="945" spans="1:31" ht="62.5">
      <c r="A945" s="1119"/>
      <c r="B945" s="577" t="s">
        <v>56</v>
      </c>
      <c r="C945" s="510" t="s">
        <v>3729</v>
      </c>
      <c r="D945" s="511" t="s">
        <v>57</v>
      </c>
      <c r="E945" s="511"/>
      <c r="F945" s="511"/>
      <c r="G945" s="511"/>
      <c r="H945" s="511" t="s">
        <v>58</v>
      </c>
      <c r="I945" s="519" t="s">
        <v>47</v>
      </c>
      <c r="J945" s="1578" t="s">
        <v>3730</v>
      </c>
      <c r="K945" s="512"/>
      <c r="L945" s="512"/>
      <c r="M945" s="511">
        <v>1</v>
      </c>
      <c r="N945" s="514" t="str">
        <f>IF(O945="tbc","",(IFERROR(EDATE(#REF!,-3),"Invalid procurement method or date entered")))</f>
        <v>Invalid procurement method or date entered</v>
      </c>
      <c r="O945" s="515">
        <v>44256</v>
      </c>
      <c r="P945" s="530" t="s">
        <v>60</v>
      </c>
      <c r="Q945" s="530" t="s">
        <v>60</v>
      </c>
      <c r="R945" s="528">
        <v>30000</v>
      </c>
      <c r="S945" s="515" t="s">
        <v>176</v>
      </c>
      <c r="T945" s="515" t="s">
        <v>2455</v>
      </c>
      <c r="U945" s="515" t="s">
        <v>60</v>
      </c>
      <c r="V945" s="515"/>
      <c r="W945" s="519" t="s">
        <v>1940</v>
      </c>
    </row>
    <row r="946" spans="1:31" ht="62.5">
      <c r="A946" s="1119"/>
      <c r="B946" s="577" t="s">
        <v>56</v>
      </c>
      <c r="C946" s="638" t="s">
        <v>3731</v>
      </c>
      <c r="D946" s="638" t="s">
        <v>57</v>
      </c>
      <c r="E946" s="638"/>
      <c r="F946" s="638"/>
      <c r="G946" s="638"/>
      <c r="H946" s="638" t="s">
        <v>58</v>
      </c>
      <c r="I946" s="639" t="s">
        <v>47</v>
      </c>
      <c r="J946" s="608" t="s">
        <v>3732</v>
      </c>
      <c r="K946" s="603"/>
      <c r="L946" s="603"/>
      <c r="M946" s="638">
        <v>0</v>
      </c>
      <c r="N946" s="640" t="str">
        <f>IF(O946="tbc","",(IFERROR(EDATE(#REF!,-3),"Invalid procurement method or date entered")))</f>
        <v>Invalid procurement method or date entered</v>
      </c>
      <c r="O946" s="629">
        <v>44256</v>
      </c>
      <c r="P946" s="641">
        <v>1</v>
      </c>
      <c r="Q946" s="641">
        <v>1</v>
      </c>
      <c r="R946" s="642">
        <v>504974</v>
      </c>
      <c r="S946" s="629" t="s">
        <v>61</v>
      </c>
      <c r="T946" s="629" t="s">
        <v>310</v>
      </c>
      <c r="U946" s="638" t="s">
        <v>60</v>
      </c>
      <c r="V946" s="638"/>
      <c r="W946" s="643" t="s">
        <v>3733</v>
      </c>
    </row>
    <row r="947" spans="1:31" ht="250">
      <c r="A947" s="1119"/>
      <c r="B947" s="577" t="s">
        <v>56</v>
      </c>
      <c r="C947" s="510" t="s">
        <v>60</v>
      </c>
      <c r="D947" s="511" t="s">
        <v>57</v>
      </c>
      <c r="E947" s="511"/>
      <c r="F947" s="511"/>
      <c r="G947" s="511"/>
      <c r="H947" s="511" t="s">
        <v>58</v>
      </c>
      <c r="I947" s="519" t="s">
        <v>47</v>
      </c>
      <c r="J947" s="1591" t="s">
        <v>3734</v>
      </c>
      <c r="K947" s="532"/>
      <c r="L947" s="511">
        <v>3</v>
      </c>
      <c r="M947" s="514">
        <f>IF(O947="tbc","",(IFERROR(EDATE($N947,-3),"Invalid procurement method or date entered")))</f>
        <v>44075</v>
      </c>
      <c r="N947" s="514">
        <f>IF(O947="tbc","",(IFERROR(EDATE(O947,-L947),"Invalid procurement method or date entered")))</f>
        <v>44166</v>
      </c>
      <c r="O947" s="515">
        <v>44256</v>
      </c>
      <c r="P947" s="516">
        <v>2</v>
      </c>
      <c r="Q947" s="516">
        <v>2</v>
      </c>
      <c r="R947" s="528">
        <f>SUM(220150+464148+91593+140977+150068+171017+155114+168676+43000+69304+58871+71622+107932+62194+110383+115404+50943+53987)</f>
        <v>2305383</v>
      </c>
      <c r="S947" s="515" t="s">
        <v>61</v>
      </c>
      <c r="T947" s="515" t="s">
        <v>62</v>
      </c>
      <c r="U947" s="515" t="s">
        <v>60</v>
      </c>
      <c r="V947" s="515"/>
      <c r="W947" s="511"/>
    </row>
    <row r="948" spans="1:31" ht="37.5">
      <c r="A948" s="1119"/>
      <c r="B948" s="577" t="s">
        <v>56</v>
      </c>
      <c r="C948" s="510" t="s">
        <v>60</v>
      </c>
      <c r="D948" s="511" t="s">
        <v>57</v>
      </c>
      <c r="E948" s="511"/>
      <c r="F948" s="511"/>
      <c r="G948" s="511"/>
      <c r="H948" s="511" t="s">
        <v>58</v>
      </c>
      <c r="I948" s="519" t="s">
        <v>47</v>
      </c>
      <c r="J948" s="1578" t="s">
        <v>3735</v>
      </c>
      <c r="K948" s="512"/>
      <c r="L948" s="511">
        <v>0</v>
      </c>
      <c r="M948" s="514">
        <v>44228</v>
      </c>
      <c r="N948" s="514">
        <f>IF(O948="tbc","",(IFERROR(EDATE(O948,-L948),"Invalid procurement method or date entered")))</f>
        <v>44256</v>
      </c>
      <c r="O948" s="515">
        <v>44256</v>
      </c>
      <c r="P948" s="530" t="s">
        <v>60</v>
      </c>
      <c r="Q948" s="530" t="s">
        <v>60</v>
      </c>
      <c r="R948" s="528">
        <v>25000</v>
      </c>
      <c r="S948" s="515" t="s">
        <v>176</v>
      </c>
      <c r="T948" s="515" t="s">
        <v>62</v>
      </c>
      <c r="U948" s="515" t="s">
        <v>60</v>
      </c>
      <c r="V948" s="515"/>
      <c r="W948" s="569" t="s">
        <v>577</v>
      </c>
    </row>
    <row r="949" spans="1:31" ht="25">
      <c r="A949" s="1119"/>
      <c r="B949" s="577" t="s">
        <v>56</v>
      </c>
      <c r="C949" s="510" t="s">
        <v>60</v>
      </c>
      <c r="D949" s="511" t="s">
        <v>122</v>
      </c>
      <c r="E949" s="511"/>
      <c r="F949" s="511"/>
      <c r="G949" s="511"/>
      <c r="H949" s="511" t="s">
        <v>308</v>
      </c>
      <c r="I949" s="519" t="s">
        <v>47</v>
      </c>
      <c r="J949" s="606" t="s">
        <v>3736</v>
      </c>
      <c r="K949" s="529"/>
      <c r="L949" s="511">
        <v>12</v>
      </c>
      <c r="M949" s="513">
        <f>IF(O949="tbc","",(IFERROR(EDATE($N949,-3),"Invalid procurement method or date entered")))</f>
        <v>43800</v>
      </c>
      <c r="N949" s="514">
        <f>IF(O949="tbc","",(IFERROR(EDATE(O949,-L949),"Invalid procurement method or date entered")))</f>
        <v>43891</v>
      </c>
      <c r="O949" s="554">
        <v>44256</v>
      </c>
      <c r="P949" s="536">
        <v>32</v>
      </c>
      <c r="Q949" s="536" t="s">
        <v>3737</v>
      </c>
      <c r="R949" s="538">
        <f>60000*4</f>
        <v>240000</v>
      </c>
      <c r="S949" s="536" t="s">
        <v>84</v>
      </c>
      <c r="T949" s="515" t="s">
        <v>310</v>
      </c>
      <c r="U949" s="514" t="s">
        <v>60</v>
      </c>
      <c r="V949" s="514"/>
      <c r="W949" s="394" t="s">
        <v>70</v>
      </c>
    </row>
    <row r="950" spans="1:31" ht="58">
      <c r="A950" s="1185"/>
      <c r="B950" s="120"/>
      <c r="C950" s="2755" t="s">
        <v>3738</v>
      </c>
      <c r="D950" s="9" t="s">
        <v>32</v>
      </c>
      <c r="E950" s="9"/>
      <c r="F950" s="9"/>
      <c r="G950" s="9"/>
      <c r="H950" s="5" t="s">
        <v>33</v>
      </c>
      <c r="I950" s="5" t="s">
        <v>34</v>
      </c>
      <c r="J950" s="16" t="s">
        <v>2313</v>
      </c>
      <c r="K950" s="16"/>
      <c r="L950" s="16"/>
      <c r="M950" s="182">
        <v>44105</v>
      </c>
      <c r="N950" s="182"/>
      <c r="O950" s="182">
        <v>44259</v>
      </c>
      <c r="P950" s="12">
        <v>36</v>
      </c>
      <c r="Q950" s="13" t="s">
        <v>1891</v>
      </c>
      <c r="R950" s="18">
        <v>42750</v>
      </c>
      <c r="S950" s="5" t="s">
        <v>130</v>
      </c>
      <c r="T950" s="9" t="s">
        <v>38</v>
      </c>
      <c r="U950" s="15" t="s">
        <v>67</v>
      </c>
      <c r="V950" s="15"/>
      <c r="W950" s="5" t="s">
        <v>142</v>
      </c>
      <c r="X950" s="80" t="s">
        <v>39</v>
      </c>
      <c r="Y950" s="80" t="s">
        <v>40</v>
      </c>
      <c r="Z950" s="80"/>
      <c r="AA950" s="80"/>
      <c r="AB950" s="354" t="s">
        <v>3016</v>
      </c>
      <c r="AC950" s="101" t="s">
        <v>3739</v>
      </c>
      <c r="AD950" s="76" t="s">
        <v>3120</v>
      </c>
      <c r="AE950" s="486">
        <v>14250</v>
      </c>
    </row>
    <row r="951" spans="1:31" ht="58">
      <c r="A951" s="1184"/>
      <c r="B951" s="120"/>
      <c r="C951" s="2755" t="s">
        <v>3738</v>
      </c>
      <c r="D951" s="9" t="s">
        <v>32</v>
      </c>
      <c r="E951" s="9"/>
      <c r="F951" s="9"/>
      <c r="G951" s="9"/>
      <c r="H951" s="5" t="s">
        <v>33</v>
      </c>
      <c r="I951" s="5" t="s">
        <v>34</v>
      </c>
      <c r="J951" s="16" t="s">
        <v>2313</v>
      </c>
      <c r="K951" s="16"/>
      <c r="L951" s="16"/>
      <c r="M951" s="182">
        <v>44105</v>
      </c>
      <c r="N951" s="182"/>
      <c r="O951" s="182">
        <v>44259</v>
      </c>
      <c r="P951" s="12">
        <v>36</v>
      </c>
      <c r="Q951" s="13" t="s">
        <v>1891</v>
      </c>
      <c r="R951" s="18">
        <v>42750</v>
      </c>
      <c r="S951" s="5" t="s">
        <v>130</v>
      </c>
      <c r="T951" s="9" t="s">
        <v>38</v>
      </c>
      <c r="U951" s="15" t="s">
        <v>67</v>
      </c>
      <c r="V951" s="15"/>
      <c r="W951" s="5" t="s">
        <v>142</v>
      </c>
      <c r="X951" s="80" t="s">
        <v>39</v>
      </c>
      <c r="Y951" s="80" t="s">
        <v>40</v>
      </c>
      <c r="Z951" s="80"/>
      <c r="AA951" s="80"/>
      <c r="AB951" s="354" t="s">
        <v>3016</v>
      </c>
      <c r="AC951" s="101" t="s">
        <v>3739</v>
      </c>
      <c r="AD951" s="76" t="s">
        <v>3120</v>
      </c>
      <c r="AE951" s="486">
        <v>14250</v>
      </c>
    </row>
    <row r="952" spans="1:31" ht="188.5">
      <c r="A952" s="1119"/>
      <c r="B952" s="120"/>
      <c r="C952" s="2755" t="s">
        <v>557</v>
      </c>
      <c r="D952" s="9" t="s">
        <v>32</v>
      </c>
      <c r="E952" s="9"/>
      <c r="F952" s="9"/>
      <c r="G952" s="9"/>
      <c r="H952" s="5" t="s">
        <v>33</v>
      </c>
      <c r="I952" s="15" t="s">
        <v>34</v>
      </c>
      <c r="J952" s="16" t="s">
        <v>3740</v>
      </c>
      <c r="K952" s="16"/>
      <c r="L952" s="5" t="e">
        <f>IF(OR(S952=#REF!,S952=#REF!,S952=#REF!,S952=#REF!,S952=#REF!,S952=#REF!,S952=#REF!,S952=#REF!),12,IF(OR(S952=#REF!,S952=#REF!,S952=#REF!,S952=#REF!,S952=#REF!,S952=#REF!,S952=#REF!),3,IF(S952=#REF!,1,IF(S952=#REF!,18,IF(OR(S952=#REF!,S952=#REF!,S952=#REF!,S952=#REF!,S952=#REF!),14,"Invalid proposed procurement method")))))</f>
        <v>#REF!</v>
      </c>
      <c r="M952" s="199" t="str">
        <f>IFERROR(EDATE($N952,-3),"Invalid procurement method or date entered")</f>
        <v>Invalid procurement method or date entered</v>
      </c>
      <c r="N952" s="199" t="str">
        <f t="shared" ref="N952:N957" si="2">IFERROR(EDATE(O952,-L952),"Invalid procurement method or date entered")</f>
        <v>Invalid procurement method or date entered</v>
      </c>
      <c r="O952" s="183">
        <v>44263</v>
      </c>
      <c r="P952" s="15">
        <v>96</v>
      </c>
      <c r="Q952" s="269" t="s">
        <v>3741</v>
      </c>
      <c r="R952" s="18">
        <v>168150</v>
      </c>
      <c r="S952" s="5" t="s">
        <v>130</v>
      </c>
      <c r="T952" s="52" t="s">
        <v>62</v>
      </c>
      <c r="U952" s="48" t="s">
        <v>67</v>
      </c>
      <c r="V952" s="48"/>
      <c r="W952" s="9" t="s">
        <v>1667</v>
      </c>
      <c r="X952" s="493" t="s">
        <v>39</v>
      </c>
      <c r="Y952" s="80" t="s">
        <v>40</v>
      </c>
      <c r="Z952" s="80"/>
      <c r="AA952" s="2765" t="s">
        <v>70</v>
      </c>
      <c r="AB952" s="354" t="s">
        <v>132</v>
      </c>
      <c r="AC952" s="993" t="s">
        <v>3742</v>
      </c>
      <c r="AD952" s="80" t="s">
        <v>3405</v>
      </c>
      <c r="AE952" s="1132">
        <v>22137</v>
      </c>
    </row>
    <row r="953" spans="1:31" ht="43.5">
      <c r="A953" s="1185"/>
      <c r="B953" s="4"/>
      <c r="C953" s="4" t="s">
        <v>45</v>
      </c>
      <c r="D953" s="9" t="s">
        <v>32</v>
      </c>
      <c r="E953" s="9"/>
      <c r="F953" s="9"/>
      <c r="G953" s="9"/>
      <c r="H953" s="5" t="s">
        <v>33</v>
      </c>
      <c r="I953" s="5" t="s">
        <v>47</v>
      </c>
      <c r="J953" s="1590" t="s">
        <v>3743</v>
      </c>
      <c r="K953" s="64"/>
      <c r="L953" s="5">
        <v>6</v>
      </c>
      <c r="M953" s="199">
        <f>IFERROR(EDATE($N953,-3),"Invalid procurement method or date entered")</f>
        <v>43991</v>
      </c>
      <c r="N953" s="199">
        <f t="shared" si="2"/>
        <v>44083</v>
      </c>
      <c r="O953" s="182">
        <v>44264</v>
      </c>
      <c r="P953" s="12">
        <v>12</v>
      </c>
      <c r="Q953" s="7" t="s">
        <v>50</v>
      </c>
      <c r="R953" s="18">
        <v>3586.24</v>
      </c>
      <c r="S953" s="5" t="s">
        <v>37</v>
      </c>
      <c r="T953" s="52" t="s">
        <v>38</v>
      </c>
      <c r="U953" s="48" t="s">
        <v>67</v>
      </c>
      <c r="V953" s="48"/>
      <c r="W953" s="12" t="s">
        <v>262</v>
      </c>
      <c r="X953" s="1076" t="s">
        <v>289</v>
      </c>
      <c r="Y953" s="80" t="s">
        <v>727</v>
      </c>
      <c r="Z953" s="80"/>
      <c r="AA953" s="80" t="s">
        <v>38</v>
      </c>
      <c r="AB953" s="354" t="s">
        <v>271</v>
      </c>
      <c r="AC953" s="2761" t="s">
        <v>89</v>
      </c>
      <c r="AD953" s="80" t="s">
        <v>264</v>
      </c>
      <c r="AE953" s="211"/>
    </row>
    <row r="954" spans="1:31" ht="72.5">
      <c r="A954" s="1184"/>
      <c r="B954" s="4"/>
      <c r="C954" s="4" t="s">
        <v>3744</v>
      </c>
      <c r="D954" s="9" t="s">
        <v>57</v>
      </c>
      <c r="E954" s="9"/>
      <c r="F954" s="9"/>
      <c r="G954" s="9"/>
      <c r="H954" s="5" t="s">
        <v>46</v>
      </c>
      <c r="I954" s="5" t="s">
        <v>47</v>
      </c>
      <c r="J954" s="16" t="s">
        <v>3745</v>
      </c>
      <c r="K954" s="16"/>
      <c r="L954" s="5" t="e">
        <f>IF(OR(S954=#REF!,S954=#REF!,S954=#REF!,S954=#REF!,S954=#REF!,S954=#REF!,S954=#REF!,S954=#REF!),12,IF(OR(S954=#REF!,S954=#REF!,S954=#REF!,S954=#REF!,S954=#REF!,S954=#REF!,S954=#REF!),3,IF(S954=#REF!,1,IF(S954=#REF!,18,IF(OR(S954=#REF!,S954=#REF!,S954=#REF!,S954=#REF!,S954=#REF!),14,"Invalid proposed procurement method")))))</f>
        <v>#REF!</v>
      </c>
      <c r="M954" s="199" t="str">
        <f>IFERROR(EDATE($N954,-3),"Invalid procurement method or date entered")</f>
        <v>Invalid procurement method or date entered</v>
      </c>
      <c r="N954" s="199" t="str">
        <f t="shared" si="2"/>
        <v>Invalid procurement method or date entered</v>
      </c>
      <c r="O954" s="182">
        <v>44270</v>
      </c>
      <c r="P954" s="12">
        <v>6</v>
      </c>
      <c r="Q954" s="13" t="s">
        <v>344</v>
      </c>
      <c r="R954" s="18">
        <v>40000</v>
      </c>
      <c r="S954" s="5" t="s">
        <v>176</v>
      </c>
      <c r="T954" s="52" t="s">
        <v>38</v>
      </c>
      <c r="U954" s="48" t="s">
        <v>71</v>
      </c>
      <c r="V954" s="48"/>
      <c r="W954" s="5" t="s">
        <v>3746</v>
      </c>
      <c r="X954" s="80" t="s">
        <v>784</v>
      </c>
      <c r="Y954" s="80" t="s">
        <v>40</v>
      </c>
      <c r="Z954" s="80"/>
      <c r="AA954" s="80" t="s">
        <v>38</v>
      </c>
      <c r="AB954" s="354" t="s">
        <v>271</v>
      </c>
      <c r="AC954" s="101" t="s">
        <v>3747</v>
      </c>
      <c r="AD954" s="80" t="s">
        <v>46</v>
      </c>
      <c r="AE954" s="2778"/>
    </row>
    <row r="955" spans="1:31" ht="43.5">
      <c r="A955" s="1184"/>
      <c r="B955" s="120"/>
      <c r="C955" s="2755" t="s">
        <v>45</v>
      </c>
      <c r="D955" s="2763" t="s">
        <v>57</v>
      </c>
      <c r="E955" s="2763"/>
      <c r="F955" s="2763"/>
      <c r="G955" s="2763"/>
      <c r="H955" s="2751" t="s">
        <v>2645</v>
      </c>
      <c r="I955" s="2763" t="s">
        <v>47</v>
      </c>
      <c r="J955" s="2755" t="s">
        <v>3748</v>
      </c>
      <c r="K955" s="2755"/>
      <c r="L955" s="5">
        <v>3</v>
      </c>
      <c r="M955" s="199">
        <f>IFERROR(EDATE($N955,-3),"Invalid procurement method or date entered")</f>
        <v>44089</v>
      </c>
      <c r="N955" s="199">
        <f t="shared" si="2"/>
        <v>44180</v>
      </c>
      <c r="O955" s="146">
        <v>44270</v>
      </c>
      <c r="P955" s="2763">
        <v>3</v>
      </c>
      <c r="Q955" s="2751">
        <v>3</v>
      </c>
      <c r="R955" s="2844">
        <v>45050</v>
      </c>
      <c r="S955" s="183" t="s">
        <v>51</v>
      </c>
      <c r="T955" s="2763" t="s">
        <v>38</v>
      </c>
      <c r="U955" s="2763" t="s">
        <v>71</v>
      </c>
      <c r="V955" s="2763"/>
      <c r="W955" s="2763" t="s">
        <v>3749</v>
      </c>
      <c r="X955" s="1076" t="s">
        <v>94</v>
      </c>
      <c r="Y955" s="2765" t="s">
        <v>727</v>
      </c>
      <c r="Z955" s="80"/>
      <c r="AA955" s="2765"/>
      <c r="AB955" s="354" t="s">
        <v>271</v>
      </c>
      <c r="AC955" s="2781" t="s">
        <v>3750</v>
      </c>
      <c r="AD955" s="2765" t="s">
        <v>46</v>
      </c>
      <c r="AE955" s="1131"/>
    </row>
    <row r="956" spans="1:31" ht="87">
      <c r="A956" s="1197"/>
      <c r="B956" s="4"/>
      <c r="C956" s="200" t="s">
        <v>45</v>
      </c>
      <c r="D956" s="9" t="s">
        <v>32</v>
      </c>
      <c r="E956" s="9"/>
      <c r="F956" s="9"/>
      <c r="G956" s="9"/>
      <c r="H956" s="5" t="s">
        <v>33</v>
      </c>
      <c r="I956" s="5" t="s">
        <v>47</v>
      </c>
      <c r="J956" s="16" t="s">
        <v>2202</v>
      </c>
      <c r="K956" s="8"/>
      <c r="L956" s="5" t="e">
        <f>IF(OR(S956=#REF!,S956=#REF!,S956=#REF!,S956=#REF!,S956=#REF!,S956=#REF!,S956=#REF!,S956=#REF!),12,IF(OR(S956=#REF!,S956=#REF!,S956=#REF!,S956=#REF!,S956=#REF!,S956=#REF!,S956=#REF!),3,IF(S956=#REF!,1,IF(S956=#REF!,18,IF(OR(S956=#REF!,S956=#REF!,S956=#REF!,S956=#REF!,S956=#REF!),14,"Invalid proposed procurement method")))))</f>
        <v>#REF!</v>
      </c>
      <c r="M956" s="199" t="str">
        <f>IFERROR(EDATE($N956,-3),"Invalid procurement method or date entered")</f>
        <v>Invalid procurement method or date entered</v>
      </c>
      <c r="N956" s="199" t="str">
        <f t="shared" si="2"/>
        <v>Invalid procurement method or date entered</v>
      </c>
      <c r="O956" s="14">
        <v>44273</v>
      </c>
      <c r="P956" s="12" t="s">
        <v>45</v>
      </c>
      <c r="Q956" s="5" t="s">
        <v>45</v>
      </c>
      <c r="R956" s="18" t="s">
        <v>45</v>
      </c>
      <c r="S956" s="5" t="s">
        <v>45</v>
      </c>
      <c r="T956" s="5" t="s">
        <v>38</v>
      </c>
      <c r="U956" s="12" t="s">
        <v>67</v>
      </c>
      <c r="V956" s="12"/>
      <c r="W956" s="5" t="s">
        <v>3751</v>
      </c>
      <c r="X956" s="80" t="s">
        <v>189</v>
      </c>
      <c r="Y956" s="80" t="s">
        <v>115</v>
      </c>
      <c r="Z956" s="80"/>
      <c r="AA956" s="80" t="s">
        <v>70</v>
      </c>
      <c r="AB956" s="354" t="s">
        <v>41</v>
      </c>
      <c r="AC956" s="101" t="s">
        <v>3752</v>
      </c>
      <c r="AD956" s="1128" t="s">
        <v>45</v>
      </c>
      <c r="AE956" s="1135">
        <v>15000</v>
      </c>
    </row>
    <row r="957" spans="1:31" ht="72.5">
      <c r="A957" s="2756"/>
      <c r="B957" s="120"/>
      <c r="C957" s="4" t="s">
        <v>3753</v>
      </c>
      <c r="D957" s="9" t="s">
        <v>32</v>
      </c>
      <c r="E957" s="9"/>
      <c r="F957" s="9"/>
      <c r="G957" s="9"/>
      <c r="H957" s="5" t="s">
        <v>33</v>
      </c>
      <c r="I957" s="5" t="s">
        <v>47</v>
      </c>
      <c r="J957" s="16" t="s">
        <v>3754</v>
      </c>
      <c r="K957" s="16"/>
      <c r="L957" s="5" t="e">
        <f>IF(OR(S957=#REF!,S957=#REF!,S957=#REF!,S957=#REF!,S957=#REF!,S957=#REF!,S957=#REF!,S957=#REF!),12,IF(OR(S957=#REF!,S957=#REF!,S957=#REF!,S957=#REF!,S957=#REF!,S957=#REF!,S957=#REF!),3,IF(S957=#REF!,1,IF(S957=#REF!,18,IF(OR(S957=#REF!,S957=#REF!,S957=#REF!,S957=#REF!,S957=#REF!),14,"Invalid proposed procurement method")))))</f>
        <v>#REF!</v>
      </c>
      <c r="M957" s="199">
        <v>44209</v>
      </c>
      <c r="N957" s="199" t="str">
        <f t="shared" si="2"/>
        <v>Invalid procurement method or date entered</v>
      </c>
      <c r="O957" s="182">
        <v>44277</v>
      </c>
      <c r="P957" s="12">
        <v>60</v>
      </c>
      <c r="Q957" s="12">
        <v>60</v>
      </c>
      <c r="R957" s="18">
        <v>187135.8</v>
      </c>
      <c r="S957" s="5" t="s">
        <v>84</v>
      </c>
      <c r="T957" s="52" t="s">
        <v>62</v>
      </c>
      <c r="U957" s="48" t="s">
        <v>67</v>
      </c>
      <c r="V957" s="48"/>
      <c r="W957" s="46" t="s">
        <v>262</v>
      </c>
      <c r="X957" s="80" t="s">
        <v>543</v>
      </c>
      <c r="Y957" s="80" t="s">
        <v>40</v>
      </c>
      <c r="Z957" s="80"/>
      <c r="AA957" s="80" t="s">
        <v>70</v>
      </c>
      <c r="AB957" s="354" t="s">
        <v>132</v>
      </c>
      <c r="AC957" s="101" t="s">
        <v>3755</v>
      </c>
      <c r="AD957" s="80" t="s">
        <v>264</v>
      </c>
      <c r="AE957" s="339"/>
    </row>
    <row r="958" spans="1:31">
      <c r="A958" s="1648">
        <v>44974</v>
      </c>
      <c r="B958" s="1655" t="s">
        <v>1168</v>
      </c>
      <c r="C958" s="1664" t="s">
        <v>3756</v>
      </c>
      <c r="D958" s="1664" t="s">
        <v>1178</v>
      </c>
      <c r="E958" s="1655" t="s">
        <v>1168</v>
      </c>
      <c r="F958" s="1655" t="s">
        <v>1170</v>
      </c>
      <c r="G958" s="1655" t="s">
        <v>1170</v>
      </c>
      <c r="H958" s="1655" t="s">
        <v>1170</v>
      </c>
      <c r="I958" s="1655" t="s">
        <v>1170</v>
      </c>
      <c r="J958" s="1698" t="s">
        <v>3757</v>
      </c>
      <c r="K958" s="1664" t="s">
        <v>3678</v>
      </c>
      <c r="L958" s="1655" t="s">
        <v>1170</v>
      </c>
      <c r="M958" s="1655" t="s">
        <v>1170</v>
      </c>
      <c r="N958" s="1655" t="s">
        <v>1170</v>
      </c>
      <c r="O958" s="1755">
        <v>44277</v>
      </c>
      <c r="P958" s="1755">
        <v>45412</v>
      </c>
      <c r="Q958" s="1755">
        <v>46142</v>
      </c>
      <c r="R958" s="1805">
        <v>81272</v>
      </c>
      <c r="S958" s="1664" t="s">
        <v>1189</v>
      </c>
      <c r="T958" s="1655" t="s">
        <v>1170</v>
      </c>
      <c r="U958" s="1655" t="s">
        <v>1170</v>
      </c>
      <c r="V958" s="1655"/>
      <c r="W958" s="1664" t="s">
        <v>1190</v>
      </c>
      <c r="X958" s="1723" t="s">
        <v>1175</v>
      </c>
      <c r="Y958" s="1723" t="s">
        <v>251</v>
      </c>
      <c r="Z958" s="1657" t="s">
        <v>1170</v>
      </c>
      <c r="AA958" s="1657" t="s">
        <v>1170</v>
      </c>
      <c r="AB958" s="1657" t="s">
        <v>1170</v>
      </c>
      <c r="AC958" s="909" t="s">
        <v>3758</v>
      </c>
      <c r="AD958" s="1657" t="s">
        <v>1170</v>
      </c>
      <c r="AE958" s="1828">
        <v>81272</v>
      </c>
    </row>
    <row r="959" spans="1:31" ht="62.5">
      <c r="A959" s="1119"/>
      <c r="B959" s="577" t="s">
        <v>56</v>
      </c>
      <c r="C959" s="510" t="s">
        <v>3759</v>
      </c>
      <c r="D959" s="511" t="s">
        <v>57</v>
      </c>
      <c r="E959" s="511"/>
      <c r="F959" s="511"/>
      <c r="G959" s="511"/>
      <c r="H959" s="511" t="s">
        <v>58</v>
      </c>
      <c r="I959" s="519" t="s">
        <v>47</v>
      </c>
      <c r="J959" s="1578" t="s">
        <v>3760</v>
      </c>
      <c r="K959" s="512"/>
      <c r="L959" s="512"/>
      <c r="M959" s="511">
        <v>3</v>
      </c>
      <c r="N959" s="514" t="str">
        <f>IF(O959="tbc","",(IFERROR(EDATE(#REF!,-3),"Invalid procurement method or date entered")))</f>
        <v>Invalid procurement method or date entered</v>
      </c>
      <c r="O959" s="515">
        <v>44284</v>
      </c>
      <c r="P959" s="519">
        <v>8</v>
      </c>
      <c r="Q959" s="519">
        <v>8</v>
      </c>
      <c r="R959" s="528">
        <v>1050000</v>
      </c>
      <c r="S959" s="515" t="s">
        <v>61</v>
      </c>
      <c r="T959" s="515" t="s">
        <v>310</v>
      </c>
      <c r="U959" s="515" t="s">
        <v>3044</v>
      </c>
      <c r="V959" s="515"/>
      <c r="W959" s="519" t="s">
        <v>3761</v>
      </c>
    </row>
    <row r="960" spans="1:31" ht="75">
      <c r="A960" s="1119"/>
      <c r="B960" s="577" t="s">
        <v>56</v>
      </c>
      <c r="C960" s="510" t="s">
        <v>3762</v>
      </c>
      <c r="D960" s="511" t="s">
        <v>122</v>
      </c>
      <c r="E960" s="511"/>
      <c r="F960" s="511"/>
      <c r="G960" s="511"/>
      <c r="H960" s="511" t="s">
        <v>308</v>
      </c>
      <c r="I960" s="519" t="s">
        <v>47</v>
      </c>
      <c r="J960" s="1578" t="s">
        <v>3763</v>
      </c>
      <c r="K960" s="512"/>
      <c r="L960" s="512"/>
      <c r="M960" s="511">
        <v>12</v>
      </c>
      <c r="N960" s="514" t="str">
        <f>IF(O960="tbc","",(IFERROR(EDATE(#REF!,-3),"Invalid procurement method or date entered")))</f>
        <v>Invalid procurement method or date entered</v>
      </c>
      <c r="O960" s="515">
        <v>44284</v>
      </c>
      <c r="P960" s="516">
        <v>5</v>
      </c>
      <c r="Q960" s="516">
        <v>5</v>
      </c>
      <c r="R960" s="528">
        <v>552000</v>
      </c>
      <c r="S960" s="515" t="s">
        <v>75</v>
      </c>
      <c r="T960" s="515" t="s">
        <v>60</v>
      </c>
      <c r="U960" s="515" t="s">
        <v>60</v>
      </c>
      <c r="V960" s="515"/>
      <c r="W960" s="519" t="s">
        <v>3764</v>
      </c>
    </row>
    <row r="961" spans="1:31" ht="50">
      <c r="A961" s="1119"/>
      <c r="B961" s="577" t="s">
        <v>56</v>
      </c>
      <c r="C961" s="510" t="s">
        <v>3765</v>
      </c>
      <c r="D961" s="511" t="s">
        <v>122</v>
      </c>
      <c r="E961" s="511"/>
      <c r="F961" s="511"/>
      <c r="G961" s="511"/>
      <c r="H961" s="511" t="s">
        <v>308</v>
      </c>
      <c r="I961" s="519" t="s">
        <v>47</v>
      </c>
      <c r="J961" s="606" t="s">
        <v>3766</v>
      </c>
      <c r="K961" s="529"/>
      <c r="L961" s="511">
        <v>12</v>
      </c>
      <c r="M961" s="514">
        <f>IF(O961="tbc","",(IFERROR(EDATE($N961,-3),"Invalid procurement method or date entered")))</f>
        <v>43828</v>
      </c>
      <c r="N961" s="514">
        <f>IF(O961="tbc","",(IFERROR(EDATE(O961,-L961),"Invalid procurement method or date entered")))</f>
        <v>43919</v>
      </c>
      <c r="O961" s="515">
        <v>44284</v>
      </c>
      <c r="P961" s="516">
        <v>4</v>
      </c>
      <c r="Q961" s="516">
        <v>4</v>
      </c>
      <c r="R961" s="528">
        <v>429000</v>
      </c>
      <c r="S961" s="515" t="s">
        <v>75</v>
      </c>
      <c r="T961" s="515" t="s">
        <v>310</v>
      </c>
      <c r="U961" s="515" t="s">
        <v>60</v>
      </c>
      <c r="V961" s="515"/>
      <c r="W961" s="569" t="s">
        <v>532</v>
      </c>
    </row>
    <row r="962" spans="1:31" ht="72.5">
      <c r="A962" s="1184"/>
      <c r="B962" s="338"/>
      <c r="C962" s="4" t="s">
        <v>3767</v>
      </c>
      <c r="D962" s="9" t="s">
        <v>32</v>
      </c>
      <c r="E962" s="9"/>
      <c r="F962" s="9"/>
      <c r="G962" s="9"/>
      <c r="H962" s="5" t="s">
        <v>2766</v>
      </c>
      <c r="I962" s="5" t="s">
        <v>47</v>
      </c>
      <c r="J962" s="16" t="s">
        <v>3768</v>
      </c>
      <c r="K962" s="16"/>
      <c r="L962" s="5" t="e">
        <f>IF(OR(S962=#REF!,S962=#REF!,S962=#REF!,S962=#REF!,S962=#REF!,S962=#REF!,S962=#REF!,S962=#REF!),12,IF(OR(S962=#REF!,S962=#REF!,S962=#REF!,S962=#REF!,S962=#REF!,S962=#REF!,S962=#REF!),3,IF(S962=#REF!,1,IF(S962=#REF!,18,IF(OR(S962=#REF!,S962=#REF!,S962=#REF!,S962=#REF!,S962=#REF!),14,"Invalid proposed procurement method")))))</f>
        <v>#REF!</v>
      </c>
      <c r="M962" s="199" t="str">
        <f>IFERROR(EDATE($N962,-3),"Invalid procurement method or date entered")</f>
        <v>Invalid procurement method or date entered</v>
      </c>
      <c r="N962" s="199" t="str">
        <f>IFERROR(EDATE(O962,-L962),"Invalid procurement method or date entered")</f>
        <v>Invalid procurement method or date entered</v>
      </c>
      <c r="O962" s="182">
        <v>44286</v>
      </c>
      <c r="P962" s="12">
        <v>60</v>
      </c>
      <c r="Q962" s="13" t="s">
        <v>171</v>
      </c>
      <c r="R962" s="18" t="s">
        <v>3769</v>
      </c>
      <c r="S962" s="5" t="s">
        <v>84</v>
      </c>
      <c r="T962" s="52" t="s">
        <v>62</v>
      </c>
      <c r="U962" s="48" t="s">
        <v>67</v>
      </c>
      <c r="V962" s="48"/>
      <c r="W962" s="5" t="s">
        <v>3770</v>
      </c>
      <c r="X962" s="493" t="s">
        <v>543</v>
      </c>
      <c r="Y962" s="80" t="s">
        <v>40</v>
      </c>
      <c r="Z962" s="80"/>
      <c r="AA962" s="80" t="s">
        <v>70</v>
      </c>
      <c r="AB962" s="354" t="s">
        <v>132</v>
      </c>
      <c r="AC962" s="2895" t="s">
        <v>3771</v>
      </c>
      <c r="AD962" s="80" t="s">
        <v>96</v>
      </c>
      <c r="AE962" s="339">
        <v>20471</v>
      </c>
    </row>
    <row r="963" spans="1:31" ht="72.5">
      <c r="A963" s="1184"/>
      <c r="B963" s="338"/>
      <c r="C963" s="4" t="s">
        <v>3772</v>
      </c>
      <c r="D963" s="9" t="s">
        <v>32</v>
      </c>
      <c r="E963" s="9"/>
      <c r="F963" s="9"/>
      <c r="G963" s="9"/>
      <c r="H963" s="5" t="s">
        <v>46</v>
      </c>
      <c r="I963" s="5" t="s">
        <v>47</v>
      </c>
      <c r="J963" s="16" t="s">
        <v>3773</v>
      </c>
      <c r="K963" s="8"/>
      <c r="L963" s="5" t="e">
        <f>IF(OR(S963=#REF!,S963=#REF!,S963=#REF!,S963=#REF!,S963=#REF!,S963=#REF!,S963=#REF!,S963=#REF!),12,IF(OR(S963=#REF!,S963=#REF!,S963=#REF!,S963=#REF!,S963=#REF!,S963=#REF!,S963=#REF!),3,IF(S963=#REF!,1,IF(S963=#REF!,18,IF(OR(S963=#REF!,S963=#REF!,S963=#REF!,S963=#REF!,S963=#REF!),14,"Invalid proposed procurement method")))))</f>
        <v>#REF!</v>
      </c>
      <c r="M963" s="199" t="str">
        <f>IFERROR(EDATE($N963,-3),"Invalid procurement method or date entered")</f>
        <v>Invalid procurement method or date entered</v>
      </c>
      <c r="N963" s="199" t="str">
        <f>IFERROR(EDATE(O963,-L963),"Invalid procurement method or date entered")</f>
        <v>Invalid procurement method or date entered</v>
      </c>
      <c r="O963" s="182">
        <v>44286</v>
      </c>
      <c r="P963" s="5">
        <v>1</v>
      </c>
      <c r="Q963" s="7" t="s">
        <v>1060</v>
      </c>
      <c r="R963" s="18">
        <v>7675</v>
      </c>
      <c r="S963" s="5" t="s">
        <v>84</v>
      </c>
      <c r="T963" s="52" t="s">
        <v>38</v>
      </c>
      <c r="U963" s="48" t="s">
        <v>71</v>
      </c>
      <c r="V963" s="48"/>
      <c r="W963" s="5" t="s">
        <v>3774</v>
      </c>
      <c r="X963" s="1076" t="s">
        <v>94</v>
      </c>
      <c r="Y963" s="80" t="s">
        <v>727</v>
      </c>
      <c r="Z963" s="80"/>
      <c r="AA963" s="80" t="s">
        <v>70</v>
      </c>
      <c r="AB963" s="354" t="s">
        <v>132</v>
      </c>
      <c r="AC963" s="101" t="s">
        <v>3775</v>
      </c>
      <c r="AD963" s="76" t="s">
        <v>46</v>
      </c>
      <c r="AE963" s="211">
        <v>7675</v>
      </c>
    </row>
    <row r="964" spans="1:31" ht="101.5">
      <c r="A964" s="1184"/>
      <c r="B964" s="362" t="s">
        <v>100</v>
      </c>
      <c r="C964" s="362"/>
      <c r="D964" s="200" t="s">
        <v>3776</v>
      </c>
      <c r="E964" s="200"/>
      <c r="F964" s="200"/>
      <c r="G964" s="200"/>
      <c r="H964" s="385" t="s">
        <v>103</v>
      </c>
      <c r="I964" s="385" t="s">
        <v>34</v>
      </c>
      <c r="J964" s="428" t="s">
        <v>3777</v>
      </c>
      <c r="K964" s="428"/>
      <c r="L964" s="84">
        <v>12</v>
      </c>
      <c r="M964" s="436">
        <f>IFERROR(EDATE(N964,-3),"Invalid procurement method or date entered")</f>
        <v>43830</v>
      </c>
      <c r="N964" s="386">
        <f>IFERROR(EDATE(O964,-L964),"Invalid procurement method or date entered")</f>
        <v>43921</v>
      </c>
      <c r="O964" s="146">
        <v>44286</v>
      </c>
      <c r="P964" s="71">
        <v>120</v>
      </c>
      <c r="Q964" s="71">
        <v>48</v>
      </c>
      <c r="R964" s="392" t="s">
        <v>45</v>
      </c>
      <c r="S964" s="71" t="s">
        <v>130</v>
      </c>
      <c r="T964" s="365" t="s">
        <v>38</v>
      </c>
      <c r="U964" s="365" t="s">
        <v>3778</v>
      </c>
      <c r="V964" s="365"/>
      <c r="W964" s="428" t="s">
        <v>3779</v>
      </c>
      <c r="X964" s="429" t="s">
        <v>120</v>
      </c>
      <c r="Y964" s="101" t="s">
        <v>40</v>
      </c>
      <c r="Z964" s="101"/>
      <c r="AA964" s="429" t="s">
        <v>69</v>
      </c>
      <c r="AB964" s="360"/>
      <c r="AC964" s="432">
        <v>44321</v>
      </c>
      <c r="AD964" s="432"/>
      <c r="AE964" s="432"/>
    </row>
    <row r="965" spans="1:31" ht="50">
      <c r="A965" s="1119"/>
      <c r="B965" s="577" t="s">
        <v>56</v>
      </c>
      <c r="C965" s="511" t="s">
        <v>3780</v>
      </c>
      <c r="D965" s="511" t="s">
        <v>122</v>
      </c>
      <c r="E965" s="511"/>
      <c r="F965" s="511"/>
      <c r="G965" s="511"/>
      <c r="H965" s="511" t="s">
        <v>308</v>
      </c>
      <c r="I965" s="519" t="s">
        <v>47</v>
      </c>
      <c r="J965" s="606" t="s">
        <v>3781</v>
      </c>
      <c r="K965" s="529"/>
      <c r="L965" s="511">
        <v>12</v>
      </c>
      <c r="M965" s="514">
        <f>IF(O965="tbc","",(IFERROR(EDATE($N965,-3),"Invalid procurement method or date entered")))</f>
        <v>43830</v>
      </c>
      <c r="N965" s="514">
        <f>IF(O965="tbc","",(IFERROR(EDATE(O965,-L965),"Invalid procurement method or date entered")))</f>
        <v>43921</v>
      </c>
      <c r="O965" s="515">
        <v>44286</v>
      </c>
      <c r="P965" s="645">
        <v>4</v>
      </c>
      <c r="Q965" s="530" t="s">
        <v>60</v>
      </c>
      <c r="R965" s="528">
        <v>420000</v>
      </c>
      <c r="S965" s="515" t="s">
        <v>75</v>
      </c>
      <c r="T965" s="515" t="s">
        <v>62</v>
      </c>
      <c r="U965" s="511" t="s">
        <v>60</v>
      </c>
      <c r="V965" s="511"/>
      <c r="W965" s="569"/>
    </row>
    <row r="966" spans="1:31" ht="130.5">
      <c r="A966" s="1119"/>
      <c r="B966" s="338"/>
      <c r="C966" s="8" t="s">
        <v>3782</v>
      </c>
      <c r="D966" s="9" t="s">
        <v>32</v>
      </c>
      <c r="E966" s="9"/>
      <c r="F966" s="9"/>
      <c r="G966" s="9"/>
      <c r="H966" s="2751" t="s">
        <v>33</v>
      </c>
      <c r="I966" s="2763" t="s">
        <v>47</v>
      </c>
      <c r="J966" s="16" t="s">
        <v>3783</v>
      </c>
      <c r="K966" s="8"/>
      <c r="L966" s="5" t="e">
        <f>IF(OR(S966=#REF!,S966=#REF!,S966=#REF!,S966=#REF!,S966=#REF!,S966=#REF!,S966=#REF!,S966=#REF!),12,IF(OR(S966=#REF!,S966=#REF!,S966=#REF!,S966=#REF!,S966=#REF!,S966=#REF!,S966=#REF!),3,IF(S966=#REF!,1,IF(S966=#REF!,18,IF(OR(S966=#REF!,S966=#REF!,S966=#REF!,S966=#REF!,S966=#REF!),14,"Invalid proposed procurement method")))))</f>
        <v>#REF!</v>
      </c>
      <c r="M966" s="199" t="str">
        <f t="shared" ref="M966:M977" si="3">IFERROR(EDATE($N966,-3),"Invalid procurement method or date entered")</f>
        <v>Invalid procurement method or date entered</v>
      </c>
      <c r="N966" s="199" t="str">
        <f t="shared" ref="N966:N977" si="4">IFERROR(EDATE(O966,-L966),"Invalid procurement method or date entered")</f>
        <v>Invalid procurement method or date entered</v>
      </c>
      <c r="O966" s="14">
        <v>44287</v>
      </c>
      <c r="P966" s="14" t="s">
        <v>67</v>
      </c>
      <c r="Q966" s="14" t="s">
        <v>67</v>
      </c>
      <c r="R966" s="85">
        <v>350000</v>
      </c>
      <c r="S966" s="14" t="s">
        <v>3784</v>
      </c>
      <c r="T966" s="2892" t="s">
        <v>70</v>
      </c>
      <c r="U966" s="2892">
        <v>44279</v>
      </c>
      <c r="V966" s="2892"/>
      <c r="W966" s="2751" t="s">
        <v>3785</v>
      </c>
      <c r="X966" s="80" t="s">
        <v>543</v>
      </c>
      <c r="Y966" s="80" t="s">
        <v>40</v>
      </c>
      <c r="Z966" s="80" t="s">
        <v>87</v>
      </c>
      <c r="AA966" s="2765" t="s">
        <v>38</v>
      </c>
      <c r="AB966" s="354" t="s">
        <v>271</v>
      </c>
      <c r="AC966" s="1111" t="s">
        <v>3786</v>
      </c>
      <c r="AD966" s="80" t="s">
        <v>96</v>
      </c>
      <c r="AE966" s="211"/>
    </row>
    <row r="967" spans="1:31" ht="72.5">
      <c r="A967" s="1185"/>
      <c r="B967" s="4"/>
      <c r="C967" s="4" t="s">
        <v>45</v>
      </c>
      <c r="D967" s="5" t="s">
        <v>32</v>
      </c>
      <c r="E967" s="5"/>
      <c r="F967" s="5"/>
      <c r="G967" s="5"/>
      <c r="H967" s="5" t="s">
        <v>363</v>
      </c>
      <c r="I967" s="12" t="s">
        <v>34</v>
      </c>
      <c r="J967" s="16" t="s">
        <v>3152</v>
      </c>
      <c r="K967" s="16"/>
      <c r="L967" s="5" t="e">
        <f>IF(OR(S967=#REF!,S967=#REF!,S967=#REF!,S967=#REF!,S967=#REF!,S967=#REF!,S967=#REF!,S967=#REF!),12,IF(OR(S967=#REF!,S967=#REF!,S967=#REF!,S967=#REF!,S967=#REF!,S967=#REF!,S967=#REF!),3,IF(S967=#REF!,1,IF(S967=#REF!,18,IF(OR(S967=#REF!,S967=#REF!,S967=#REF!,S967=#REF!,S967=#REF!),14,"Invalid proposed procurement method")))))</f>
        <v>#REF!</v>
      </c>
      <c r="M967" s="199" t="str">
        <f t="shared" si="3"/>
        <v>Invalid procurement method or date entered</v>
      </c>
      <c r="N967" s="199" t="str">
        <f t="shared" si="4"/>
        <v>Invalid procurement method or date entered</v>
      </c>
      <c r="O967" s="182">
        <v>44287</v>
      </c>
      <c r="P967" s="12">
        <v>24</v>
      </c>
      <c r="Q967" s="12" t="s">
        <v>523</v>
      </c>
      <c r="R967" s="59">
        <v>160000</v>
      </c>
      <c r="S967" s="182" t="s">
        <v>130</v>
      </c>
      <c r="T967" s="53" t="s">
        <v>62</v>
      </c>
      <c r="U967" s="53" t="s">
        <v>67</v>
      </c>
      <c r="V967" s="53"/>
      <c r="W967" s="12" t="s">
        <v>1597</v>
      </c>
      <c r="X967" s="80" t="s">
        <v>39</v>
      </c>
      <c r="Y967" s="80" t="s">
        <v>40</v>
      </c>
      <c r="Z967" s="80"/>
      <c r="AA967" s="80" t="s">
        <v>70</v>
      </c>
      <c r="AB967" s="354" t="s">
        <v>41</v>
      </c>
      <c r="AC967" s="101" t="s">
        <v>3787</v>
      </c>
      <c r="AD967" s="76" t="s">
        <v>369</v>
      </c>
      <c r="AE967" s="211"/>
    </row>
    <row r="968" spans="1:31" ht="188.5">
      <c r="A968" s="1185"/>
      <c r="B968" s="120"/>
      <c r="C968" s="2762" t="s">
        <v>146</v>
      </c>
      <c r="D968" s="9" t="s">
        <v>32</v>
      </c>
      <c r="E968" s="9"/>
      <c r="F968" s="9"/>
      <c r="G968" s="9"/>
      <c r="H968" s="5" t="s">
        <v>33</v>
      </c>
      <c r="I968" s="2763" t="s">
        <v>34</v>
      </c>
      <c r="J968" s="2752" t="s">
        <v>147</v>
      </c>
      <c r="K968" s="2758"/>
      <c r="L968" s="5" t="e">
        <f>IF(OR(S968=#REF!,S968=#REF!,S968=#REF!,S968=#REF!,S968=#REF!,S968=#REF!,S968=#REF!,S968=#REF!),12,IF(OR(S968=#REF!,S968=#REF!,S968=#REF!,S968=#REF!,S968=#REF!,S968=#REF!,S968=#REF!),3,IF(S968=#REF!,1,IF(S968=#REF!,18,IF(OR(S968=#REF!,S968=#REF!,S968=#REF!,S968=#REF!,S968=#REF!),14,"Invalid proposed procurement method")))))</f>
        <v>#REF!</v>
      </c>
      <c r="M968" s="199" t="str">
        <f t="shared" si="3"/>
        <v>Invalid procurement method or date entered</v>
      </c>
      <c r="N968" s="199" t="str">
        <f t="shared" si="4"/>
        <v>Invalid procurement method or date entered</v>
      </c>
      <c r="O968" s="2764">
        <v>44287</v>
      </c>
      <c r="P968" s="2763">
        <v>48</v>
      </c>
      <c r="Q968" s="2751" t="s">
        <v>3788</v>
      </c>
      <c r="R968" s="18">
        <v>200000</v>
      </c>
      <c r="S968" s="5" t="s">
        <v>130</v>
      </c>
      <c r="T968" s="51" t="s">
        <v>62</v>
      </c>
      <c r="U968" s="51" t="s">
        <v>67</v>
      </c>
      <c r="V968" s="51"/>
      <c r="W968" s="2763" t="s">
        <v>149</v>
      </c>
      <c r="X968" s="80" t="s">
        <v>39</v>
      </c>
      <c r="Y968" s="80" t="s">
        <v>40</v>
      </c>
      <c r="Z968" s="80"/>
      <c r="AA968" s="2765" t="s">
        <v>70</v>
      </c>
      <c r="AB968" s="354" t="s">
        <v>132</v>
      </c>
      <c r="AC968" s="1111" t="s">
        <v>3789</v>
      </c>
      <c r="AD968" s="80" t="s">
        <v>3125</v>
      </c>
      <c r="AE968" s="1075" t="s">
        <v>3790</v>
      </c>
    </row>
    <row r="969" spans="1:31" ht="159.5">
      <c r="A969" s="1185"/>
      <c r="B969" s="120"/>
      <c r="C969" s="4" t="s">
        <v>67</v>
      </c>
      <c r="D969" s="9" t="s">
        <v>32</v>
      </c>
      <c r="E969" s="9"/>
      <c r="F969" s="9"/>
      <c r="G969" s="9"/>
      <c r="H969" s="5" t="s">
        <v>33</v>
      </c>
      <c r="I969" s="5" t="s">
        <v>47</v>
      </c>
      <c r="J969" s="16" t="s">
        <v>3791</v>
      </c>
      <c r="K969" s="16"/>
      <c r="L969" s="5" t="e">
        <f>IF(OR(S969=#REF!,S969=#REF!,S969=#REF!,S969=#REF!,S969=#REF!,S969=#REF!,S969=#REF!,S969=#REF!),12,IF(OR(S969=#REF!,S969=#REF!,S969=#REF!,S969=#REF!,S969=#REF!,S969=#REF!,S969=#REF!),3,IF(S969=#REF!,1,IF(S969=#REF!,18,IF(OR(S969=#REF!,S969=#REF!,S969=#REF!,S969=#REF!,S969=#REF!),14,"Invalid proposed procurement method")))))</f>
        <v>#REF!</v>
      </c>
      <c r="M969" s="199" t="str">
        <f t="shared" si="3"/>
        <v>Invalid procurement method or date entered</v>
      </c>
      <c r="N969" s="199" t="str">
        <f t="shared" si="4"/>
        <v>Invalid procurement method or date entered</v>
      </c>
      <c r="O969" s="182">
        <v>44287</v>
      </c>
      <c r="P969" s="12">
        <v>60</v>
      </c>
      <c r="Q969" s="7" t="s">
        <v>1871</v>
      </c>
      <c r="R969" s="18">
        <v>126755.93</v>
      </c>
      <c r="S969" s="5" t="s">
        <v>84</v>
      </c>
      <c r="T969" s="9" t="s">
        <v>38</v>
      </c>
      <c r="U969" s="15" t="s">
        <v>67</v>
      </c>
      <c r="V969" s="15"/>
      <c r="W969" s="5" t="s">
        <v>383</v>
      </c>
      <c r="X969" s="80" t="s">
        <v>543</v>
      </c>
      <c r="Y969" s="80" t="s">
        <v>40</v>
      </c>
      <c r="Z969" s="80"/>
      <c r="AA969" s="80" t="s">
        <v>70</v>
      </c>
      <c r="AB969" s="354" t="s">
        <v>132</v>
      </c>
      <c r="AC969" s="101" t="s">
        <v>3792</v>
      </c>
      <c r="AD969" s="80" t="s">
        <v>385</v>
      </c>
      <c r="AE969" s="339"/>
    </row>
    <row r="970" spans="1:31" ht="72.5">
      <c r="A970" s="1185"/>
      <c r="B970" s="120"/>
      <c r="C970" s="4" t="s">
        <v>45</v>
      </c>
      <c r="D970" s="9" t="s">
        <v>32</v>
      </c>
      <c r="E970" s="9"/>
      <c r="F970" s="9"/>
      <c r="G970" s="9"/>
      <c r="H970" s="5" t="s">
        <v>33</v>
      </c>
      <c r="I970" s="12" t="s">
        <v>34</v>
      </c>
      <c r="J970" s="16" t="s">
        <v>159</v>
      </c>
      <c r="K970" s="16"/>
      <c r="L970" s="5" t="e">
        <f>IF(OR(S970=#REF!,S970=#REF!,S970=#REF!,S970=#REF!,S970=#REF!,S970=#REF!,S970=#REF!,S970=#REF!),12,IF(OR(S970=#REF!,S970=#REF!,S970=#REF!,S970=#REF!,S970=#REF!,S970=#REF!,S970=#REF!),3,IF(S970=#REF!,1,IF(S970=#REF!,18,IF(OR(S970=#REF!,S970=#REF!,S970=#REF!,S970=#REF!,S970=#REF!),14,"Invalid proposed procurement method")))))</f>
        <v>#REF!</v>
      </c>
      <c r="M970" s="199" t="str">
        <f t="shared" si="3"/>
        <v>Invalid procurement method or date entered</v>
      </c>
      <c r="N970" s="199" t="str">
        <f t="shared" si="4"/>
        <v>Invalid procurement method or date entered</v>
      </c>
      <c r="O970" s="182">
        <v>44287</v>
      </c>
      <c r="P970" s="12">
        <v>48</v>
      </c>
      <c r="Q970" s="13" t="s">
        <v>3793</v>
      </c>
      <c r="R970" s="18">
        <v>147961</v>
      </c>
      <c r="S970" s="5" t="s">
        <v>130</v>
      </c>
      <c r="T970" s="52" t="s">
        <v>62</v>
      </c>
      <c r="U970" s="48" t="s">
        <v>67</v>
      </c>
      <c r="V970" s="48"/>
      <c r="W970" s="12" t="s">
        <v>3794</v>
      </c>
      <c r="X970" s="80" t="s">
        <v>39</v>
      </c>
      <c r="Y970" s="80" t="s">
        <v>40</v>
      </c>
      <c r="Z970" s="80" t="s">
        <v>69</v>
      </c>
      <c r="AA970" s="1022" t="s">
        <v>70</v>
      </c>
      <c r="AB970" s="354" t="s">
        <v>271</v>
      </c>
      <c r="AC970" s="101"/>
      <c r="AD970" s="80" t="s">
        <v>164</v>
      </c>
      <c r="AE970" s="211">
        <v>40000</v>
      </c>
    </row>
    <row r="971" spans="1:31" ht="348">
      <c r="A971" s="1185"/>
      <c r="B971" s="338"/>
      <c r="C971" s="2770" t="s">
        <v>3795</v>
      </c>
      <c r="D971" s="9" t="s">
        <v>32</v>
      </c>
      <c r="E971" s="9"/>
      <c r="F971" s="9"/>
      <c r="G971" s="9"/>
      <c r="H971" s="5" t="s">
        <v>33</v>
      </c>
      <c r="I971" s="12" t="s">
        <v>34</v>
      </c>
      <c r="J971" s="16" t="s">
        <v>3796</v>
      </c>
      <c r="K971" s="8"/>
      <c r="L971" s="5" t="e">
        <f>IF(OR(S971=#REF!,S971=#REF!,S971=#REF!,S971=#REF!,S971=#REF!,S971=#REF!,S971=#REF!,S971=#REF!),12,IF(OR(S971=#REF!,S971=#REF!,S971=#REF!,S971=#REF!,S971=#REF!,S971=#REF!,S971=#REF!),3,IF(S971=#REF!,1,IF(S971=#REF!,18,IF(OR(S971=#REF!,S971=#REF!,S971=#REF!,S971=#REF!,S971=#REF!),14,"Invalid proposed procurement method")))))</f>
        <v>#REF!</v>
      </c>
      <c r="M971" s="199" t="str">
        <f t="shared" si="3"/>
        <v>Invalid procurement method or date entered</v>
      </c>
      <c r="N971" s="199" t="str">
        <f t="shared" si="4"/>
        <v>Invalid procurement method or date entered</v>
      </c>
      <c r="O971" s="199">
        <v>44287</v>
      </c>
      <c r="P971" s="5">
        <v>72</v>
      </c>
      <c r="Q971" s="5" t="s">
        <v>293</v>
      </c>
      <c r="R971" s="18">
        <v>3000000</v>
      </c>
      <c r="S971" s="5" t="s">
        <v>130</v>
      </c>
      <c r="T971" s="52" t="s">
        <v>70</v>
      </c>
      <c r="U971" s="48" t="s">
        <v>45</v>
      </c>
      <c r="V971" s="48"/>
      <c r="W971" s="5" t="s">
        <v>239</v>
      </c>
      <c r="X971" s="80" t="s">
        <v>39</v>
      </c>
      <c r="Y971" s="80" t="s">
        <v>40</v>
      </c>
      <c r="Z971" s="80" t="s">
        <v>87</v>
      </c>
      <c r="AA971" s="80" t="s">
        <v>70</v>
      </c>
      <c r="AB971" s="354" t="s">
        <v>271</v>
      </c>
      <c r="AC971" s="1110" t="s">
        <v>3797</v>
      </c>
      <c r="AD971" s="80" t="s">
        <v>240</v>
      </c>
      <c r="AE971" s="2769"/>
    </row>
    <row r="972" spans="1:31" ht="116">
      <c r="A972" s="1184"/>
      <c r="B972" s="4"/>
      <c r="C972" s="4" t="s">
        <v>45</v>
      </c>
      <c r="D972" s="5" t="s">
        <v>32</v>
      </c>
      <c r="E972" s="5"/>
      <c r="F972" s="5"/>
      <c r="G972" s="5"/>
      <c r="H972" s="5" t="s">
        <v>33</v>
      </c>
      <c r="I972" s="5" t="s">
        <v>47</v>
      </c>
      <c r="J972" s="16" t="s">
        <v>3798</v>
      </c>
      <c r="K972" s="8"/>
      <c r="L972" s="5" t="e">
        <f>IF(OR(S972=#REF!,S972=#REF!,S972=#REF!,S972=#REF!,S972=#REF!,S972=#REF!,S972=#REF!,S972=#REF!),12,IF(OR(S972=#REF!,S972=#REF!,S972=#REF!,S972=#REF!,S972=#REF!,S972=#REF!,S972=#REF!),3,IF(S972=#REF!,1,IF(S972=#REF!,18,IF(OR(S972=#REF!,S972=#REF!,S972=#REF!,S972=#REF!,S972=#REF!),14,"Invalid proposed procurement method")))))</f>
        <v>#REF!</v>
      </c>
      <c r="M972" s="199" t="str">
        <f t="shared" si="3"/>
        <v>Invalid procurement method or date entered</v>
      </c>
      <c r="N972" s="199" t="str">
        <f t="shared" si="4"/>
        <v>Invalid procurement method or date entered</v>
      </c>
      <c r="O972" s="199">
        <v>44287</v>
      </c>
      <c r="P972" s="5" t="s">
        <v>45</v>
      </c>
      <c r="Q972" s="5" t="s">
        <v>45</v>
      </c>
      <c r="R972" s="41">
        <v>10000</v>
      </c>
      <c r="S972" s="5" t="s">
        <v>45</v>
      </c>
      <c r="T972" s="5" t="s">
        <v>38</v>
      </c>
      <c r="U972" s="5" t="s">
        <v>67</v>
      </c>
      <c r="V972" s="5"/>
      <c r="W972" s="5" t="s">
        <v>3799</v>
      </c>
      <c r="X972" s="80" t="s">
        <v>289</v>
      </c>
      <c r="Y972" s="80" t="s">
        <v>115</v>
      </c>
      <c r="Z972" s="80" t="s">
        <v>154</v>
      </c>
      <c r="AA972" s="76" t="s">
        <v>70</v>
      </c>
      <c r="AB972" s="354" t="s">
        <v>271</v>
      </c>
      <c r="AC972" s="1118" t="s">
        <v>3800</v>
      </c>
      <c r="AD972" s="80" t="s">
        <v>96</v>
      </c>
      <c r="AE972" s="1132"/>
    </row>
    <row r="973" spans="1:31" ht="72.5">
      <c r="A973" s="1119"/>
      <c r="B973" s="4"/>
      <c r="C973" s="2896" t="s">
        <v>3801</v>
      </c>
      <c r="D973" s="9" t="s">
        <v>32</v>
      </c>
      <c r="E973" s="9"/>
      <c r="F973" s="9"/>
      <c r="G973" s="9"/>
      <c r="H973" s="5" t="s">
        <v>80</v>
      </c>
      <c r="I973" s="5" t="s">
        <v>34</v>
      </c>
      <c r="J973" s="16" t="s">
        <v>3802</v>
      </c>
      <c r="K973" s="16"/>
      <c r="L973" s="5" t="e">
        <f>IF(OR(S973=#REF!,S973=#REF!,S973=#REF!,S973=#REF!,S973=#REF!,S973=#REF!,S973=#REF!,S973=#REF!),12,IF(OR(S973=#REF!,S973=#REF!,S973=#REF!,S973=#REF!,S973=#REF!,S973=#REF!,S973=#REF!),3,IF(S973=#REF!,1,IF(S973=#REF!,18,IF(OR(S973=#REF!,S973=#REF!,S973=#REF!,S973=#REF!,S973=#REF!),14,"Invalid proposed procurement method")))))</f>
        <v>#REF!</v>
      </c>
      <c r="M973" s="199" t="str">
        <f t="shared" si="3"/>
        <v>Invalid procurement method or date entered</v>
      </c>
      <c r="N973" s="199" t="str">
        <f t="shared" si="4"/>
        <v>Invalid procurement method or date entered</v>
      </c>
      <c r="O973" s="182">
        <v>44287</v>
      </c>
      <c r="P973" s="12">
        <v>48</v>
      </c>
      <c r="Q973" s="7" t="s">
        <v>2511</v>
      </c>
      <c r="R973" s="18">
        <v>9090426</v>
      </c>
      <c r="S973" s="5" t="s">
        <v>130</v>
      </c>
      <c r="T973" s="52" t="s">
        <v>70</v>
      </c>
      <c r="U973" s="210">
        <v>44088</v>
      </c>
      <c r="V973" s="210"/>
      <c r="W973" s="5" t="s">
        <v>1597</v>
      </c>
      <c r="X973" s="80" t="s">
        <v>283</v>
      </c>
      <c r="Y973" s="80" t="s">
        <v>40</v>
      </c>
      <c r="Z973" s="80" t="s">
        <v>69</v>
      </c>
      <c r="AA973" s="80" t="s">
        <v>70</v>
      </c>
      <c r="AB973" s="354" t="s">
        <v>271</v>
      </c>
      <c r="AC973" s="101" t="s">
        <v>3803</v>
      </c>
      <c r="AD973" s="76" t="s">
        <v>80</v>
      </c>
      <c r="AE973" s="2897">
        <v>2272606</v>
      </c>
    </row>
    <row r="974" spans="1:31" ht="72.5">
      <c r="A974" s="1183"/>
      <c r="B974" s="4"/>
      <c r="C974" s="2898" t="s">
        <v>3801</v>
      </c>
      <c r="D974" s="9" t="s">
        <v>32</v>
      </c>
      <c r="E974" s="9"/>
      <c r="F974" s="9"/>
      <c r="G974" s="9"/>
      <c r="H974" s="5" t="s">
        <v>80</v>
      </c>
      <c r="I974" s="5" t="s">
        <v>34</v>
      </c>
      <c r="J974" s="16" t="s">
        <v>3802</v>
      </c>
      <c r="K974" s="16"/>
      <c r="L974" s="5" t="e">
        <f>IF(OR(S974=#REF!,S974=#REF!,S974=#REF!,S974=#REF!,S974=#REF!,S974=#REF!,S974=#REF!,S974=#REF!),12,IF(OR(S974=#REF!,S974=#REF!,S974=#REF!,S974=#REF!,S974=#REF!,S974=#REF!,S974=#REF!),3,IF(S974=#REF!,1,IF(S974=#REF!,18,IF(OR(S974=#REF!,S974=#REF!,S974=#REF!,S974=#REF!,S974=#REF!),14,"Invalid proposed procurement method")))))</f>
        <v>#REF!</v>
      </c>
      <c r="M974" s="199" t="str">
        <f t="shared" si="3"/>
        <v>Invalid procurement method or date entered</v>
      </c>
      <c r="N974" s="199" t="str">
        <f t="shared" si="4"/>
        <v>Invalid procurement method or date entered</v>
      </c>
      <c r="O974" s="182">
        <v>44287</v>
      </c>
      <c r="P974" s="12">
        <v>48</v>
      </c>
      <c r="Q974" s="7" t="s">
        <v>2511</v>
      </c>
      <c r="R974" s="18">
        <v>9090426</v>
      </c>
      <c r="S974" s="5" t="s">
        <v>130</v>
      </c>
      <c r="T974" s="52" t="s">
        <v>70</v>
      </c>
      <c r="U974" s="210">
        <v>44088</v>
      </c>
      <c r="V974" s="210"/>
      <c r="W974" s="5" t="s">
        <v>1597</v>
      </c>
      <c r="X974" s="80" t="s">
        <v>283</v>
      </c>
      <c r="Y974" s="80" t="s">
        <v>40</v>
      </c>
      <c r="Z974" s="80" t="s">
        <v>69</v>
      </c>
      <c r="AA974" s="80" t="s">
        <v>70</v>
      </c>
      <c r="AB974" s="354" t="s">
        <v>271</v>
      </c>
      <c r="AC974" s="101" t="s">
        <v>3803</v>
      </c>
      <c r="AD974" s="76" t="s">
        <v>80</v>
      </c>
      <c r="AE974" s="2897">
        <v>2272606</v>
      </c>
    </row>
    <row r="975" spans="1:31" ht="72.5">
      <c r="A975" s="1119"/>
      <c r="B975" s="2755"/>
      <c r="C975" s="2770" t="s">
        <v>875</v>
      </c>
      <c r="D975" s="2818" t="s">
        <v>32</v>
      </c>
      <c r="E975" s="2818"/>
      <c r="F975" s="2818"/>
      <c r="G975" s="2818"/>
      <c r="H975" s="2789" t="s">
        <v>33</v>
      </c>
      <c r="I975" s="2789" t="s">
        <v>47</v>
      </c>
      <c r="J975" s="2872" t="s">
        <v>876</v>
      </c>
      <c r="K975" s="2872"/>
      <c r="L975" s="5" t="e">
        <f>IF(OR(S975=#REF!,S975=#REF!,S975=#REF!,S975=#REF!,S975=#REF!,S975=#REF!,S975=#REF!,S975=#REF!),12,IF(OR(S975=#REF!,S975=#REF!,S975=#REF!,S975=#REF!,S975=#REF!,S975=#REF!,S975=#REF!),3,IF(S975=#REF!,1,IF(S975=#REF!,18,IF(OR(S975=#REF!,S975=#REF!,S975=#REF!,S975=#REF!,S975=#REF!),14,"Invalid proposed procurement method")))))</f>
        <v>#REF!</v>
      </c>
      <c r="M975" s="199" t="str">
        <f t="shared" si="3"/>
        <v>Invalid procurement method or date entered</v>
      </c>
      <c r="N975" s="199" t="str">
        <f t="shared" si="4"/>
        <v>Invalid procurement method or date entered</v>
      </c>
      <c r="O975" s="2852">
        <v>44287</v>
      </c>
      <c r="P975" s="2818">
        <v>36</v>
      </c>
      <c r="Q975" s="2789" t="s">
        <v>160</v>
      </c>
      <c r="R975" s="18">
        <v>180000</v>
      </c>
      <c r="S975" s="2789" t="s">
        <v>84</v>
      </c>
      <c r="T975" s="2789" t="s">
        <v>38</v>
      </c>
      <c r="U975" s="12" t="s">
        <v>67</v>
      </c>
      <c r="V975" s="12"/>
      <c r="W975" s="2818" t="s">
        <v>878</v>
      </c>
      <c r="X975" s="80" t="s">
        <v>543</v>
      </c>
      <c r="Y975" s="2899" t="s">
        <v>727</v>
      </c>
      <c r="Z975" s="80" t="s">
        <v>154</v>
      </c>
      <c r="AA975" s="2871" t="s">
        <v>38</v>
      </c>
      <c r="AB975" s="2772" t="s">
        <v>143</v>
      </c>
      <c r="AC975" s="2895" t="s">
        <v>3804</v>
      </c>
      <c r="AD975" s="80" t="s">
        <v>96</v>
      </c>
      <c r="AE975" s="1132">
        <v>60000</v>
      </c>
    </row>
    <row r="976" spans="1:31" ht="72.5">
      <c r="A976" s="1119"/>
      <c r="B976" s="4"/>
      <c r="C976" s="4" t="s">
        <v>3805</v>
      </c>
      <c r="D976" s="5" t="s">
        <v>32</v>
      </c>
      <c r="E976" s="5"/>
      <c r="F976" s="5"/>
      <c r="G976" s="5"/>
      <c r="H976" s="5" t="s">
        <v>33</v>
      </c>
      <c r="I976" s="5" t="s">
        <v>47</v>
      </c>
      <c r="J976" s="16" t="s">
        <v>3806</v>
      </c>
      <c r="K976" s="8"/>
      <c r="L976" s="5" t="e">
        <f>IF(OR(S976=#REF!,S976=#REF!,S976=#REF!,S976=#REF!,S976=#REF!,S976=#REF!,S976=#REF!,S976=#REF!),12,IF(OR(S976=#REF!,S976=#REF!,S976=#REF!,S976=#REF!,S976=#REF!,S976=#REF!,S976=#REF!),3,IF(S976=#REF!,1,IF(S976=#REF!,18,IF(OR(S976=#REF!,S976=#REF!,S976=#REF!,S976=#REF!,S976=#REF!),14,"Invalid proposed procurement method")))))</f>
        <v>#REF!</v>
      </c>
      <c r="M976" s="199" t="str">
        <f t="shared" si="3"/>
        <v>Invalid procurement method or date entered</v>
      </c>
      <c r="N976" s="199" t="str">
        <f t="shared" si="4"/>
        <v>Invalid procurement method or date entered</v>
      </c>
      <c r="O976" s="14">
        <v>44287</v>
      </c>
      <c r="P976" s="12">
        <v>12</v>
      </c>
      <c r="Q976" s="5">
        <v>12</v>
      </c>
      <c r="R976" s="18">
        <v>30000</v>
      </c>
      <c r="S976" s="5" t="s">
        <v>84</v>
      </c>
      <c r="T976" s="5" t="s">
        <v>38</v>
      </c>
      <c r="U976" s="12" t="s">
        <v>67</v>
      </c>
      <c r="V976" s="12"/>
      <c r="W976" s="5" t="s">
        <v>142</v>
      </c>
      <c r="X976" s="493" t="s">
        <v>86</v>
      </c>
      <c r="Y976" s="80" t="s">
        <v>40</v>
      </c>
      <c r="Z976" s="80" t="s">
        <v>154</v>
      </c>
      <c r="AA976" s="80" t="s">
        <v>70</v>
      </c>
      <c r="AB976" s="2772" t="s">
        <v>143</v>
      </c>
      <c r="AC976" s="101" t="s">
        <v>89</v>
      </c>
      <c r="AD976" s="80" t="s">
        <v>145</v>
      </c>
      <c r="AE976" s="339">
        <v>30000</v>
      </c>
    </row>
    <row r="977" spans="1:31" ht="116">
      <c r="A977" s="1185"/>
      <c r="B977" s="2755" t="s">
        <v>44</v>
      </c>
      <c r="C977" s="4" t="s">
        <v>3807</v>
      </c>
      <c r="D977" s="5" t="s">
        <v>32</v>
      </c>
      <c r="E977" s="5"/>
      <c r="F977" s="5"/>
      <c r="G977" s="5"/>
      <c r="H977" s="5" t="s">
        <v>33</v>
      </c>
      <c r="I977" s="5" t="s">
        <v>47</v>
      </c>
      <c r="J977" s="16" t="s">
        <v>635</v>
      </c>
      <c r="K977" s="8"/>
      <c r="L977" s="5" t="e">
        <f>IF(OR(S977=#REF!,S977=#REF!,S977=#REF!,S977=#REF!,S977=#REF!,S977=#REF!,S977=#REF!,S977=#REF!),12,IF(OR(S977=#REF!,S977=#REF!,S977=#REF!,S977=#REF!,S977=#REF!,S977=#REF!,S977=#REF!),3,IF(S977=#REF!,1,IF(S977=#REF!,18,IF(OR(S977=#REF!,S977=#REF!,S977=#REF!,S977=#REF!,S977=#REF!),14,"Invalid proposed procurement method")))))</f>
        <v>#REF!</v>
      </c>
      <c r="M977" s="199" t="str">
        <f t="shared" si="3"/>
        <v>Invalid procurement method or date entered</v>
      </c>
      <c r="N977" s="199" t="str">
        <f t="shared" si="4"/>
        <v>Invalid procurement method or date entered</v>
      </c>
      <c r="O977" s="182">
        <v>44287</v>
      </c>
      <c r="P977" s="12">
        <v>12</v>
      </c>
      <c r="Q977" s="12">
        <v>12</v>
      </c>
      <c r="R977" s="18">
        <v>30000</v>
      </c>
      <c r="S977" s="5" t="s">
        <v>84</v>
      </c>
      <c r="T977" s="5" t="s">
        <v>38</v>
      </c>
      <c r="U977" s="12" t="s">
        <v>67</v>
      </c>
      <c r="V977" s="12"/>
      <c r="W977" s="46" t="s">
        <v>2543</v>
      </c>
      <c r="X977" s="80" t="s">
        <v>162</v>
      </c>
      <c r="Y977" s="80" t="s">
        <v>40</v>
      </c>
      <c r="Z977" s="80" t="s">
        <v>154</v>
      </c>
      <c r="AA977" s="80" t="s">
        <v>70</v>
      </c>
      <c r="AB977" s="354" t="s">
        <v>88</v>
      </c>
      <c r="AC977" s="101" t="s">
        <v>3808</v>
      </c>
      <c r="AD977" s="80" t="s">
        <v>240</v>
      </c>
      <c r="AE977" s="339">
        <v>30000</v>
      </c>
    </row>
    <row r="978" spans="1:31" ht="87">
      <c r="A978" s="1184"/>
      <c r="B978" s="120"/>
      <c r="C978" s="2770" t="s">
        <v>139</v>
      </c>
      <c r="D978" s="9" t="s">
        <v>32</v>
      </c>
      <c r="E978" s="9"/>
      <c r="F978" s="9"/>
      <c r="G978" s="9"/>
      <c r="H978" s="5" t="s">
        <v>33</v>
      </c>
      <c r="I978" s="5" t="s">
        <v>34</v>
      </c>
      <c r="J978" s="16" t="s">
        <v>140</v>
      </c>
      <c r="K978" s="8"/>
      <c r="L978" s="8"/>
      <c r="M978" s="199">
        <v>43862</v>
      </c>
      <c r="N978" s="199"/>
      <c r="O978" s="199">
        <v>44287</v>
      </c>
      <c r="P978" s="5">
        <v>48</v>
      </c>
      <c r="Q978" s="7" t="s">
        <v>656</v>
      </c>
      <c r="R978" s="18">
        <v>116160</v>
      </c>
      <c r="S978" s="5" t="s">
        <v>130</v>
      </c>
      <c r="T978" s="52" t="s">
        <v>62</v>
      </c>
      <c r="U978" s="48" t="s">
        <v>67</v>
      </c>
      <c r="V978" s="48"/>
      <c r="W978" s="5" t="s">
        <v>142</v>
      </c>
      <c r="X978" s="80" t="s">
        <v>39</v>
      </c>
      <c r="Y978" s="80" t="s">
        <v>40</v>
      </c>
      <c r="Z978" s="80"/>
      <c r="AA978" s="80"/>
      <c r="AB978" s="354" t="s">
        <v>41</v>
      </c>
      <c r="AC978" s="101" t="s">
        <v>3809</v>
      </c>
      <c r="AD978" s="76" t="s">
        <v>3120</v>
      </c>
      <c r="AE978" s="211">
        <v>29040</v>
      </c>
    </row>
    <row r="979" spans="1:31" ht="101.5">
      <c r="A979" s="1184"/>
      <c r="B979" s="338"/>
      <c r="C979" s="4"/>
      <c r="D979" s="9" t="s">
        <v>57</v>
      </c>
      <c r="E979" s="9"/>
      <c r="F979" s="9"/>
      <c r="G979" s="9"/>
      <c r="H979" s="5" t="s">
        <v>165</v>
      </c>
      <c r="I979" s="5" t="s">
        <v>34</v>
      </c>
      <c r="J979" s="16" t="s">
        <v>3810</v>
      </c>
      <c r="K979" s="16"/>
      <c r="L979" s="16"/>
      <c r="M979" s="14">
        <v>43922</v>
      </c>
      <c r="N979" s="14"/>
      <c r="O979" s="14">
        <v>44287</v>
      </c>
      <c r="P979" s="12">
        <v>60</v>
      </c>
      <c r="Q979" s="5" t="s">
        <v>2902</v>
      </c>
      <c r="R979" s="41">
        <v>11652599.449999999</v>
      </c>
      <c r="S979" s="2751" t="s">
        <v>130</v>
      </c>
      <c r="T979" s="50" t="s">
        <v>70</v>
      </c>
      <c r="U979" s="48" t="s">
        <v>45</v>
      </c>
      <c r="V979" s="48"/>
      <c r="W979" s="5" t="s">
        <v>167</v>
      </c>
      <c r="X979" s="1076" t="s">
        <v>543</v>
      </c>
      <c r="Y979" s="80" t="s">
        <v>40</v>
      </c>
      <c r="Z979" s="80"/>
      <c r="AA979" s="80"/>
      <c r="AB979" s="354" t="s">
        <v>3016</v>
      </c>
      <c r="AC979" s="1112" t="s">
        <v>3459</v>
      </c>
      <c r="AD979" s="76" t="s">
        <v>165</v>
      </c>
      <c r="AE979" s="211" t="s">
        <v>3811</v>
      </c>
    </row>
    <row r="980" spans="1:31" ht="72.5">
      <c r="A980" s="1185"/>
      <c r="B980" s="174"/>
      <c r="C980" s="4"/>
      <c r="D980" s="9" t="s">
        <v>32</v>
      </c>
      <c r="E980" s="9"/>
      <c r="F980" s="9"/>
      <c r="G980" s="9"/>
      <c r="H980" s="5" t="s">
        <v>502</v>
      </c>
      <c r="I980" s="9" t="s">
        <v>34</v>
      </c>
      <c r="J980" s="16" t="s">
        <v>503</v>
      </c>
      <c r="K980" s="16"/>
      <c r="L980" s="16"/>
      <c r="M980" s="199">
        <v>43922</v>
      </c>
      <c r="N980" s="199"/>
      <c r="O980" s="49">
        <v>44287</v>
      </c>
      <c r="P980" s="15">
        <v>48</v>
      </c>
      <c r="Q980" s="15" t="s">
        <v>3812</v>
      </c>
      <c r="R980" s="18">
        <v>134400</v>
      </c>
      <c r="S980" s="5" t="s">
        <v>130</v>
      </c>
      <c r="T980" s="52" t="s">
        <v>38</v>
      </c>
      <c r="U980" s="48" t="s">
        <v>67</v>
      </c>
      <c r="V980" s="48"/>
      <c r="W980" s="9" t="s">
        <v>504</v>
      </c>
      <c r="X980" s="80" t="s">
        <v>39</v>
      </c>
      <c r="Y980" s="80" t="s">
        <v>251</v>
      </c>
      <c r="Z980" s="80"/>
      <c r="AA980" s="1076"/>
      <c r="AB980" s="354" t="s">
        <v>3016</v>
      </c>
      <c r="AC980" s="993" t="s">
        <v>3813</v>
      </c>
      <c r="AD980" s="76" t="s">
        <v>979</v>
      </c>
      <c r="AE980" s="1131">
        <v>33600</v>
      </c>
    </row>
    <row r="981" spans="1:31" ht="43.5">
      <c r="A981" s="1119"/>
      <c r="B981" s="4"/>
      <c r="C981" s="4" t="s">
        <v>2332</v>
      </c>
      <c r="D981" s="5" t="s">
        <v>32</v>
      </c>
      <c r="E981" s="5"/>
      <c r="F981" s="5"/>
      <c r="G981" s="5"/>
      <c r="H981" s="5" t="s">
        <v>33</v>
      </c>
      <c r="I981" s="5" t="s">
        <v>47</v>
      </c>
      <c r="J981" s="16" t="s">
        <v>3814</v>
      </c>
      <c r="K981" s="16"/>
      <c r="L981" s="16"/>
      <c r="M981" s="182">
        <v>43952</v>
      </c>
      <c r="N981" s="182"/>
      <c r="O981" s="182">
        <v>44287</v>
      </c>
      <c r="P981" s="12">
        <v>12</v>
      </c>
      <c r="Q981" s="12">
        <v>12</v>
      </c>
      <c r="R981" s="18">
        <v>30000</v>
      </c>
      <c r="S981" s="5" t="s">
        <v>529</v>
      </c>
      <c r="T981" s="5" t="s">
        <v>38</v>
      </c>
      <c r="U981" s="12" t="s">
        <v>67</v>
      </c>
      <c r="V981" s="12"/>
      <c r="W981" s="5" t="s">
        <v>3815</v>
      </c>
      <c r="X981" s="493" t="s">
        <v>86</v>
      </c>
      <c r="Y981" s="80" t="s">
        <v>40</v>
      </c>
      <c r="Z981" s="80"/>
      <c r="AA981" s="80"/>
      <c r="AB981" s="354" t="s">
        <v>41</v>
      </c>
      <c r="AC981" s="101" t="s">
        <v>89</v>
      </c>
      <c r="AD981" s="76" t="s">
        <v>3410</v>
      </c>
      <c r="AE981" s="211">
        <v>24935</v>
      </c>
    </row>
    <row r="982" spans="1:31" ht="43.5">
      <c r="A982" s="1119"/>
      <c r="B982" s="120"/>
      <c r="C982" s="4" t="s">
        <v>45</v>
      </c>
      <c r="D982" s="9" t="s">
        <v>32</v>
      </c>
      <c r="E982" s="9"/>
      <c r="F982" s="9"/>
      <c r="G982" s="9"/>
      <c r="H982" s="5" t="s">
        <v>33</v>
      </c>
      <c r="I982" s="5" t="s">
        <v>47</v>
      </c>
      <c r="J982" s="1590" t="s">
        <v>370</v>
      </c>
      <c r="K982" s="64"/>
      <c r="L982" s="5">
        <v>6</v>
      </c>
      <c r="M982" s="199">
        <f>IFERROR(EDATE($N982,-3),"Invalid procurement method or date entered")</f>
        <v>44013</v>
      </c>
      <c r="N982" s="199">
        <f>IFERROR(EDATE(O982,-L982),"Invalid procurement method or date entered")</f>
        <v>44105</v>
      </c>
      <c r="O982" s="182">
        <v>44287</v>
      </c>
      <c r="P982" s="12">
        <v>12</v>
      </c>
      <c r="Q982" s="12">
        <v>12</v>
      </c>
      <c r="R982" s="18">
        <v>9745.82</v>
      </c>
      <c r="S982" s="5" t="s">
        <v>37</v>
      </c>
      <c r="T982" s="52" t="s">
        <v>38</v>
      </c>
      <c r="U982" s="48" t="s">
        <v>67</v>
      </c>
      <c r="V982" s="48"/>
      <c r="W982" s="12" t="s">
        <v>262</v>
      </c>
      <c r="X982" s="1076" t="s">
        <v>289</v>
      </c>
      <c r="Y982" s="80" t="s">
        <v>727</v>
      </c>
      <c r="Z982" s="80" t="s">
        <v>154</v>
      </c>
      <c r="AA982" s="80" t="s">
        <v>38</v>
      </c>
      <c r="AB982" s="354" t="s">
        <v>271</v>
      </c>
      <c r="AC982" s="1111"/>
      <c r="AD982" s="80" t="s">
        <v>264</v>
      </c>
      <c r="AE982" s="211">
        <v>9746</v>
      </c>
    </row>
    <row r="983" spans="1:31" ht="58">
      <c r="A983" s="1184"/>
      <c r="B983" s="120"/>
      <c r="C983" s="4" t="s">
        <v>974</v>
      </c>
      <c r="D983" s="5" t="s">
        <v>32</v>
      </c>
      <c r="E983" s="5"/>
      <c r="F983" s="5"/>
      <c r="G983" s="5"/>
      <c r="H983" s="5" t="s">
        <v>1670</v>
      </c>
      <c r="I983" s="5" t="s">
        <v>47</v>
      </c>
      <c r="J983" s="16" t="s">
        <v>975</v>
      </c>
      <c r="K983" s="16"/>
      <c r="L983" s="5" t="e">
        <f>IF(OR(S983=#REF!,S983=#REF!,S983=#REF!,S983=#REF!,S983=#REF!,S983=#REF!,S983=#REF!,S983=#REF!),12,IF(OR(S983=#REF!,S983=#REF!,S983=#REF!,S983=#REF!,S983=#REF!,S983=#REF!,S983=#REF!),3,IF(S983=#REF!,1,IF(S983=#REF!,18,IF(OR(S983=#REF!,S983=#REF!,S983=#REF!,S983=#REF!,S983=#REF!),14,"Invalid proposed procurement method")))))</f>
        <v>#REF!</v>
      </c>
      <c r="M983" s="199">
        <f>IFERROR(EDATE($N983,-3),"Invalid procurement method or date entered")</f>
        <v>44066</v>
      </c>
      <c r="N983" s="182">
        <v>44158</v>
      </c>
      <c r="O983" s="182">
        <v>44287</v>
      </c>
      <c r="P983" s="2763">
        <v>48</v>
      </c>
      <c r="Q983" s="12" t="s">
        <v>215</v>
      </c>
      <c r="R983" s="41">
        <v>156000</v>
      </c>
      <c r="S983" s="199" t="s">
        <v>51</v>
      </c>
      <c r="T983" s="53" t="s">
        <v>38</v>
      </c>
      <c r="U983" s="53" t="s">
        <v>67</v>
      </c>
      <c r="V983" s="53"/>
      <c r="W983" s="5" t="s">
        <v>977</v>
      </c>
      <c r="X983" s="80" t="s">
        <v>254</v>
      </c>
      <c r="Y983" s="80" t="s">
        <v>40</v>
      </c>
      <c r="Z983" s="80"/>
      <c r="AA983" s="80"/>
      <c r="AB983" s="354" t="s">
        <v>271</v>
      </c>
      <c r="AC983" s="2900" t="s">
        <v>3047</v>
      </c>
      <c r="AD983" s="76" t="s">
        <v>979</v>
      </c>
      <c r="AE983" s="339"/>
    </row>
    <row r="984" spans="1:31" ht="58">
      <c r="A984" s="1119"/>
      <c r="B984" s="120"/>
      <c r="C984" s="4"/>
      <c r="D984" s="9" t="s">
        <v>32</v>
      </c>
      <c r="E984" s="9"/>
      <c r="F984" s="9"/>
      <c r="G984" s="9"/>
      <c r="H984" s="9" t="s">
        <v>2562</v>
      </c>
      <c r="I984" s="9" t="s">
        <v>34</v>
      </c>
      <c r="J984" s="16" t="s">
        <v>3152</v>
      </c>
      <c r="K984" s="16"/>
      <c r="L984" s="16"/>
      <c r="M984" s="49">
        <v>44075</v>
      </c>
      <c r="N984" s="49"/>
      <c r="O984" s="49">
        <v>44287</v>
      </c>
      <c r="P984" s="15">
        <v>24</v>
      </c>
      <c r="Q984" s="15" t="s">
        <v>3816</v>
      </c>
      <c r="R984" s="18">
        <v>160000</v>
      </c>
      <c r="S984" s="2751" t="s">
        <v>130</v>
      </c>
      <c r="T984" s="52" t="s">
        <v>38</v>
      </c>
      <c r="U984" s="48" t="s">
        <v>67</v>
      </c>
      <c r="V984" s="48"/>
      <c r="W984" s="9" t="s">
        <v>1597</v>
      </c>
      <c r="X984" s="80" t="s">
        <v>39</v>
      </c>
      <c r="Y984" s="80" t="s">
        <v>40</v>
      </c>
      <c r="Z984" s="80"/>
      <c r="AA984" s="1076"/>
      <c r="AB984" s="354" t="s">
        <v>3016</v>
      </c>
      <c r="AC984" s="993" t="s">
        <v>3817</v>
      </c>
      <c r="AD984" s="76" t="s">
        <v>369</v>
      </c>
      <c r="AE984" s="1131"/>
    </row>
    <row r="985" spans="1:31" ht="72.5">
      <c r="A985" s="1184"/>
      <c r="B985" s="4"/>
      <c r="C985" s="4" t="s">
        <v>495</v>
      </c>
      <c r="D985" s="5" t="s">
        <v>57</v>
      </c>
      <c r="E985" s="5"/>
      <c r="F985" s="5"/>
      <c r="G985" s="5"/>
      <c r="H985" s="5" t="s">
        <v>496</v>
      </c>
      <c r="I985" s="5" t="s">
        <v>47</v>
      </c>
      <c r="J985" s="16" t="s">
        <v>497</v>
      </c>
      <c r="K985" s="16"/>
      <c r="L985" s="5" t="e">
        <f>IF(OR(S985=#REF!,S985=#REF!,S985=#REF!,S985=#REF!,S985=#REF!,S985=#REF!,S985=#REF!,S985=#REF!),12,IF(OR(S985=#REF!,S985=#REF!,S985=#REF!,S985=#REF!,S985=#REF!,S985=#REF!,S985=#REF!),3,IF(S985=#REF!,1,IF(S985=#REF!,18,IF(OR(S985=#REF!,S985=#REF!,S985=#REF!,S985=#REF!,S985=#REF!),14,"Invalid proposed procurement method")))))</f>
        <v>#REF!</v>
      </c>
      <c r="M985" s="199" t="str">
        <f t="shared" ref="M985:M994" si="5">IFERROR(EDATE($N985,-3),"Invalid procurement method or date entered")</f>
        <v>Invalid procurement method or date entered</v>
      </c>
      <c r="N985" s="199" t="str">
        <f t="shared" ref="N985:N995" si="6">IFERROR(EDATE(O985,-L985),"Invalid procurement method or date entered")</f>
        <v>Invalid procurement method or date entered</v>
      </c>
      <c r="O985" s="14">
        <v>44287</v>
      </c>
      <c r="P985" s="12">
        <v>12</v>
      </c>
      <c r="Q985" s="5">
        <v>12</v>
      </c>
      <c r="R985" s="18">
        <v>7600</v>
      </c>
      <c r="S985" s="5" t="s">
        <v>51</v>
      </c>
      <c r="T985" s="14" t="s">
        <v>38</v>
      </c>
      <c r="U985" s="14" t="s">
        <v>67</v>
      </c>
      <c r="V985" s="14"/>
      <c r="W985" s="5" t="s">
        <v>2982</v>
      </c>
      <c r="X985" s="80" t="s">
        <v>86</v>
      </c>
      <c r="Y985" s="80" t="s">
        <v>40</v>
      </c>
      <c r="Z985" s="80"/>
      <c r="AA985" s="2765" t="s">
        <v>38</v>
      </c>
      <c r="AB985" s="354" t="s">
        <v>132</v>
      </c>
      <c r="AC985" s="1110" t="s">
        <v>89</v>
      </c>
      <c r="AD985" s="76" t="s">
        <v>165</v>
      </c>
      <c r="AE985" s="1142">
        <v>7600</v>
      </c>
    </row>
    <row r="986" spans="1:31" ht="58">
      <c r="A986" s="1119"/>
      <c r="B986" s="174"/>
      <c r="C986" s="4" t="s">
        <v>492</v>
      </c>
      <c r="D986" s="9" t="s">
        <v>32</v>
      </c>
      <c r="E986" s="9"/>
      <c r="F986" s="9"/>
      <c r="G986" s="9"/>
      <c r="H986" s="5" t="s">
        <v>33</v>
      </c>
      <c r="I986" s="5" t="s">
        <v>34</v>
      </c>
      <c r="J986" s="16" t="s">
        <v>493</v>
      </c>
      <c r="K986" s="8"/>
      <c r="L986" s="5">
        <v>3</v>
      </c>
      <c r="M986" s="199">
        <f t="shared" si="5"/>
        <v>44105</v>
      </c>
      <c r="N986" s="199">
        <f t="shared" si="6"/>
        <v>44197</v>
      </c>
      <c r="O986" s="199">
        <v>44287</v>
      </c>
      <c r="P986" s="5">
        <v>48</v>
      </c>
      <c r="Q986" s="7" t="s">
        <v>656</v>
      </c>
      <c r="R986" s="18">
        <v>108000</v>
      </c>
      <c r="S986" s="5" t="s">
        <v>130</v>
      </c>
      <c r="T986" s="5" t="s">
        <v>38</v>
      </c>
      <c r="U986" s="12" t="s">
        <v>67</v>
      </c>
      <c r="V986" s="12"/>
      <c r="W986" s="5" t="s">
        <v>76</v>
      </c>
      <c r="X986" s="80" t="s">
        <v>39</v>
      </c>
      <c r="Y986" s="80" t="s">
        <v>40</v>
      </c>
      <c r="Z986" s="80" t="s">
        <v>69</v>
      </c>
      <c r="AA986" s="80" t="s">
        <v>70</v>
      </c>
      <c r="AB986" s="354" t="s">
        <v>132</v>
      </c>
      <c r="AC986" s="101" t="s">
        <v>3818</v>
      </c>
      <c r="AD986" s="80" t="s">
        <v>385</v>
      </c>
      <c r="AE986" s="211">
        <v>27000</v>
      </c>
    </row>
    <row r="987" spans="1:31" ht="72.5">
      <c r="A987" s="2754"/>
      <c r="B987" s="120"/>
      <c r="C987" s="4" t="s">
        <v>3819</v>
      </c>
      <c r="D987" s="5" t="s">
        <v>32</v>
      </c>
      <c r="E987" s="5"/>
      <c r="F987" s="5"/>
      <c r="G987" s="5"/>
      <c r="H987" s="5" t="s">
        <v>1670</v>
      </c>
      <c r="I987" s="5" t="s">
        <v>47</v>
      </c>
      <c r="J987" s="16" t="s">
        <v>2391</v>
      </c>
      <c r="K987" s="16"/>
      <c r="L987" s="5" t="e">
        <f>IF(OR(S987=#REF!,S987=#REF!,S987=#REF!,S987=#REF!,S987=#REF!,S987=#REF!,S987=#REF!,S987=#REF!),12,IF(OR(S987=#REF!,S987=#REF!,S987=#REF!,S987=#REF!,S987=#REF!,S987=#REF!,S987=#REF!),3,IF(S987=#REF!,1,IF(S987=#REF!,18,IF(OR(S987=#REF!,S987=#REF!,S987=#REF!,S987=#REF!,S987=#REF!),14,"Invalid proposed procurement method")))))</f>
        <v>#REF!</v>
      </c>
      <c r="M987" s="199" t="str">
        <f t="shared" si="5"/>
        <v>Invalid procurement method or date entered</v>
      </c>
      <c r="N987" s="199" t="str">
        <f t="shared" si="6"/>
        <v>Invalid procurement method or date entered</v>
      </c>
      <c r="O987" s="182">
        <v>44287</v>
      </c>
      <c r="P987" s="2763">
        <v>60</v>
      </c>
      <c r="Q987" s="12" t="s">
        <v>171</v>
      </c>
      <c r="R987" s="41">
        <v>35000</v>
      </c>
      <c r="S987" s="199" t="s">
        <v>51</v>
      </c>
      <c r="T987" s="53" t="s">
        <v>38</v>
      </c>
      <c r="U987" s="53" t="s">
        <v>67</v>
      </c>
      <c r="V987" s="53"/>
      <c r="W987" s="5" t="s">
        <v>977</v>
      </c>
      <c r="X987" s="80" t="s">
        <v>254</v>
      </c>
      <c r="Y987" s="80" t="s">
        <v>40</v>
      </c>
      <c r="Z987" s="80"/>
      <c r="AA987" s="80"/>
      <c r="AB987" s="354" t="s">
        <v>271</v>
      </c>
      <c r="AC987" s="2900" t="s">
        <v>3047</v>
      </c>
      <c r="AD987" s="76" t="s">
        <v>979</v>
      </c>
      <c r="AE987" s="339"/>
    </row>
    <row r="988" spans="1:31" ht="72.5">
      <c r="A988" s="1184"/>
      <c r="B988" s="120"/>
      <c r="C988" s="4" t="s">
        <v>1066</v>
      </c>
      <c r="D988" s="5" t="s">
        <v>32</v>
      </c>
      <c r="E988" s="5"/>
      <c r="F988" s="5"/>
      <c r="G988" s="5"/>
      <c r="H988" s="5" t="s">
        <v>1670</v>
      </c>
      <c r="I988" s="5" t="s">
        <v>47</v>
      </c>
      <c r="J988" s="16" t="s">
        <v>1068</v>
      </c>
      <c r="K988" s="16"/>
      <c r="L988" s="5" t="e">
        <f>IF(OR(S988=#REF!,S988=#REF!,S988=#REF!,S988=#REF!,S988=#REF!,S988=#REF!,S988=#REF!,S988=#REF!),12,IF(OR(S988=#REF!,S988=#REF!,S988=#REF!,S988=#REF!,S988=#REF!,S988=#REF!,S988=#REF!),3,IF(S988=#REF!,1,IF(S988=#REF!,18,IF(OR(S988=#REF!,S988=#REF!,S988=#REF!,S988=#REF!,S988=#REF!),14,"Invalid proposed procurement method")))))</f>
        <v>#REF!</v>
      </c>
      <c r="M988" s="199" t="str">
        <f t="shared" si="5"/>
        <v>Invalid procurement method or date entered</v>
      </c>
      <c r="N988" s="199" t="str">
        <f t="shared" si="6"/>
        <v>Invalid procurement method or date entered</v>
      </c>
      <c r="O988" s="182">
        <v>44287</v>
      </c>
      <c r="P988" s="2763">
        <v>48</v>
      </c>
      <c r="Q988" s="12" t="s">
        <v>215</v>
      </c>
      <c r="R988" s="41">
        <v>180000</v>
      </c>
      <c r="S988" s="199" t="s">
        <v>51</v>
      </c>
      <c r="T988" s="53" t="s">
        <v>38</v>
      </c>
      <c r="U988" s="53" t="s">
        <v>67</v>
      </c>
      <c r="V988" s="53"/>
      <c r="W988" s="5" t="s">
        <v>977</v>
      </c>
      <c r="X988" s="80" t="s">
        <v>254</v>
      </c>
      <c r="Y988" s="80" t="s">
        <v>40</v>
      </c>
      <c r="Z988" s="80"/>
      <c r="AA988" s="80"/>
      <c r="AB988" s="354" t="s">
        <v>271</v>
      </c>
      <c r="AC988" s="2900" t="s">
        <v>3047</v>
      </c>
      <c r="AD988" s="76" t="s">
        <v>979</v>
      </c>
      <c r="AE988" s="339"/>
    </row>
    <row r="989" spans="1:31" ht="43.5">
      <c r="A989" s="2754"/>
      <c r="B989" s="4"/>
      <c r="C989" s="200" t="s">
        <v>45</v>
      </c>
      <c r="D989" s="5" t="s">
        <v>32</v>
      </c>
      <c r="E989" s="5"/>
      <c r="F989" s="5"/>
      <c r="G989" s="5"/>
      <c r="H989" s="5" t="s">
        <v>33</v>
      </c>
      <c r="I989" s="5" t="s">
        <v>47</v>
      </c>
      <c r="J989" s="16" t="s">
        <v>1592</v>
      </c>
      <c r="K989" s="16"/>
      <c r="L989" s="5">
        <v>3</v>
      </c>
      <c r="M989" s="199">
        <f t="shared" si="5"/>
        <v>44105</v>
      </c>
      <c r="N989" s="199">
        <f t="shared" si="6"/>
        <v>44197</v>
      </c>
      <c r="O989" s="182">
        <v>44287</v>
      </c>
      <c r="P989" s="12">
        <v>12</v>
      </c>
      <c r="Q989" s="12">
        <v>12</v>
      </c>
      <c r="R989" s="18">
        <v>10000</v>
      </c>
      <c r="S989" s="5" t="s">
        <v>176</v>
      </c>
      <c r="T989" s="5" t="s">
        <v>38</v>
      </c>
      <c r="U989" s="12" t="s">
        <v>67</v>
      </c>
      <c r="V989" s="12"/>
      <c r="W989" s="5" t="s">
        <v>2741</v>
      </c>
      <c r="X989" s="80" t="s">
        <v>189</v>
      </c>
      <c r="Y989" s="80" t="s">
        <v>727</v>
      </c>
      <c r="Z989" s="80" t="s">
        <v>154</v>
      </c>
      <c r="AA989" s="80" t="s">
        <v>70</v>
      </c>
      <c r="AB989" s="354">
        <v>44321</v>
      </c>
      <c r="AC989" s="1110" t="s">
        <v>3820</v>
      </c>
      <c r="AD989" s="80" t="s">
        <v>264</v>
      </c>
      <c r="AE989" s="1101"/>
    </row>
    <row r="990" spans="1:31" ht="72.5">
      <c r="A990" s="1184"/>
      <c r="B990" s="2755" t="s">
        <v>44</v>
      </c>
      <c r="C990" s="2755" t="s">
        <v>45</v>
      </c>
      <c r="D990" s="9" t="s">
        <v>32</v>
      </c>
      <c r="E990" s="9"/>
      <c r="F990" s="9"/>
      <c r="G990" s="9"/>
      <c r="H990" s="5" t="s">
        <v>65</v>
      </c>
      <c r="I990" s="5" t="s">
        <v>47</v>
      </c>
      <c r="J990" s="16" t="s">
        <v>455</v>
      </c>
      <c r="K990" s="8"/>
      <c r="L990" s="5" t="e">
        <f>IF(OR(S990=#REF!,S990=#REF!,S990=#REF!,S990=#REF!,S990=#REF!,S990=#REF!,S990=#REF!,S990=#REF!),12,IF(OR(S990=#REF!,S990=#REF!,S990=#REF!,S990=#REF!,S990=#REF!,S990=#REF!,S990=#REF!),3,IF(S990=#REF!,1,IF(S990=#REF!,18,IF(OR(S990=#REF!,S990=#REF!,S990=#REF!,S990=#REF!,S990=#REF!),14,"Invalid proposed procurement method")))))</f>
        <v>#REF!</v>
      </c>
      <c r="M990" s="199" t="str">
        <f t="shared" si="5"/>
        <v>Invalid procurement method or date entered</v>
      </c>
      <c r="N990" s="199" t="str">
        <f t="shared" si="6"/>
        <v>Invalid procurement method or date entered</v>
      </c>
      <c r="O990" s="199">
        <v>44287</v>
      </c>
      <c r="P990" s="5">
        <v>12</v>
      </c>
      <c r="Q990" s="5">
        <v>12</v>
      </c>
      <c r="R990" s="18">
        <v>31166</v>
      </c>
      <c r="S990" s="5" t="s">
        <v>51</v>
      </c>
      <c r="T990" s="5" t="s">
        <v>38</v>
      </c>
      <c r="U990" s="12" t="s">
        <v>67</v>
      </c>
      <c r="V990" s="12"/>
      <c r="W990" s="5" t="s">
        <v>379</v>
      </c>
      <c r="X990" s="80" t="s">
        <v>189</v>
      </c>
      <c r="Y990" s="80" t="s">
        <v>40</v>
      </c>
      <c r="Z990" s="80" t="s">
        <v>154</v>
      </c>
      <c r="AA990" s="80" t="s">
        <v>70</v>
      </c>
      <c r="AB990" s="354" t="s">
        <v>88</v>
      </c>
      <c r="AC990" s="101" t="s">
        <v>3821</v>
      </c>
      <c r="AD990" s="76" t="s">
        <v>79</v>
      </c>
      <c r="AE990" s="339">
        <v>31166</v>
      </c>
    </row>
    <row r="991" spans="1:31" ht="43.5">
      <c r="A991" s="2754"/>
      <c r="B991" s="4"/>
      <c r="C991" s="4" t="s">
        <v>67</v>
      </c>
      <c r="D991" s="9" t="s">
        <v>32</v>
      </c>
      <c r="E991" s="9"/>
      <c r="F991" s="9"/>
      <c r="G991" s="9"/>
      <c r="H991" s="9" t="s">
        <v>46</v>
      </c>
      <c r="I991" s="5" t="s">
        <v>47</v>
      </c>
      <c r="J991" s="16" t="s">
        <v>3822</v>
      </c>
      <c r="K991" s="8"/>
      <c r="L991" s="5">
        <v>1</v>
      </c>
      <c r="M991" s="199">
        <f t="shared" si="5"/>
        <v>44166</v>
      </c>
      <c r="N991" s="199">
        <f t="shared" si="6"/>
        <v>44256</v>
      </c>
      <c r="O991" s="199">
        <v>44287</v>
      </c>
      <c r="P991" s="5">
        <v>6</v>
      </c>
      <c r="Q991" s="5">
        <v>6</v>
      </c>
      <c r="R991" s="18">
        <v>45000</v>
      </c>
      <c r="S991" s="5" t="s">
        <v>51</v>
      </c>
      <c r="T991" s="2789" t="s">
        <v>38</v>
      </c>
      <c r="U991" s="2818" t="s">
        <v>67</v>
      </c>
      <c r="V991" s="2818"/>
      <c r="W991" s="5" t="s">
        <v>509</v>
      </c>
      <c r="X991" s="80" t="s">
        <v>54</v>
      </c>
      <c r="Y991" s="80" t="s">
        <v>727</v>
      </c>
      <c r="Z991" s="80"/>
      <c r="AA991" s="1076" t="s">
        <v>38</v>
      </c>
      <c r="AB991" s="354" t="s">
        <v>132</v>
      </c>
      <c r="AC991" s="101" t="s">
        <v>3823</v>
      </c>
      <c r="AD991" s="76" t="s">
        <v>979</v>
      </c>
      <c r="AE991" s="1132">
        <v>45000</v>
      </c>
    </row>
    <row r="992" spans="1:31" ht="43.5">
      <c r="A992" s="1119"/>
      <c r="B992" s="120"/>
      <c r="C992" s="4" t="s">
        <v>45</v>
      </c>
      <c r="D992" s="9" t="s">
        <v>32</v>
      </c>
      <c r="E992" s="9"/>
      <c r="F992" s="9"/>
      <c r="G992" s="9"/>
      <c r="H992" s="5" t="s">
        <v>33</v>
      </c>
      <c r="I992" s="5" t="s">
        <v>47</v>
      </c>
      <c r="J992" s="1590" t="s">
        <v>2070</v>
      </c>
      <c r="K992" s="64"/>
      <c r="L992" s="5">
        <v>1</v>
      </c>
      <c r="M992" s="199">
        <f t="shared" si="5"/>
        <v>44166</v>
      </c>
      <c r="N992" s="199">
        <f t="shared" si="6"/>
        <v>44256</v>
      </c>
      <c r="O992" s="182">
        <v>44287</v>
      </c>
      <c r="P992" s="12">
        <v>12</v>
      </c>
      <c r="Q992" s="12">
        <v>12</v>
      </c>
      <c r="R992" s="18">
        <v>7800</v>
      </c>
      <c r="S992" s="5" t="s">
        <v>37</v>
      </c>
      <c r="T992" s="52" t="s">
        <v>38</v>
      </c>
      <c r="U992" s="48" t="s">
        <v>67</v>
      </c>
      <c r="V992" s="48"/>
      <c r="W992" s="12" t="s">
        <v>262</v>
      </c>
      <c r="X992" s="1076" t="s">
        <v>289</v>
      </c>
      <c r="Y992" s="80" t="s">
        <v>115</v>
      </c>
      <c r="Z992" s="80" t="s">
        <v>154</v>
      </c>
      <c r="AA992" s="80" t="s">
        <v>38</v>
      </c>
      <c r="AB992" s="354" t="s">
        <v>271</v>
      </c>
      <c r="AC992" s="1111" t="s">
        <v>571</v>
      </c>
      <c r="AD992" s="80" t="s">
        <v>264</v>
      </c>
      <c r="AE992" s="339">
        <v>7800</v>
      </c>
    </row>
    <row r="993" spans="1:31" ht="116">
      <c r="A993" s="2754"/>
      <c r="B993" s="4"/>
      <c r="C993" s="4" t="s">
        <v>3824</v>
      </c>
      <c r="D993" s="9" t="s">
        <v>57</v>
      </c>
      <c r="E993" s="9"/>
      <c r="F993" s="9"/>
      <c r="G993" s="9"/>
      <c r="H993" s="5" t="s">
        <v>33</v>
      </c>
      <c r="I993" s="12" t="s">
        <v>47</v>
      </c>
      <c r="J993" s="16" t="s">
        <v>3825</v>
      </c>
      <c r="K993" s="8"/>
      <c r="L993" s="5" t="e">
        <f>IF(OR(S993=#REF!,S993=#REF!,S993=#REF!,S993=#REF!,S993=#REF!,S993=#REF!,S993=#REF!,S993=#REF!),12,IF(OR(S993=#REF!,S993=#REF!,S993=#REF!,S993=#REF!,S993=#REF!,S993=#REF!,S993=#REF!),3,IF(S993=#REF!,1,IF(S993=#REF!,18,IF(OR(S993=#REF!,S993=#REF!,S993=#REF!,S993=#REF!,S993=#REF!),14,"Invalid proposed procurement method")))))</f>
        <v>#REF!</v>
      </c>
      <c r="M993" s="199" t="str">
        <f t="shared" si="5"/>
        <v>Invalid procurement method or date entered</v>
      </c>
      <c r="N993" s="199" t="str">
        <f t="shared" si="6"/>
        <v>Invalid procurement method or date entered</v>
      </c>
      <c r="O993" s="199">
        <v>44287</v>
      </c>
      <c r="P993" s="5">
        <v>12</v>
      </c>
      <c r="Q993" s="7" t="s">
        <v>50</v>
      </c>
      <c r="R993" s="18">
        <v>8391</v>
      </c>
      <c r="S993" s="5" t="s">
        <v>37</v>
      </c>
      <c r="T993" s="2789" t="s">
        <v>38</v>
      </c>
      <c r="U993" s="12" t="s">
        <v>67</v>
      </c>
      <c r="V993" s="12"/>
      <c r="W993" s="5" t="s">
        <v>524</v>
      </c>
      <c r="X993" s="80" t="s">
        <v>543</v>
      </c>
      <c r="Y993" s="80" t="s">
        <v>40</v>
      </c>
      <c r="Z993" s="80" t="s">
        <v>154</v>
      </c>
      <c r="AA993" s="80" t="s">
        <v>70</v>
      </c>
      <c r="AB993" s="354" t="s">
        <v>271</v>
      </c>
      <c r="AC993" s="101" t="s">
        <v>3826</v>
      </c>
      <c r="AD993" s="80" t="s">
        <v>96</v>
      </c>
      <c r="AE993" s="339">
        <v>8391</v>
      </c>
    </row>
    <row r="994" spans="1:31" ht="72.5">
      <c r="A994" s="1536"/>
      <c r="B994" s="2755"/>
      <c r="C994" s="4" t="s">
        <v>45</v>
      </c>
      <c r="D994" s="5" t="s">
        <v>32</v>
      </c>
      <c r="E994" s="5"/>
      <c r="F994" s="5"/>
      <c r="G994" s="5"/>
      <c r="H994" s="5" t="s">
        <v>33</v>
      </c>
      <c r="I994" s="5" t="s">
        <v>47</v>
      </c>
      <c r="J994" s="2755" t="s">
        <v>381</v>
      </c>
      <c r="K994" s="2755"/>
      <c r="L994" s="5" t="e">
        <f>IF(OR(S994=#REF!,S994=#REF!,S994=#REF!,S994=#REF!,S994=#REF!,S994=#REF!,S994=#REF!,S994=#REF!),12,IF(OR(S994=#REF!,S994=#REF!,S994=#REF!,S994=#REF!,S994=#REF!,S994=#REF!,S994=#REF!),3,IF(S994=#REF!,1,IF(S994=#REF!,18,IF(OR(S994=#REF!,S994=#REF!,S994=#REF!,S994=#REF!,S994=#REF!),14,"Invalid proposed procurement method")))))</f>
        <v>#REF!</v>
      </c>
      <c r="M994" s="199" t="str">
        <f t="shared" si="5"/>
        <v>Invalid procurement method or date entered</v>
      </c>
      <c r="N994" s="199" t="str">
        <f t="shared" si="6"/>
        <v>Invalid procurement method or date entered</v>
      </c>
      <c r="O994" s="2764">
        <v>44287</v>
      </c>
      <c r="P994" s="2763">
        <v>12</v>
      </c>
      <c r="Q994" s="2763">
        <v>12</v>
      </c>
      <c r="R994" s="2826">
        <v>8398.92</v>
      </c>
      <c r="S994" s="2751" t="s">
        <v>37</v>
      </c>
      <c r="T994" s="2763" t="s">
        <v>38</v>
      </c>
      <c r="U994" s="2763" t="s">
        <v>67</v>
      </c>
      <c r="V994" s="2763"/>
      <c r="W994" s="5" t="s">
        <v>383</v>
      </c>
      <c r="X994" s="2765" t="s">
        <v>289</v>
      </c>
      <c r="Y994" s="2765" t="s">
        <v>115</v>
      </c>
      <c r="Z994" s="80" t="s">
        <v>154</v>
      </c>
      <c r="AA994" s="80" t="s">
        <v>38</v>
      </c>
      <c r="AB994" s="354" t="s">
        <v>271</v>
      </c>
      <c r="AC994" s="2900" t="s">
        <v>3827</v>
      </c>
      <c r="AD994" s="80" t="s">
        <v>385</v>
      </c>
      <c r="AE994" s="339">
        <v>8399</v>
      </c>
    </row>
    <row r="995" spans="1:31" ht="101.5">
      <c r="A995" s="2754"/>
      <c r="B995" s="120"/>
      <c r="C995" s="4" t="s">
        <v>3828</v>
      </c>
      <c r="D995" s="9" t="s">
        <v>32</v>
      </c>
      <c r="E995" s="9"/>
      <c r="F995" s="9"/>
      <c r="G995" s="9"/>
      <c r="H995" s="5" t="s">
        <v>33</v>
      </c>
      <c r="I995" s="5" t="s">
        <v>47</v>
      </c>
      <c r="J995" s="16" t="s">
        <v>74</v>
      </c>
      <c r="K995" s="8"/>
      <c r="L995" s="5" t="e">
        <f>IF(OR(S995=#REF!,S995=#REF!,S995=#REF!,S995=#REF!,S995=#REF!,S995=#REF!,S995=#REF!,S995=#REF!),12,IF(OR(S995=#REF!,S995=#REF!,S995=#REF!,S995=#REF!,S995=#REF!,S995=#REF!,S995=#REF!),3,IF(S995=#REF!,1,IF(S995=#REF!,18,IF(OR(S995=#REF!,S995=#REF!,S995=#REF!,S995=#REF!,S995=#REF!),14,"Invalid proposed procurement method")))))</f>
        <v>#REF!</v>
      </c>
      <c r="M995" s="199">
        <v>44218</v>
      </c>
      <c r="N995" s="199" t="str">
        <f t="shared" si="6"/>
        <v>Invalid procurement method or date entered</v>
      </c>
      <c r="O995" s="14">
        <v>44287</v>
      </c>
      <c r="P995" s="12">
        <v>24</v>
      </c>
      <c r="Q995" s="5">
        <v>24</v>
      </c>
      <c r="R995" s="18">
        <v>187400</v>
      </c>
      <c r="S995" s="5" t="s">
        <v>75</v>
      </c>
      <c r="T995" s="52" t="s">
        <v>62</v>
      </c>
      <c r="U995" s="48" t="s">
        <v>67</v>
      </c>
      <c r="V995" s="48"/>
      <c r="W995" s="5" t="s">
        <v>76</v>
      </c>
      <c r="X995" s="80" t="s">
        <v>162</v>
      </c>
      <c r="Y995" s="80" t="s">
        <v>290</v>
      </c>
      <c r="Z995" s="80"/>
      <c r="AA995" s="80" t="s">
        <v>70</v>
      </c>
      <c r="AB995" s="354" t="s">
        <v>271</v>
      </c>
      <c r="AC995" s="1111" t="s">
        <v>3829</v>
      </c>
      <c r="AD995" s="80" t="s">
        <v>79</v>
      </c>
      <c r="AE995" s="197">
        <v>93700</v>
      </c>
    </row>
    <row r="996" spans="1:31" ht="217.5">
      <c r="A996" s="2754"/>
      <c r="B996" s="338"/>
      <c r="C996" s="2758" t="s">
        <v>3830</v>
      </c>
      <c r="D996" s="2751" t="s">
        <v>32</v>
      </c>
      <c r="E996" s="2751"/>
      <c r="F996" s="2751"/>
      <c r="G996" s="2751"/>
      <c r="H996" s="5" t="s">
        <v>127</v>
      </c>
      <c r="I996" s="2751" t="s">
        <v>47</v>
      </c>
      <c r="J996" s="2752" t="s">
        <v>135</v>
      </c>
      <c r="K996" s="2758"/>
      <c r="L996" s="5">
        <v>24</v>
      </c>
      <c r="M996" s="2759">
        <v>44927</v>
      </c>
      <c r="N996" s="199">
        <v>44197</v>
      </c>
      <c r="O996" s="2759">
        <v>44287</v>
      </c>
      <c r="P996" s="12">
        <v>48</v>
      </c>
      <c r="Q996" s="2751" t="s">
        <v>215</v>
      </c>
      <c r="R996" s="18">
        <v>100000</v>
      </c>
      <c r="S996" s="199" t="s">
        <v>51</v>
      </c>
      <c r="T996" s="5" t="s">
        <v>38</v>
      </c>
      <c r="U996" s="14" t="s">
        <v>67</v>
      </c>
      <c r="V996" s="14"/>
      <c r="W996" s="5" t="s">
        <v>3831</v>
      </c>
      <c r="X996" s="80" t="s">
        <v>784</v>
      </c>
      <c r="Y996" s="2760" t="s">
        <v>40</v>
      </c>
      <c r="Z996" s="80" t="s">
        <v>87</v>
      </c>
      <c r="AA996" s="2760" t="s">
        <v>38</v>
      </c>
      <c r="AB996" s="354">
        <v>44371</v>
      </c>
      <c r="AC996" s="2761" t="s">
        <v>3832</v>
      </c>
      <c r="AD996" s="76" t="s">
        <v>127</v>
      </c>
      <c r="AE996" s="211">
        <v>25000</v>
      </c>
    </row>
    <row r="997" spans="1:31" ht="43.5">
      <c r="A997" s="1184"/>
      <c r="B997" s="338"/>
      <c r="C997" s="16" t="s">
        <v>3833</v>
      </c>
      <c r="D997" s="9" t="s">
        <v>57</v>
      </c>
      <c r="E997" s="9"/>
      <c r="F997" s="9"/>
      <c r="G997" s="9"/>
      <c r="H997" s="5" t="s">
        <v>496</v>
      </c>
      <c r="I997" s="5" t="s">
        <v>47</v>
      </c>
      <c r="J997" s="16" t="s">
        <v>3834</v>
      </c>
      <c r="K997" s="16"/>
      <c r="L997" s="16"/>
      <c r="M997" s="182">
        <v>43739</v>
      </c>
      <c r="N997" s="182"/>
      <c r="O997" s="182">
        <v>44287</v>
      </c>
      <c r="P997" s="12">
        <v>24</v>
      </c>
      <c r="Q997" s="7" t="s">
        <v>1345</v>
      </c>
      <c r="R997" s="18">
        <v>23000</v>
      </c>
      <c r="S997" s="5" t="s">
        <v>84</v>
      </c>
      <c r="T997" s="5" t="s">
        <v>38</v>
      </c>
      <c r="U997" s="11" t="s">
        <v>67</v>
      </c>
      <c r="V997" s="11"/>
      <c r="W997" s="5" t="s">
        <v>798</v>
      </c>
      <c r="X997" s="1076" t="s">
        <v>94</v>
      </c>
      <c r="Y997" s="80" t="s">
        <v>727</v>
      </c>
      <c r="Z997" s="80"/>
      <c r="AA997" s="80"/>
      <c r="AB997" s="354" t="s">
        <v>41</v>
      </c>
      <c r="AC997" s="101" t="s">
        <v>3835</v>
      </c>
      <c r="AD997" s="76" t="s">
        <v>496</v>
      </c>
      <c r="AE997" s="339">
        <v>11500</v>
      </c>
    </row>
    <row r="998" spans="1:31" ht="217.5">
      <c r="A998" s="1184"/>
      <c r="B998" s="362" t="s">
        <v>100</v>
      </c>
      <c r="C998" s="362"/>
      <c r="D998" s="8" t="s">
        <v>32</v>
      </c>
      <c r="E998" s="8"/>
      <c r="F998" s="8"/>
      <c r="G998" s="8"/>
      <c r="H998" s="8" t="s">
        <v>103</v>
      </c>
      <c r="I998" s="8" t="s">
        <v>34</v>
      </c>
      <c r="J998" s="16" t="s">
        <v>3836</v>
      </c>
      <c r="K998" s="8"/>
      <c r="L998" s="84">
        <v>14</v>
      </c>
      <c r="M998" s="451">
        <f>IFERROR(EDATE(N998,-3),"Invalid procurement method or date entered")</f>
        <v>43770</v>
      </c>
      <c r="N998" s="452">
        <f t="shared" ref="N998:N1012" si="7">IFERROR(EDATE(O998,-L998),"Invalid procurement method or date entered")</f>
        <v>43862</v>
      </c>
      <c r="O998" s="367">
        <v>44287</v>
      </c>
      <c r="P998" s="5">
        <v>48</v>
      </c>
      <c r="Q998" s="7" t="s">
        <v>215</v>
      </c>
      <c r="R998" s="159">
        <v>605205</v>
      </c>
      <c r="S998" s="159" t="s">
        <v>91</v>
      </c>
      <c r="T998" s="190" t="s">
        <v>70</v>
      </c>
      <c r="U998" s="190" t="s">
        <v>45</v>
      </c>
      <c r="V998" s="190"/>
      <c r="W998" s="8" t="s">
        <v>3837</v>
      </c>
      <c r="X998" s="101" t="s">
        <v>120</v>
      </c>
      <c r="Y998" s="101" t="s">
        <v>40</v>
      </c>
      <c r="Z998" s="101"/>
      <c r="AA998" s="360"/>
      <c r="AB998" s="1099" t="s">
        <v>70</v>
      </c>
      <c r="AC998" s="497" t="s">
        <v>3838</v>
      </c>
      <c r="AD998" s="497"/>
      <c r="AE998" s="497"/>
    </row>
    <row r="999" spans="1:31" ht="29">
      <c r="A999" s="1184"/>
      <c r="B999" s="362" t="s">
        <v>100</v>
      </c>
      <c r="C999" s="362"/>
      <c r="D999" s="200" t="s">
        <v>110</v>
      </c>
      <c r="E999" s="200"/>
      <c r="F999" s="200"/>
      <c r="G999" s="200"/>
      <c r="H999" s="385" t="s">
        <v>116</v>
      </c>
      <c r="I999" s="385" t="s">
        <v>47</v>
      </c>
      <c r="J999" s="428" t="s">
        <v>3839</v>
      </c>
      <c r="K999" s="428"/>
      <c r="L999" s="84">
        <v>14</v>
      </c>
      <c r="M999" s="436">
        <f>IFERROR(EDATE(N999,-3),"Invalid procurement method or date entered")</f>
        <v>43770</v>
      </c>
      <c r="N999" s="386">
        <f t="shared" si="7"/>
        <v>43862</v>
      </c>
      <c r="O999" s="146">
        <v>44287</v>
      </c>
      <c r="P999" s="71">
        <v>84</v>
      </c>
      <c r="Q999" s="71" t="s">
        <v>1455</v>
      </c>
      <c r="R999" s="392">
        <v>1274000</v>
      </c>
      <c r="S999" s="71" t="s">
        <v>91</v>
      </c>
      <c r="T999" s="1056" t="s">
        <v>70</v>
      </c>
      <c r="U999" s="453">
        <v>44068</v>
      </c>
      <c r="V999" s="453"/>
      <c r="W999" s="428" t="s">
        <v>2886</v>
      </c>
      <c r="X999" s="429" t="s">
        <v>108</v>
      </c>
      <c r="Y999" s="429" t="s">
        <v>727</v>
      </c>
      <c r="Z999" s="429"/>
      <c r="AA999" s="429" t="s">
        <v>87</v>
      </c>
      <c r="AB999" s="360"/>
      <c r="AC999" s="498" t="s">
        <v>3840</v>
      </c>
      <c r="AD999" s="498"/>
      <c r="AE999" s="498"/>
    </row>
    <row r="1000" spans="1:31">
      <c r="A1000" s="1184"/>
      <c r="B1000" s="362" t="s">
        <v>100</v>
      </c>
      <c r="C1000" s="120"/>
      <c r="D1000" s="84" t="s">
        <v>110</v>
      </c>
      <c r="E1000" s="84"/>
      <c r="F1000" s="84"/>
      <c r="G1000" s="84"/>
      <c r="H1000" s="8" t="s">
        <v>103</v>
      </c>
      <c r="I1000" s="8" t="s">
        <v>47</v>
      </c>
      <c r="J1000" s="16" t="s">
        <v>3841</v>
      </c>
      <c r="K1000" s="8"/>
      <c r="L1000" s="84">
        <v>14</v>
      </c>
      <c r="M1000" s="436">
        <f>IFERROR(EDATE(N1000,-3),"Invalid procurement method or date entered")</f>
        <v>43770</v>
      </c>
      <c r="N1000" s="386">
        <f t="shared" si="7"/>
        <v>43862</v>
      </c>
      <c r="O1000" s="367">
        <v>44287</v>
      </c>
      <c r="P1000" s="46">
        <v>60</v>
      </c>
      <c r="Q1000" s="46" t="s">
        <v>187</v>
      </c>
      <c r="R1000" s="159">
        <v>1500000</v>
      </c>
      <c r="S1000" s="159" t="s">
        <v>105</v>
      </c>
      <c r="T1000" s="357" t="s">
        <v>45</v>
      </c>
      <c r="U1000" s="357" t="s">
        <v>45</v>
      </c>
      <c r="V1000" s="357"/>
      <c r="W1000" s="8" t="s">
        <v>2883</v>
      </c>
      <c r="X1000" s="101" t="s">
        <v>125</v>
      </c>
      <c r="Y1000" s="101" t="s">
        <v>727</v>
      </c>
      <c r="Z1000" s="101"/>
      <c r="AA1000" s="411" t="s">
        <v>69</v>
      </c>
      <c r="AB1000" s="1107" t="s">
        <v>38</v>
      </c>
      <c r="AC1000" s="432">
        <v>44243</v>
      </c>
      <c r="AD1000" s="432"/>
      <c r="AE1000" s="432"/>
    </row>
    <row r="1001" spans="1:31" ht="43.5">
      <c r="A1001" s="1184"/>
      <c r="B1001" s="200" t="s">
        <v>100</v>
      </c>
      <c r="C1001" s="200" t="s">
        <v>45</v>
      </c>
      <c r="D1001" s="8" t="s">
        <v>122</v>
      </c>
      <c r="E1001" s="8"/>
      <c r="F1001" s="8"/>
      <c r="G1001" s="8"/>
      <c r="H1001" s="16" t="s">
        <v>103</v>
      </c>
      <c r="I1001" s="16" t="s">
        <v>34</v>
      </c>
      <c r="J1001" s="16" t="s">
        <v>3641</v>
      </c>
      <c r="K1001" s="8"/>
      <c r="L1001" s="5">
        <v>14</v>
      </c>
      <c r="M1001" s="199">
        <f>IFERROR(EDATE(N1001,-3),"Invalid procurement method or date entered")</f>
        <v>43770</v>
      </c>
      <c r="N1001" s="149">
        <f t="shared" si="7"/>
        <v>43862</v>
      </c>
      <c r="O1001" s="367">
        <v>44287</v>
      </c>
      <c r="P1001" s="369">
        <v>72</v>
      </c>
      <c r="Q1001" s="1024" t="s">
        <v>3842</v>
      </c>
      <c r="R1001" s="159">
        <v>6000000</v>
      </c>
      <c r="S1001" s="159" t="s">
        <v>105</v>
      </c>
      <c r="T1001" s="1066" t="s">
        <v>38</v>
      </c>
      <c r="U1001" s="395" t="s">
        <v>71</v>
      </c>
      <c r="V1001" s="395"/>
      <c r="W1001" s="8" t="s">
        <v>3843</v>
      </c>
      <c r="X1001" s="111" t="s">
        <v>120</v>
      </c>
      <c r="Y1001" s="111" t="s">
        <v>40</v>
      </c>
      <c r="Z1001" s="111"/>
      <c r="AA1001" s="1098" t="s">
        <v>87</v>
      </c>
      <c r="AB1001" s="1101" t="s">
        <v>70</v>
      </c>
      <c r="AC1001" s="491">
        <v>44726</v>
      </c>
      <c r="AD1001" s="491"/>
      <c r="AE1001" s="491"/>
    </row>
    <row r="1002" spans="1:31" ht="87">
      <c r="A1002" s="1184"/>
      <c r="B1002" s="4"/>
      <c r="C1002" s="4" t="s">
        <v>861</v>
      </c>
      <c r="D1002" s="9" t="s">
        <v>32</v>
      </c>
      <c r="E1002" s="9"/>
      <c r="F1002" s="9"/>
      <c r="G1002" s="9"/>
      <c r="H1002" s="5" t="s">
        <v>862</v>
      </c>
      <c r="I1002" s="5" t="s">
        <v>47</v>
      </c>
      <c r="J1002" s="16" t="s">
        <v>3844</v>
      </c>
      <c r="K1002" s="8"/>
      <c r="L1002" s="5" t="e">
        <f>IF(OR(S1002=#REF!,S1002=#REF!,S1002=#REF!,S1002=#REF!,S1002=#REF!,S1002=#REF!,S1002=#REF!,S1002=#REF!),12,IF(OR(S1002=#REF!,S1002=#REF!,S1002=#REF!,S1002=#REF!,S1002=#REF!,S1002=#REF!,S1002=#REF!),3,IF(S1002=#REF!,1,IF(S1002=#REF!,18,IF(OR(S1002=#REF!,S1002=#REF!,S1002=#REF!,S1002=#REF!,S1002=#REF!),14,"Invalid proposed procurement method")))))</f>
        <v>#REF!</v>
      </c>
      <c r="M1002" s="199" t="str">
        <f>IFERROR(EDATE($N1002,-3),"Invalid procurement method or date entered")</f>
        <v>Invalid procurement method or date entered</v>
      </c>
      <c r="N1002" s="199" t="str">
        <f t="shared" si="7"/>
        <v>Invalid procurement method or date entered</v>
      </c>
      <c r="O1002" s="199">
        <v>44287</v>
      </c>
      <c r="P1002" s="5">
        <v>36</v>
      </c>
      <c r="Q1002" s="5" t="s">
        <v>3845</v>
      </c>
      <c r="R1002" s="5">
        <v>60000</v>
      </c>
      <c r="S1002" s="5" t="s">
        <v>176</v>
      </c>
      <c r="T1002" s="50" t="s">
        <v>62</v>
      </c>
      <c r="U1002" s="48" t="s">
        <v>71</v>
      </c>
      <c r="V1002" s="48"/>
      <c r="W1002" s="5" t="s">
        <v>3846</v>
      </c>
      <c r="X1002" s="80" t="s">
        <v>94</v>
      </c>
      <c r="Y1002" s="80" t="s">
        <v>727</v>
      </c>
      <c r="Z1002" s="80"/>
      <c r="AA1002" s="80" t="s">
        <v>70</v>
      </c>
      <c r="AB1002" s="354" t="s">
        <v>41</v>
      </c>
      <c r="AC1002" s="101" t="s">
        <v>3552</v>
      </c>
      <c r="AD1002" s="76" t="s">
        <v>502</v>
      </c>
      <c r="AE1002" s="211">
        <v>20000</v>
      </c>
    </row>
    <row r="1003" spans="1:31" ht="72.5">
      <c r="A1003" s="1184"/>
      <c r="B1003" s="338"/>
      <c r="C1003" s="4" t="s">
        <v>3847</v>
      </c>
      <c r="D1003" s="9" t="s">
        <v>32</v>
      </c>
      <c r="E1003" s="9"/>
      <c r="F1003" s="9"/>
      <c r="G1003" s="9"/>
      <c r="H1003" s="9" t="s">
        <v>394</v>
      </c>
      <c r="I1003" s="9" t="s">
        <v>47</v>
      </c>
      <c r="J1003" s="16" t="s">
        <v>3848</v>
      </c>
      <c r="K1003" s="8"/>
      <c r="L1003" s="5" t="e">
        <f>IF(OR(S1003=#REF!,S1003=#REF!,S1003=#REF!,S1003=#REF!,S1003=#REF!,S1003=#REF!,S1003=#REF!,S1003=#REF!),12,IF(OR(S1003=#REF!,S1003=#REF!,S1003=#REF!,S1003=#REF!,S1003=#REF!,S1003=#REF!,S1003=#REF!),3,IF(S1003=#REF!,1,IF(S1003=#REF!,18,IF(OR(S1003=#REF!,S1003=#REF!,S1003=#REF!,S1003=#REF!,S1003=#REF!),14,"Invalid proposed procurement method")))))</f>
        <v>#REF!</v>
      </c>
      <c r="M1003" s="199" t="str">
        <f>IFERROR(EDATE($N1003,-3),"Invalid procurement method or date entered")</f>
        <v>Invalid procurement method or date entered</v>
      </c>
      <c r="N1003" s="199" t="str">
        <f t="shared" si="7"/>
        <v>Invalid procurement method or date entered</v>
      </c>
      <c r="O1003" s="183">
        <v>44287</v>
      </c>
      <c r="P1003" s="9">
        <v>24</v>
      </c>
      <c r="Q1003" s="269" t="s">
        <v>391</v>
      </c>
      <c r="R1003" s="18">
        <v>76000</v>
      </c>
      <c r="S1003" s="5" t="s">
        <v>84</v>
      </c>
      <c r="T1003" s="52" t="s">
        <v>62</v>
      </c>
      <c r="U1003" s="48" t="s">
        <v>67</v>
      </c>
      <c r="V1003" s="48"/>
      <c r="W1003" s="9" t="s">
        <v>1933</v>
      </c>
      <c r="X1003" s="1076" t="s">
        <v>94</v>
      </c>
      <c r="Y1003" s="80" t="s">
        <v>727</v>
      </c>
      <c r="Z1003" s="80"/>
      <c r="AA1003" s="80" t="s">
        <v>38</v>
      </c>
      <c r="AB1003" s="354" t="s">
        <v>132</v>
      </c>
      <c r="AC1003" s="993" t="s">
        <v>3849</v>
      </c>
      <c r="AD1003" s="76" t="s">
        <v>399</v>
      </c>
      <c r="AE1003" s="1132">
        <v>38000</v>
      </c>
    </row>
    <row r="1004" spans="1:31" ht="87">
      <c r="A1004" s="1184"/>
      <c r="B1004" s="362" t="s">
        <v>100</v>
      </c>
      <c r="C1004" s="410"/>
      <c r="D1004" s="402" t="s">
        <v>110</v>
      </c>
      <c r="E1004" s="402"/>
      <c r="F1004" s="402"/>
      <c r="G1004" s="402"/>
      <c r="H1004" s="402" t="s">
        <v>103</v>
      </c>
      <c r="I1004" s="402" t="s">
        <v>34</v>
      </c>
      <c r="J1004" s="1584" t="s">
        <v>3850</v>
      </c>
      <c r="K1004" s="402"/>
      <c r="L1004" s="416">
        <v>12</v>
      </c>
      <c r="M1004" s="421">
        <f t="shared" ref="M1004:M1012" si="8">IFERROR(EDATE(N1004,-3),"Invalid procurement method or date entered")</f>
        <v>43831</v>
      </c>
      <c r="N1004" s="417">
        <f t="shared" si="7"/>
        <v>43922</v>
      </c>
      <c r="O1004" s="374">
        <v>44287</v>
      </c>
      <c r="P1004" s="449">
        <v>60</v>
      </c>
      <c r="Q1004" s="450" t="s">
        <v>171</v>
      </c>
      <c r="R1004" s="404">
        <v>3800000</v>
      </c>
      <c r="S1004" s="404" t="s">
        <v>130</v>
      </c>
      <c r="T1004" s="405" t="s">
        <v>45</v>
      </c>
      <c r="U1004" s="405"/>
      <c r="V1004" s="405"/>
      <c r="W1004" s="402" t="s">
        <v>3851</v>
      </c>
      <c r="X1004" s="411" t="s">
        <v>120</v>
      </c>
      <c r="Y1004" s="411" t="s">
        <v>727</v>
      </c>
      <c r="Z1004" s="411"/>
      <c r="AA1004" s="1094" t="s">
        <v>70</v>
      </c>
      <c r="AB1004" s="496">
        <v>44148</v>
      </c>
      <c r="AC1004" s="409" t="s">
        <v>3852</v>
      </c>
      <c r="AD1004" s="409"/>
      <c r="AE1004" s="409"/>
    </row>
    <row r="1005" spans="1:31" ht="87">
      <c r="A1005" s="1184"/>
      <c r="B1005" s="362" t="s">
        <v>100</v>
      </c>
      <c r="C1005" s="362"/>
      <c r="D1005" s="8" t="s">
        <v>122</v>
      </c>
      <c r="E1005" s="8"/>
      <c r="F1005" s="8"/>
      <c r="G1005" s="8"/>
      <c r="H1005" s="8" t="s">
        <v>197</v>
      </c>
      <c r="I1005" s="8" t="s">
        <v>34</v>
      </c>
      <c r="J1005" s="63" t="s">
        <v>198</v>
      </c>
      <c r="K1005" s="6"/>
      <c r="L1005" s="84">
        <v>12</v>
      </c>
      <c r="M1005" s="436">
        <f t="shared" si="8"/>
        <v>43831</v>
      </c>
      <c r="N1005" s="386">
        <f t="shared" si="7"/>
        <v>43922</v>
      </c>
      <c r="O1005" s="367">
        <v>44287</v>
      </c>
      <c r="P1005" s="369">
        <v>36</v>
      </c>
      <c r="Q1005" s="369" t="s">
        <v>1538</v>
      </c>
      <c r="R1005" s="372">
        <v>582900</v>
      </c>
      <c r="S1005" s="159" t="s">
        <v>130</v>
      </c>
      <c r="T1005" s="1063" t="s">
        <v>38</v>
      </c>
      <c r="U1005" s="373" t="s">
        <v>3853</v>
      </c>
      <c r="V1005" s="373"/>
      <c r="W1005" s="8" t="s">
        <v>202</v>
      </c>
      <c r="X1005" s="101" t="s">
        <v>120</v>
      </c>
      <c r="Y1005" s="101" t="s">
        <v>40</v>
      </c>
      <c r="Z1005" s="101"/>
      <c r="AA1005" s="1096"/>
      <c r="AB1005" s="1099" t="s">
        <v>70</v>
      </c>
      <c r="AC1005" s="429" t="s">
        <v>3854</v>
      </c>
      <c r="AD1005" s="429"/>
      <c r="AE1005" s="429"/>
    </row>
    <row r="1006" spans="1:31" ht="29">
      <c r="A1006" s="1184"/>
      <c r="B1006" s="362" t="s">
        <v>100</v>
      </c>
      <c r="C1006" s="362"/>
      <c r="D1006" s="8" t="s">
        <v>110</v>
      </c>
      <c r="E1006" s="8"/>
      <c r="F1006" s="8"/>
      <c r="G1006" s="8"/>
      <c r="H1006" s="8" t="s">
        <v>103</v>
      </c>
      <c r="I1006" s="8" t="s">
        <v>47</v>
      </c>
      <c r="J1006" s="16" t="s">
        <v>3855</v>
      </c>
      <c r="K1006" s="8"/>
      <c r="L1006" s="84">
        <v>12</v>
      </c>
      <c r="M1006" s="436">
        <f t="shared" si="8"/>
        <v>43831</v>
      </c>
      <c r="N1006" s="386">
        <f t="shared" si="7"/>
        <v>43922</v>
      </c>
      <c r="O1006" s="367">
        <v>44287</v>
      </c>
      <c r="P1006" s="71">
        <v>24</v>
      </c>
      <c r="Q1006" s="71">
        <v>24</v>
      </c>
      <c r="R1006" s="159">
        <v>160000</v>
      </c>
      <c r="S1006" s="5" t="s">
        <v>176</v>
      </c>
      <c r="T1006" s="365" t="s">
        <v>38</v>
      </c>
      <c r="U1006" s="365" t="s">
        <v>71</v>
      </c>
      <c r="V1006" s="365"/>
      <c r="W1006" s="8" t="s">
        <v>3200</v>
      </c>
      <c r="X1006" s="101" t="s">
        <v>120</v>
      </c>
      <c r="Y1006" s="101" t="s">
        <v>40</v>
      </c>
      <c r="Z1006" s="101"/>
      <c r="AA1006" s="101" t="s">
        <v>69</v>
      </c>
      <c r="AB1006" s="1099" t="s">
        <v>70</v>
      </c>
      <c r="AC1006" s="101" t="s">
        <v>1990</v>
      </c>
      <c r="AD1006" s="101"/>
      <c r="AE1006" s="101"/>
    </row>
    <row r="1007" spans="1:31" ht="87">
      <c r="A1007" s="1184"/>
      <c r="B1007" s="362" t="s">
        <v>100</v>
      </c>
      <c r="C1007" s="362"/>
      <c r="D1007" s="8" t="s">
        <v>193</v>
      </c>
      <c r="E1007" s="8"/>
      <c r="F1007" s="8"/>
      <c r="G1007" s="8"/>
      <c r="H1007" s="8" t="s">
        <v>103</v>
      </c>
      <c r="I1007" s="8" t="s">
        <v>34</v>
      </c>
      <c r="J1007" s="16" t="s">
        <v>3856</v>
      </c>
      <c r="K1007" s="8"/>
      <c r="L1007" s="84">
        <v>12</v>
      </c>
      <c r="M1007" s="436">
        <f t="shared" si="8"/>
        <v>43831</v>
      </c>
      <c r="N1007" s="386">
        <f t="shared" si="7"/>
        <v>43922</v>
      </c>
      <c r="O1007" s="367">
        <v>44287</v>
      </c>
      <c r="P1007" s="71">
        <v>60</v>
      </c>
      <c r="Q1007" s="71" t="s">
        <v>187</v>
      </c>
      <c r="R1007" s="159">
        <v>558885</v>
      </c>
      <c r="S1007" s="159" t="s">
        <v>130</v>
      </c>
      <c r="T1007" s="365" t="s">
        <v>70</v>
      </c>
      <c r="U1007" s="365" t="s">
        <v>3857</v>
      </c>
      <c r="V1007" s="365"/>
      <c r="W1007" s="8" t="s">
        <v>3858</v>
      </c>
      <c r="X1007" s="101" t="s">
        <v>120</v>
      </c>
      <c r="Y1007" s="101" t="s">
        <v>40</v>
      </c>
      <c r="Z1007" s="101"/>
      <c r="AA1007" s="101" t="s">
        <v>87</v>
      </c>
      <c r="AB1007" s="1099" t="s">
        <v>70</v>
      </c>
      <c r="AC1007" s="432">
        <v>44321</v>
      </c>
      <c r="AD1007" s="432"/>
      <c r="AE1007" s="432"/>
    </row>
    <row r="1008" spans="1:31" ht="43.5">
      <c r="A1008" s="1184"/>
      <c r="B1008" s="362" t="s">
        <v>100</v>
      </c>
      <c r="C1008" s="362"/>
      <c r="D1008" s="8" t="s">
        <v>110</v>
      </c>
      <c r="E1008" s="8"/>
      <c r="F1008" s="8"/>
      <c r="G1008" s="8"/>
      <c r="H1008" s="8" t="s">
        <v>103</v>
      </c>
      <c r="I1008" s="8" t="s">
        <v>34</v>
      </c>
      <c r="J1008" s="16" t="s">
        <v>111</v>
      </c>
      <c r="K1008" s="8"/>
      <c r="L1008" s="84">
        <v>12</v>
      </c>
      <c r="M1008" s="436">
        <f t="shared" si="8"/>
        <v>43831</v>
      </c>
      <c r="N1008" s="386">
        <f t="shared" si="7"/>
        <v>43922</v>
      </c>
      <c r="O1008" s="367">
        <v>44287</v>
      </c>
      <c r="P1008" s="71">
        <v>48</v>
      </c>
      <c r="Q1008" s="71" t="s">
        <v>215</v>
      </c>
      <c r="R1008" s="159">
        <v>1233471.8</v>
      </c>
      <c r="S1008" s="159" t="s">
        <v>130</v>
      </c>
      <c r="T1008" s="365" t="s">
        <v>38</v>
      </c>
      <c r="U1008" s="365"/>
      <c r="V1008" s="365"/>
      <c r="W1008" s="8" t="s">
        <v>3859</v>
      </c>
      <c r="X1008" s="101" t="s">
        <v>120</v>
      </c>
      <c r="Y1008" s="101" t="s">
        <v>40</v>
      </c>
      <c r="Z1008" s="101"/>
      <c r="AA1008" s="101" t="s">
        <v>87</v>
      </c>
      <c r="AB1008" s="1099" t="s">
        <v>70</v>
      </c>
      <c r="AC1008" s="432">
        <v>44361</v>
      </c>
      <c r="AD1008" s="432"/>
      <c r="AE1008" s="432"/>
    </row>
    <row r="1009" spans="1:31" ht="29">
      <c r="A1009" s="1183"/>
      <c r="B1009" s="362" t="s">
        <v>100</v>
      </c>
      <c r="C1009" s="362"/>
      <c r="D1009" s="8" t="s">
        <v>110</v>
      </c>
      <c r="E1009" s="8"/>
      <c r="F1009" s="8"/>
      <c r="G1009" s="8"/>
      <c r="H1009" s="8" t="s">
        <v>103</v>
      </c>
      <c r="I1009" s="8" t="s">
        <v>34</v>
      </c>
      <c r="J1009" s="16" t="s">
        <v>1465</v>
      </c>
      <c r="K1009" s="8"/>
      <c r="L1009" s="84">
        <v>12</v>
      </c>
      <c r="M1009" s="436">
        <f t="shared" si="8"/>
        <v>43831</v>
      </c>
      <c r="N1009" s="386">
        <f t="shared" si="7"/>
        <v>43922</v>
      </c>
      <c r="O1009" s="367">
        <v>44287</v>
      </c>
      <c r="P1009" s="71">
        <v>60</v>
      </c>
      <c r="Q1009" s="71" t="s">
        <v>187</v>
      </c>
      <c r="R1009" s="159">
        <v>968000</v>
      </c>
      <c r="S1009" s="159" t="s">
        <v>130</v>
      </c>
      <c r="T1009" s="365" t="s">
        <v>38</v>
      </c>
      <c r="U1009" s="365"/>
      <c r="V1009" s="365"/>
      <c r="W1009" s="8" t="s">
        <v>1467</v>
      </c>
      <c r="X1009" s="101" t="s">
        <v>120</v>
      </c>
      <c r="Y1009" s="101" t="s">
        <v>40</v>
      </c>
      <c r="Z1009" s="101"/>
      <c r="AA1009" s="101" t="s">
        <v>87</v>
      </c>
      <c r="AB1009" s="1099" t="s">
        <v>70</v>
      </c>
      <c r="AC1009" s="432">
        <v>44361</v>
      </c>
      <c r="AD1009" s="432"/>
      <c r="AE1009" s="432"/>
    </row>
    <row r="1010" spans="1:31" ht="43.5">
      <c r="A1010" s="1184"/>
      <c r="B1010" s="362" t="s">
        <v>100</v>
      </c>
      <c r="C1010" s="362" t="s">
        <v>208</v>
      </c>
      <c r="D1010" s="84" t="s">
        <v>122</v>
      </c>
      <c r="E1010" s="84"/>
      <c r="F1010" s="84"/>
      <c r="G1010" s="84"/>
      <c r="H1010" s="84" t="s">
        <v>103</v>
      </c>
      <c r="I1010" s="84" t="s">
        <v>34</v>
      </c>
      <c r="J1010" s="1586" t="s">
        <v>210</v>
      </c>
      <c r="K1010" s="84"/>
      <c r="L1010" s="84">
        <v>12</v>
      </c>
      <c r="M1010" s="436">
        <f t="shared" si="8"/>
        <v>43831</v>
      </c>
      <c r="N1010" s="386">
        <f t="shared" si="7"/>
        <v>43922</v>
      </c>
      <c r="O1010" s="386">
        <v>44287</v>
      </c>
      <c r="P1010" s="458">
        <v>60</v>
      </c>
      <c r="Q1010" s="458" t="s">
        <v>211</v>
      </c>
      <c r="R1010" s="435">
        <v>165600</v>
      </c>
      <c r="S1010" s="435" t="s">
        <v>176</v>
      </c>
      <c r="T1010" s="1065" t="s">
        <v>38</v>
      </c>
      <c r="U1010" s="459" t="s">
        <v>71</v>
      </c>
      <c r="V1010" s="459"/>
      <c r="W1010" s="84" t="s">
        <v>212</v>
      </c>
      <c r="X1010" s="495" t="s">
        <v>120</v>
      </c>
      <c r="Y1010" s="495" t="s">
        <v>40</v>
      </c>
      <c r="Z1010" s="495"/>
      <c r="AA1010" s="1097" t="s">
        <v>69</v>
      </c>
      <c r="AB1010" s="1099" t="s">
        <v>70</v>
      </c>
      <c r="AC1010" s="437">
        <v>44362</v>
      </c>
      <c r="AD1010" s="437"/>
      <c r="AE1010" s="437"/>
    </row>
    <row r="1011" spans="1:31" ht="29">
      <c r="A1011" s="1119"/>
      <c r="B1011" s="362" t="s">
        <v>100</v>
      </c>
      <c r="C1011" s="362"/>
      <c r="D1011" s="8" t="s">
        <v>110</v>
      </c>
      <c r="E1011" s="8"/>
      <c r="F1011" s="8"/>
      <c r="G1011" s="8"/>
      <c r="H1011" s="8" t="s">
        <v>103</v>
      </c>
      <c r="I1011" s="8" t="s">
        <v>731</v>
      </c>
      <c r="J1011" s="16" t="s">
        <v>3198</v>
      </c>
      <c r="K1011" s="8"/>
      <c r="L1011" s="84">
        <v>12</v>
      </c>
      <c r="M1011" s="436">
        <f t="shared" si="8"/>
        <v>43831</v>
      </c>
      <c r="N1011" s="386">
        <f t="shared" si="7"/>
        <v>43922</v>
      </c>
      <c r="O1011" s="367">
        <v>44287</v>
      </c>
      <c r="P1011" s="71">
        <v>30</v>
      </c>
      <c r="Q1011" s="71" t="s">
        <v>60</v>
      </c>
      <c r="R1011" s="159">
        <v>39401</v>
      </c>
      <c r="S1011" s="159" t="s">
        <v>176</v>
      </c>
      <c r="T1011" s="365" t="s">
        <v>38</v>
      </c>
      <c r="U1011" s="365" t="s">
        <v>71</v>
      </c>
      <c r="V1011" s="365"/>
      <c r="W1011" s="291" t="s">
        <v>3860</v>
      </c>
      <c r="X1011" s="101" t="s">
        <v>189</v>
      </c>
      <c r="Y1011" s="101" t="s">
        <v>115</v>
      </c>
      <c r="Z1011" s="101"/>
      <c r="AA1011" s="411" t="s">
        <v>69</v>
      </c>
      <c r="AB1011" s="1099" t="s">
        <v>70</v>
      </c>
      <c r="AC1011" s="432"/>
      <c r="AD1011" s="432"/>
      <c r="AE1011" s="432"/>
    </row>
    <row r="1012" spans="1:31" ht="43.5">
      <c r="A1012" s="1119"/>
      <c r="B1012" s="362" t="s">
        <v>100</v>
      </c>
      <c r="C1012" s="362" t="s">
        <v>45</v>
      </c>
      <c r="D1012" s="8" t="s">
        <v>110</v>
      </c>
      <c r="E1012" s="8"/>
      <c r="F1012" s="8"/>
      <c r="G1012" s="8"/>
      <c r="H1012" s="8" t="s">
        <v>116</v>
      </c>
      <c r="I1012" s="8" t="s">
        <v>34</v>
      </c>
      <c r="J1012" s="16" t="s">
        <v>1157</v>
      </c>
      <c r="K1012" s="8"/>
      <c r="L1012" s="84">
        <v>12</v>
      </c>
      <c r="M1012" s="436">
        <f t="shared" si="8"/>
        <v>43831</v>
      </c>
      <c r="N1012" s="386">
        <f t="shared" si="7"/>
        <v>43922</v>
      </c>
      <c r="O1012" s="367">
        <v>44287</v>
      </c>
      <c r="P1012" s="71">
        <v>72</v>
      </c>
      <c r="Q1012" s="71" t="s">
        <v>3861</v>
      </c>
      <c r="R1012" s="159">
        <v>25252489</v>
      </c>
      <c r="S1012" s="159" t="s">
        <v>130</v>
      </c>
      <c r="T1012" s="365" t="s">
        <v>70</v>
      </c>
      <c r="U1012" s="388" t="s">
        <v>1159</v>
      </c>
      <c r="V1012" s="388"/>
      <c r="W1012" s="8" t="s">
        <v>1160</v>
      </c>
      <c r="X1012" s="101" t="s">
        <v>120</v>
      </c>
      <c r="Y1012" s="101" t="s">
        <v>1161</v>
      </c>
      <c r="Z1012" s="101"/>
      <c r="AA1012" s="411" t="s">
        <v>87</v>
      </c>
      <c r="AB1012" s="1099" t="s">
        <v>70</v>
      </c>
      <c r="AC1012" s="432">
        <v>44305</v>
      </c>
      <c r="AD1012" s="432"/>
      <c r="AE1012" s="432"/>
    </row>
    <row r="1013" spans="1:31" ht="43.5">
      <c r="A1013" s="1184"/>
      <c r="B1013" s="174"/>
      <c r="C1013" s="4"/>
      <c r="D1013" s="9" t="s">
        <v>32</v>
      </c>
      <c r="E1013" s="9"/>
      <c r="F1013" s="9"/>
      <c r="G1013" s="9"/>
      <c r="H1013" s="5" t="s">
        <v>33</v>
      </c>
      <c r="I1013" s="9" t="s">
        <v>34</v>
      </c>
      <c r="J1013" s="16" t="s">
        <v>3862</v>
      </c>
      <c r="K1013" s="16"/>
      <c r="L1013" s="16"/>
      <c r="M1013" s="199">
        <v>43922</v>
      </c>
      <c r="N1013" s="199"/>
      <c r="O1013" s="49">
        <v>44287</v>
      </c>
      <c r="P1013" s="15">
        <v>42</v>
      </c>
      <c r="Q1013" s="15" t="s">
        <v>3863</v>
      </c>
      <c r="R1013" s="18">
        <v>55000</v>
      </c>
      <c r="S1013" s="5" t="s">
        <v>130</v>
      </c>
      <c r="T1013" s="5" t="s">
        <v>38</v>
      </c>
      <c r="U1013" s="12" t="s">
        <v>71</v>
      </c>
      <c r="V1013" s="12"/>
      <c r="W1013" s="9" t="s">
        <v>3864</v>
      </c>
      <c r="X1013" s="80" t="s">
        <v>94</v>
      </c>
      <c r="Y1013" s="80" t="s">
        <v>40</v>
      </c>
      <c r="Z1013" s="80"/>
      <c r="AA1013" s="1076"/>
      <c r="AB1013" s="354" t="s">
        <v>3016</v>
      </c>
      <c r="AC1013" s="993" t="s">
        <v>3865</v>
      </c>
      <c r="AD1013" s="76" t="s">
        <v>3146</v>
      </c>
      <c r="AE1013" s="1131">
        <v>15000</v>
      </c>
    </row>
    <row r="1014" spans="1:31" ht="72.5">
      <c r="A1014" s="1191"/>
      <c r="B1014" s="4"/>
      <c r="C1014" s="4" t="s">
        <v>3866</v>
      </c>
      <c r="D1014" s="9" t="s">
        <v>32</v>
      </c>
      <c r="E1014" s="9"/>
      <c r="F1014" s="9"/>
      <c r="G1014" s="9"/>
      <c r="H1014" s="5" t="s">
        <v>862</v>
      </c>
      <c r="I1014" s="5" t="s">
        <v>47</v>
      </c>
      <c r="J1014" s="16" t="s">
        <v>2495</v>
      </c>
      <c r="K1014" s="8"/>
      <c r="L1014" s="5" t="e">
        <f>IF(OR(S1014=#REF!,S1014=#REF!,S1014=#REF!,S1014=#REF!,S1014=#REF!,S1014=#REF!,S1014=#REF!,S1014=#REF!),12,IF(OR(S1014=#REF!,S1014=#REF!,S1014=#REF!,S1014=#REF!,S1014=#REF!,S1014=#REF!,S1014=#REF!),3,IF(S1014=#REF!,1,IF(S1014=#REF!,18,IF(OR(S1014=#REF!,S1014=#REF!,S1014=#REF!,S1014=#REF!,S1014=#REF!),14,"Invalid proposed procurement method")))))</f>
        <v>#REF!</v>
      </c>
      <c r="M1014" s="199" t="str">
        <f>IFERROR(EDATE($N1014,-3),"Invalid procurement method or date entered")</f>
        <v>Invalid procurement method or date entered</v>
      </c>
      <c r="N1014" s="199" t="str">
        <f>IFERROR(EDATE(O1014,-L1014),"Invalid procurement method or date entered")</f>
        <v>Invalid procurement method or date entered</v>
      </c>
      <c r="O1014" s="199">
        <v>44287</v>
      </c>
      <c r="P1014" s="5">
        <v>36</v>
      </c>
      <c r="Q1014" s="5" t="s">
        <v>3845</v>
      </c>
      <c r="R1014" s="18">
        <v>150000</v>
      </c>
      <c r="S1014" s="5" t="s">
        <v>75</v>
      </c>
      <c r="T1014" s="50" t="s">
        <v>62</v>
      </c>
      <c r="U1014" s="48" t="s">
        <v>71</v>
      </c>
      <c r="V1014" s="48"/>
      <c r="W1014" s="5" t="s">
        <v>3867</v>
      </c>
      <c r="X1014" s="80" t="s">
        <v>94</v>
      </c>
      <c r="Y1014" s="80" t="s">
        <v>727</v>
      </c>
      <c r="Z1014" s="80"/>
      <c r="AA1014" s="80" t="s">
        <v>70</v>
      </c>
      <c r="AB1014" s="354" t="s">
        <v>132</v>
      </c>
      <c r="AC1014" s="101" t="s">
        <v>3868</v>
      </c>
      <c r="AD1014" s="76" t="s">
        <v>979</v>
      </c>
      <c r="AE1014" s="211" t="s">
        <v>3869</v>
      </c>
    </row>
    <row r="1015" spans="1:31" ht="50">
      <c r="A1015" s="1119"/>
      <c r="B1015" s="577" t="s">
        <v>56</v>
      </c>
      <c r="C1015" s="510" t="s">
        <v>3870</v>
      </c>
      <c r="D1015" s="511" t="s">
        <v>32</v>
      </c>
      <c r="E1015" s="511"/>
      <c r="F1015" s="511"/>
      <c r="G1015" s="511"/>
      <c r="H1015" s="511" t="s">
        <v>279</v>
      </c>
      <c r="I1015" s="519" t="s">
        <v>47</v>
      </c>
      <c r="J1015" s="1578" t="s">
        <v>3871</v>
      </c>
      <c r="K1015" s="512"/>
      <c r="L1015" s="515">
        <v>43709</v>
      </c>
      <c r="M1015" s="515"/>
      <c r="N1015" s="515"/>
      <c r="O1015" s="515">
        <v>44287</v>
      </c>
      <c r="P1015" s="516">
        <v>48</v>
      </c>
      <c r="Q1015" s="516">
        <v>48</v>
      </c>
      <c r="R1015" s="599">
        <f>2476667*4</f>
        <v>9906668</v>
      </c>
      <c r="S1015" s="515" t="s">
        <v>3532</v>
      </c>
      <c r="T1015" s="515" t="s">
        <v>310</v>
      </c>
      <c r="U1015" s="515">
        <v>44014</v>
      </c>
      <c r="V1015" s="515"/>
      <c r="W1015" s="519" t="s">
        <v>2572</v>
      </c>
    </row>
    <row r="1016" spans="1:31" ht="62.5">
      <c r="A1016" s="1119"/>
      <c r="B1016" s="577" t="s">
        <v>56</v>
      </c>
      <c r="C1016" s="510" t="s">
        <v>60</v>
      </c>
      <c r="D1016" s="511" t="s">
        <v>57</v>
      </c>
      <c r="E1016" s="511"/>
      <c r="F1016" s="511"/>
      <c r="G1016" s="511"/>
      <c r="H1016" s="511" t="s">
        <v>58</v>
      </c>
      <c r="I1016" s="519" t="s">
        <v>47</v>
      </c>
      <c r="J1016" s="1578" t="s">
        <v>3872</v>
      </c>
      <c r="K1016" s="512"/>
      <c r="L1016" s="512"/>
      <c r="M1016" s="511">
        <v>14</v>
      </c>
      <c r="N1016" s="514" t="str">
        <f>IF(O1016="tbc","",(IFERROR(EDATE(#REF!,-3),"Invalid procurement method or date entered")))</f>
        <v>Invalid procurement method or date entered</v>
      </c>
      <c r="O1016" s="515">
        <v>44287</v>
      </c>
      <c r="P1016" s="516" t="s">
        <v>60</v>
      </c>
      <c r="Q1016" s="516" t="s">
        <v>60</v>
      </c>
      <c r="R1016" s="528" t="s">
        <v>60</v>
      </c>
      <c r="S1016" s="515" t="s">
        <v>60</v>
      </c>
      <c r="T1016" s="515" t="s">
        <v>310</v>
      </c>
      <c r="U1016" s="515" t="s">
        <v>60</v>
      </c>
      <c r="V1016" s="515"/>
      <c r="W1016" s="519" t="s">
        <v>3873</v>
      </c>
    </row>
    <row r="1017" spans="1:31" ht="100">
      <c r="A1017" s="1119"/>
      <c r="B1017" s="577" t="s">
        <v>56</v>
      </c>
      <c r="C1017" s="510" t="s">
        <v>60</v>
      </c>
      <c r="D1017" s="511" t="s">
        <v>57</v>
      </c>
      <c r="E1017" s="511"/>
      <c r="F1017" s="511"/>
      <c r="G1017" s="511"/>
      <c r="H1017" s="511" t="s">
        <v>58</v>
      </c>
      <c r="I1017" s="519" t="s">
        <v>47</v>
      </c>
      <c r="J1017" s="1578" t="s">
        <v>3874</v>
      </c>
      <c r="K1017" s="512"/>
      <c r="L1017" s="512"/>
      <c r="M1017" s="511">
        <v>14</v>
      </c>
      <c r="N1017" s="514" t="str">
        <f>IF(O1017="tbc","",(IFERROR(EDATE(#REF!,-3),"Invalid procurement method or date entered")))</f>
        <v>Invalid procurement method or date entered</v>
      </c>
      <c r="O1017" s="515">
        <v>44287</v>
      </c>
      <c r="P1017" s="516" t="s">
        <v>60</v>
      </c>
      <c r="Q1017" s="516" t="s">
        <v>60</v>
      </c>
      <c r="R1017" s="528" t="s">
        <v>60</v>
      </c>
      <c r="S1017" s="515" t="s">
        <v>60</v>
      </c>
      <c r="T1017" s="515" t="s">
        <v>310</v>
      </c>
      <c r="U1017" s="515" t="s">
        <v>60</v>
      </c>
      <c r="V1017" s="515"/>
      <c r="W1017" s="519" t="s">
        <v>3875</v>
      </c>
    </row>
    <row r="1018" spans="1:31" ht="62.5">
      <c r="A1018" s="1119"/>
      <c r="B1018" s="577" t="s">
        <v>56</v>
      </c>
      <c r="C1018" s="510" t="s">
        <v>60</v>
      </c>
      <c r="D1018" s="511" t="s">
        <v>57</v>
      </c>
      <c r="E1018" s="511"/>
      <c r="F1018" s="511"/>
      <c r="G1018" s="511"/>
      <c r="H1018" s="511" t="s">
        <v>58</v>
      </c>
      <c r="I1018" s="519" t="s">
        <v>47</v>
      </c>
      <c r="J1018" s="1578" t="s">
        <v>3876</v>
      </c>
      <c r="K1018" s="512"/>
      <c r="L1018" s="512"/>
      <c r="M1018" s="511">
        <v>14</v>
      </c>
      <c r="N1018" s="514" t="str">
        <f>IF(O1018="tbc","",(IFERROR(EDATE(#REF!,-3),"Invalid procurement method or date entered")))</f>
        <v>Invalid procurement method or date entered</v>
      </c>
      <c r="O1018" s="515">
        <v>44287</v>
      </c>
      <c r="P1018" s="516" t="s">
        <v>60</v>
      </c>
      <c r="Q1018" s="516" t="s">
        <v>60</v>
      </c>
      <c r="R1018" s="528" t="s">
        <v>60</v>
      </c>
      <c r="S1018" s="515" t="s">
        <v>60</v>
      </c>
      <c r="T1018" s="515" t="s">
        <v>310</v>
      </c>
      <c r="U1018" s="515" t="s">
        <v>60</v>
      </c>
      <c r="V1018" s="515"/>
      <c r="W1018" s="519" t="s">
        <v>3877</v>
      </c>
    </row>
    <row r="1019" spans="1:31" ht="62.5">
      <c r="A1019" s="1119"/>
      <c r="B1019" s="577" t="s">
        <v>56</v>
      </c>
      <c r="C1019" s="510" t="s">
        <v>60</v>
      </c>
      <c r="D1019" s="511" t="s">
        <v>57</v>
      </c>
      <c r="E1019" s="511"/>
      <c r="F1019" s="511"/>
      <c r="G1019" s="511"/>
      <c r="H1019" s="511" t="s">
        <v>58</v>
      </c>
      <c r="I1019" s="519" t="s">
        <v>47</v>
      </c>
      <c r="J1019" s="1578" t="s">
        <v>3878</v>
      </c>
      <c r="K1019" s="512"/>
      <c r="L1019" s="512"/>
      <c r="M1019" s="511">
        <v>14</v>
      </c>
      <c r="N1019" s="514" t="str">
        <f>IF(O1019="tbc","",(IFERROR(EDATE(#REF!,-3),"Invalid procurement method or date entered")))</f>
        <v>Invalid procurement method or date entered</v>
      </c>
      <c r="O1019" s="515">
        <v>44287</v>
      </c>
      <c r="P1019" s="516" t="s">
        <v>60</v>
      </c>
      <c r="Q1019" s="516" t="s">
        <v>60</v>
      </c>
      <c r="R1019" s="528" t="s">
        <v>60</v>
      </c>
      <c r="S1019" s="515" t="s">
        <v>60</v>
      </c>
      <c r="T1019" s="515" t="s">
        <v>310</v>
      </c>
      <c r="U1019" s="515" t="s">
        <v>60</v>
      </c>
      <c r="V1019" s="515"/>
      <c r="W1019" s="519" t="s">
        <v>2909</v>
      </c>
    </row>
    <row r="1020" spans="1:31" ht="112.5">
      <c r="A1020" s="1119"/>
      <c r="B1020" s="577" t="s">
        <v>56</v>
      </c>
      <c r="C1020" s="510" t="s">
        <v>60</v>
      </c>
      <c r="D1020" s="511" t="s">
        <v>57</v>
      </c>
      <c r="E1020" s="511"/>
      <c r="F1020" s="511"/>
      <c r="G1020" s="511"/>
      <c r="H1020" s="511" t="s">
        <v>58</v>
      </c>
      <c r="I1020" s="519" t="s">
        <v>47</v>
      </c>
      <c r="J1020" s="1578" t="s">
        <v>3879</v>
      </c>
      <c r="K1020" s="512"/>
      <c r="L1020" s="512"/>
      <c r="M1020" s="511">
        <v>14</v>
      </c>
      <c r="N1020" s="514" t="str">
        <f>IF(O1020="tbc","",(IFERROR(EDATE(#REF!,-3),"Invalid procurement method or date entered")))</f>
        <v>Invalid procurement method or date entered</v>
      </c>
      <c r="O1020" s="515">
        <v>44287</v>
      </c>
      <c r="P1020" s="516" t="s">
        <v>60</v>
      </c>
      <c r="Q1020" s="516" t="s">
        <v>60</v>
      </c>
      <c r="R1020" s="528" t="s">
        <v>60</v>
      </c>
      <c r="S1020" s="515" t="s">
        <v>60</v>
      </c>
      <c r="T1020" s="515" t="s">
        <v>310</v>
      </c>
      <c r="U1020" s="515" t="s">
        <v>60</v>
      </c>
      <c r="V1020" s="515"/>
      <c r="W1020" s="519" t="s">
        <v>3880</v>
      </c>
    </row>
    <row r="1021" spans="1:31" ht="62.5">
      <c r="A1021" s="1119"/>
      <c r="B1021" s="577" t="s">
        <v>56</v>
      </c>
      <c r="C1021" s="510" t="s">
        <v>60</v>
      </c>
      <c r="D1021" s="511" t="s">
        <v>57</v>
      </c>
      <c r="E1021" s="511"/>
      <c r="F1021" s="511"/>
      <c r="G1021" s="511"/>
      <c r="H1021" s="511" t="s">
        <v>58</v>
      </c>
      <c r="I1021" s="519" t="s">
        <v>47</v>
      </c>
      <c r="J1021" s="1578" t="s">
        <v>3881</v>
      </c>
      <c r="K1021" s="512"/>
      <c r="L1021" s="512"/>
      <c r="M1021" s="511">
        <v>14</v>
      </c>
      <c r="N1021" s="514" t="str">
        <f>IF(O1021="tbc","",(IFERROR(EDATE(#REF!,-3),"Invalid procurement method or date entered")))</f>
        <v>Invalid procurement method or date entered</v>
      </c>
      <c r="O1021" s="515">
        <v>44287</v>
      </c>
      <c r="P1021" s="516" t="s">
        <v>60</v>
      </c>
      <c r="Q1021" s="516" t="s">
        <v>60</v>
      </c>
      <c r="R1021" s="528" t="s">
        <v>60</v>
      </c>
      <c r="S1021" s="515" t="s">
        <v>60</v>
      </c>
      <c r="T1021" s="515" t="s">
        <v>310</v>
      </c>
      <c r="U1021" s="515" t="s">
        <v>60</v>
      </c>
      <c r="V1021" s="515"/>
      <c r="W1021" s="519" t="s">
        <v>3882</v>
      </c>
    </row>
    <row r="1022" spans="1:31" ht="62.5">
      <c r="A1022" s="1119"/>
      <c r="B1022" s="577" t="s">
        <v>56</v>
      </c>
      <c r="C1022" s="510" t="s">
        <v>60</v>
      </c>
      <c r="D1022" s="511" t="s">
        <v>57</v>
      </c>
      <c r="E1022" s="511"/>
      <c r="F1022" s="511"/>
      <c r="G1022" s="511"/>
      <c r="H1022" s="511" t="s">
        <v>58</v>
      </c>
      <c r="I1022" s="519" t="s">
        <v>47</v>
      </c>
      <c r="J1022" s="1578" t="s">
        <v>3883</v>
      </c>
      <c r="K1022" s="512"/>
      <c r="L1022" s="512"/>
      <c r="M1022" s="511">
        <v>14</v>
      </c>
      <c r="N1022" s="514" t="str">
        <f>IF(O1022="tbc","",(IFERROR(EDATE(#REF!,-3),"Invalid procurement method or date entered")))</f>
        <v>Invalid procurement method or date entered</v>
      </c>
      <c r="O1022" s="515">
        <v>44287</v>
      </c>
      <c r="P1022" s="516" t="s">
        <v>60</v>
      </c>
      <c r="Q1022" s="516" t="s">
        <v>60</v>
      </c>
      <c r="R1022" s="528" t="s">
        <v>60</v>
      </c>
      <c r="S1022" s="515" t="s">
        <v>60</v>
      </c>
      <c r="T1022" s="515" t="s">
        <v>310</v>
      </c>
      <c r="U1022" s="515" t="s">
        <v>60</v>
      </c>
      <c r="V1022" s="515"/>
      <c r="W1022" s="519" t="s">
        <v>3873</v>
      </c>
    </row>
    <row r="1023" spans="1:31" ht="112.5">
      <c r="A1023" s="1119"/>
      <c r="B1023" s="577" t="s">
        <v>56</v>
      </c>
      <c r="C1023" s="510" t="s">
        <v>60</v>
      </c>
      <c r="D1023" s="511" t="s">
        <v>57</v>
      </c>
      <c r="E1023" s="511"/>
      <c r="F1023" s="511"/>
      <c r="G1023" s="511"/>
      <c r="H1023" s="511" t="s">
        <v>58</v>
      </c>
      <c r="I1023" s="519" t="s">
        <v>47</v>
      </c>
      <c r="J1023" s="1578" t="s">
        <v>3884</v>
      </c>
      <c r="K1023" s="512"/>
      <c r="L1023" s="512"/>
      <c r="M1023" s="511">
        <v>14</v>
      </c>
      <c r="N1023" s="514" t="str">
        <f>IF(O1023="tbc","",(IFERROR(EDATE(#REF!,-3),"Invalid procurement method or date entered")))</f>
        <v>Invalid procurement method or date entered</v>
      </c>
      <c r="O1023" s="515">
        <v>44287</v>
      </c>
      <c r="P1023" s="516" t="s">
        <v>60</v>
      </c>
      <c r="Q1023" s="516" t="s">
        <v>60</v>
      </c>
      <c r="R1023" s="528" t="s">
        <v>60</v>
      </c>
      <c r="S1023" s="515" t="s">
        <v>182</v>
      </c>
      <c r="T1023" s="515" t="s">
        <v>310</v>
      </c>
      <c r="U1023" s="515" t="s">
        <v>60</v>
      </c>
      <c r="V1023" s="515"/>
      <c r="W1023" s="519" t="s">
        <v>3885</v>
      </c>
    </row>
    <row r="1024" spans="1:31" ht="62.5">
      <c r="A1024" s="1119"/>
      <c r="B1024" s="577" t="s">
        <v>56</v>
      </c>
      <c r="C1024" s="510" t="s">
        <v>60</v>
      </c>
      <c r="D1024" s="511" t="s">
        <v>57</v>
      </c>
      <c r="E1024" s="511"/>
      <c r="F1024" s="511"/>
      <c r="G1024" s="511"/>
      <c r="H1024" s="511" t="s">
        <v>58</v>
      </c>
      <c r="I1024" s="519" t="s">
        <v>47</v>
      </c>
      <c r="J1024" s="1578" t="s">
        <v>3886</v>
      </c>
      <c r="K1024" s="512"/>
      <c r="L1024" s="512"/>
      <c r="M1024" s="511">
        <v>14</v>
      </c>
      <c r="N1024" s="514" t="str">
        <f>IF(O1024="tbc","",(IFERROR(EDATE(#REF!,-3),"Invalid procurement method or date entered")))</f>
        <v>Invalid procurement method or date entered</v>
      </c>
      <c r="O1024" s="515">
        <v>44287</v>
      </c>
      <c r="P1024" s="516" t="s">
        <v>60</v>
      </c>
      <c r="Q1024" s="516" t="s">
        <v>60</v>
      </c>
      <c r="R1024" s="528" t="s">
        <v>60</v>
      </c>
      <c r="S1024" s="515" t="s">
        <v>60</v>
      </c>
      <c r="T1024" s="515" t="s">
        <v>310</v>
      </c>
      <c r="U1024" s="515" t="s">
        <v>60</v>
      </c>
      <c r="V1024" s="515"/>
      <c r="W1024" s="519" t="s">
        <v>3887</v>
      </c>
    </row>
    <row r="1025" spans="1:32" ht="62.5">
      <c r="A1025" s="1119"/>
      <c r="B1025" s="577" t="s">
        <v>56</v>
      </c>
      <c r="C1025" s="510" t="s">
        <v>60</v>
      </c>
      <c r="D1025" s="511" t="s">
        <v>57</v>
      </c>
      <c r="E1025" s="511"/>
      <c r="F1025" s="511"/>
      <c r="G1025" s="511"/>
      <c r="H1025" s="511" t="s">
        <v>58</v>
      </c>
      <c r="I1025" s="519" t="s">
        <v>47</v>
      </c>
      <c r="J1025" s="1578" t="s">
        <v>3888</v>
      </c>
      <c r="K1025" s="512"/>
      <c r="L1025" s="512"/>
      <c r="M1025" s="511">
        <v>14</v>
      </c>
      <c r="N1025" s="514" t="str">
        <f>IF(O1025="tbc","",(IFERROR(EDATE(#REF!,-3),"Invalid procurement method or date entered")))</f>
        <v>Invalid procurement method or date entered</v>
      </c>
      <c r="O1025" s="515">
        <v>44287</v>
      </c>
      <c r="P1025" s="516" t="s">
        <v>60</v>
      </c>
      <c r="Q1025" s="516" t="s">
        <v>60</v>
      </c>
      <c r="R1025" s="528" t="s">
        <v>60</v>
      </c>
      <c r="S1025" s="515" t="s">
        <v>60</v>
      </c>
      <c r="T1025" s="515" t="s">
        <v>310</v>
      </c>
      <c r="U1025" s="515" t="s">
        <v>60</v>
      </c>
      <c r="V1025" s="515"/>
      <c r="W1025" s="519" t="s">
        <v>3887</v>
      </c>
    </row>
    <row r="1026" spans="1:32" ht="62.5">
      <c r="A1026" s="1119"/>
      <c r="B1026" s="577" t="s">
        <v>56</v>
      </c>
      <c r="C1026" s="510" t="s">
        <v>60</v>
      </c>
      <c r="D1026" s="511" t="s">
        <v>57</v>
      </c>
      <c r="E1026" s="511"/>
      <c r="F1026" s="511"/>
      <c r="G1026" s="511"/>
      <c r="H1026" s="511" t="s">
        <v>58</v>
      </c>
      <c r="I1026" s="519" t="s">
        <v>47</v>
      </c>
      <c r="J1026" s="1578" t="s">
        <v>3889</v>
      </c>
      <c r="K1026" s="512"/>
      <c r="L1026" s="512"/>
      <c r="M1026" s="511">
        <v>14</v>
      </c>
      <c r="N1026" s="514" t="str">
        <f>IF(O1026="tbc","",(IFERROR(EDATE(#REF!,-3),"Invalid procurement method or date entered")))</f>
        <v>Invalid procurement method or date entered</v>
      </c>
      <c r="O1026" s="515">
        <v>44287</v>
      </c>
      <c r="P1026" s="516" t="s">
        <v>60</v>
      </c>
      <c r="Q1026" s="516" t="s">
        <v>60</v>
      </c>
      <c r="R1026" s="528" t="s">
        <v>60</v>
      </c>
      <c r="S1026" s="515" t="s">
        <v>60</v>
      </c>
      <c r="T1026" s="515" t="s">
        <v>310</v>
      </c>
      <c r="U1026" s="515" t="s">
        <v>60</v>
      </c>
      <c r="V1026" s="515"/>
      <c r="W1026" s="519" t="s">
        <v>3890</v>
      </c>
    </row>
    <row r="1027" spans="1:32" ht="62.5">
      <c r="A1027" s="1119"/>
      <c r="B1027" s="577" t="s">
        <v>56</v>
      </c>
      <c r="C1027" s="510" t="s">
        <v>3891</v>
      </c>
      <c r="D1027" s="511" t="s">
        <v>57</v>
      </c>
      <c r="E1027" s="511"/>
      <c r="F1027" s="511"/>
      <c r="G1027" s="511"/>
      <c r="H1027" s="511" t="s">
        <v>58</v>
      </c>
      <c r="I1027" s="519" t="s">
        <v>47</v>
      </c>
      <c r="J1027" s="606" t="s">
        <v>3892</v>
      </c>
      <c r="K1027" s="529"/>
      <c r="L1027" s="529"/>
      <c r="M1027" s="511">
        <v>12</v>
      </c>
      <c r="N1027" s="514" t="str">
        <f>IF(O1027="tbc","",(IFERROR(EDATE(#REF!,-3),"Invalid procurement method or date entered")))</f>
        <v>Invalid procurement method or date entered</v>
      </c>
      <c r="O1027" s="514">
        <v>44287</v>
      </c>
      <c r="P1027" s="536">
        <v>120</v>
      </c>
      <c r="Q1027" s="536" t="s">
        <v>1725</v>
      </c>
      <c r="R1027" s="538">
        <v>150000</v>
      </c>
      <c r="S1027" s="515" t="s">
        <v>75</v>
      </c>
      <c r="T1027" s="536" t="s">
        <v>62</v>
      </c>
      <c r="U1027" s="514" t="s">
        <v>60</v>
      </c>
      <c r="V1027" s="514"/>
      <c r="W1027" s="519" t="s">
        <v>3893</v>
      </c>
    </row>
    <row r="1028" spans="1:32" ht="100">
      <c r="A1028" s="1119"/>
      <c r="B1028" s="577" t="s">
        <v>56</v>
      </c>
      <c r="C1028" s="510" t="s">
        <v>60</v>
      </c>
      <c r="D1028" s="511" t="s">
        <v>57</v>
      </c>
      <c r="E1028" s="511"/>
      <c r="F1028" s="511"/>
      <c r="G1028" s="511"/>
      <c r="H1028" s="511" t="s">
        <v>58</v>
      </c>
      <c r="I1028" s="519" t="s">
        <v>47</v>
      </c>
      <c r="J1028" s="1578" t="s">
        <v>3894</v>
      </c>
      <c r="K1028" s="512"/>
      <c r="L1028" s="512"/>
      <c r="M1028" s="511">
        <v>3</v>
      </c>
      <c r="N1028" s="514" t="str">
        <f>IF(O1028="tbc","",(IFERROR(EDATE(#REF!,-3),"Invalid procurement method or date entered")))</f>
        <v>Invalid procurement method or date entered</v>
      </c>
      <c r="O1028" s="515">
        <v>44287</v>
      </c>
      <c r="P1028" s="516" t="s">
        <v>60</v>
      </c>
      <c r="Q1028" s="516" t="s">
        <v>60</v>
      </c>
      <c r="R1028" s="528">
        <v>360000</v>
      </c>
      <c r="S1028" s="515" t="s">
        <v>61</v>
      </c>
      <c r="T1028" s="515" t="s">
        <v>62</v>
      </c>
      <c r="U1028" s="515" t="s">
        <v>45</v>
      </c>
      <c r="V1028" s="515"/>
      <c r="W1028" s="519" t="s">
        <v>3895</v>
      </c>
    </row>
    <row r="1029" spans="1:32" ht="87.5">
      <c r="A1029" s="1119"/>
      <c r="B1029" s="577" t="s">
        <v>56</v>
      </c>
      <c r="C1029" s="510" t="s">
        <v>60</v>
      </c>
      <c r="D1029" s="511" t="s">
        <v>57</v>
      </c>
      <c r="E1029" s="511"/>
      <c r="F1029" s="511"/>
      <c r="G1029" s="511"/>
      <c r="H1029" s="511" t="s">
        <v>58</v>
      </c>
      <c r="I1029" s="519" t="s">
        <v>47</v>
      </c>
      <c r="J1029" s="1578" t="s">
        <v>3896</v>
      </c>
      <c r="K1029" s="512"/>
      <c r="L1029" s="512"/>
      <c r="M1029" s="511">
        <v>3</v>
      </c>
      <c r="N1029" s="514" t="str">
        <f>IF(O1029="tbc","",(IFERROR(EDATE(#REF!,-3),"Invalid procurement method or date entered")))</f>
        <v>Invalid procurement method or date entered</v>
      </c>
      <c r="O1029" s="515">
        <v>44287</v>
      </c>
      <c r="P1029" s="516" t="s">
        <v>60</v>
      </c>
      <c r="Q1029" s="516" t="s">
        <v>60</v>
      </c>
      <c r="R1029" s="528">
        <v>255000</v>
      </c>
      <c r="S1029" s="515" t="s">
        <v>61</v>
      </c>
      <c r="T1029" s="515" t="s">
        <v>62</v>
      </c>
      <c r="U1029" s="515" t="s">
        <v>60</v>
      </c>
      <c r="V1029" s="515"/>
      <c r="W1029" s="519" t="s">
        <v>3895</v>
      </c>
    </row>
    <row r="1030" spans="1:32" ht="50">
      <c r="A1030" s="1119"/>
      <c r="B1030" s="577" t="s">
        <v>56</v>
      </c>
      <c r="C1030" s="547" t="s">
        <v>60</v>
      </c>
      <c r="D1030" s="548" t="s">
        <v>57</v>
      </c>
      <c r="E1030" s="548"/>
      <c r="F1030" s="548"/>
      <c r="G1030" s="548"/>
      <c r="H1030" s="548" t="s">
        <v>58</v>
      </c>
      <c r="I1030" s="552" t="s">
        <v>47</v>
      </c>
      <c r="J1030" s="1592" t="s">
        <v>3897</v>
      </c>
      <c r="K1030" s="646"/>
      <c r="L1030" s="548">
        <v>3</v>
      </c>
      <c r="M1030" s="549">
        <f>IF(O1030="tbc","",(IFERROR(EDATE($N1030,-3),"Invalid procurement method or date entered")))</f>
        <v>44105</v>
      </c>
      <c r="N1030" s="549">
        <f>IF(O1030="tbc","",(IFERROR(EDATE(O1030,-L1030),"Invalid procurement method or date entered")))</f>
        <v>44197</v>
      </c>
      <c r="O1030" s="551">
        <v>44287</v>
      </c>
      <c r="P1030" s="647" t="s">
        <v>60</v>
      </c>
      <c r="Q1030" s="647" t="s">
        <v>60</v>
      </c>
      <c r="R1030" s="550">
        <v>100000</v>
      </c>
      <c r="S1030" s="551" t="s">
        <v>61</v>
      </c>
      <c r="T1030" s="551" t="s">
        <v>62</v>
      </c>
      <c r="U1030" s="547" t="s">
        <v>60</v>
      </c>
      <c r="V1030" s="547"/>
      <c r="W1030" s="551"/>
    </row>
    <row r="1031" spans="1:32" ht="50">
      <c r="A1031" s="1119"/>
      <c r="B1031" s="577" t="s">
        <v>56</v>
      </c>
      <c r="C1031" s="510" t="s">
        <v>3898</v>
      </c>
      <c r="D1031" s="511" t="s">
        <v>57</v>
      </c>
      <c r="E1031" s="511"/>
      <c r="F1031" s="511"/>
      <c r="G1031" s="511"/>
      <c r="H1031" s="511" t="s">
        <v>58</v>
      </c>
      <c r="I1031" s="519" t="s">
        <v>47</v>
      </c>
      <c r="J1031" s="1578" t="s">
        <v>3899</v>
      </c>
      <c r="K1031" s="512"/>
      <c r="L1031" s="511">
        <v>3</v>
      </c>
      <c r="M1031" s="514">
        <v>44105</v>
      </c>
      <c r="N1031" s="514">
        <v>44197</v>
      </c>
      <c r="O1031" s="515">
        <v>44287</v>
      </c>
      <c r="P1031" s="516" t="s">
        <v>60</v>
      </c>
      <c r="Q1031" s="516" t="s">
        <v>60</v>
      </c>
      <c r="R1031" s="528">
        <v>600000</v>
      </c>
      <c r="S1031" s="515" t="s">
        <v>75</v>
      </c>
      <c r="T1031" s="515" t="s">
        <v>310</v>
      </c>
      <c r="U1031" s="515"/>
      <c r="V1031" s="515"/>
      <c r="W1031" s="120"/>
    </row>
    <row r="1032" spans="1:32" ht="37.5">
      <c r="A1032" s="1119"/>
      <c r="B1032" s="577" t="s">
        <v>56</v>
      </c>
      <c r="C1032" s="510" t="s">
        <v>60</v>
      </c>
      <c r="D1032" s="511" t="s">
        <v>57</v>
      </c>
      <c r="E1032" s="511"/>
      <c r="F1032" s="511"/>
      <c r="G1032" s="511"/>
      <c r="H1032" s="511" t="s">
        <v>58</v>
      </c>
      <c r="I1032" s="519" t="s">
        <v>47</v>
      </c>
      <c r="J1032" s="606" t="s">
        <v>3900</v>
      </c>
      <c r="K1032" s="529"/>
      <c r="L1032" s="511">
        <v>1</v>
      </c>
      <c r="M1032" s="514">
        <v>44228</v>
      </c>
      <c r="N1032" s="514">
        <f>IF(O1032="tbc","",(IFERROR(EDATE(O1032,-L1032),"Invalid procurement method or date entered")))</f>
        <v>44256</v>
      </c>
      <c r="O1032" s="514">
        <v>44287</v>
      </c>
      <c r="P1032" s="536" t="s">
        <v>60</v>
      </c>
      <c r="Q1032" s="536" t="s">
        <v>60</v>
      </c>
      <c r="R1032" s="538">
        <v>150000</v>
      </c>
      <c r="S1032" s="536" t="s">
        <v>176</v>
      </c>
      <c r="T1032" s="536" t="s">
        <v>62</v>
      </c>
      <c r="U1032" s="514">
        <v>43700</v>
      </c>
      <c r="V1032" s="514"/>
      <c r="W1032" s="569" t="s">
        <v>577</v>
      </c>
    </row>
    <row r="1033" spans="1:32" ht="37.5">
      <c r="A1033" s="1119"/>
      <c r="B1033" s="577" t="s">
        <v>56</v>
      </c>
      <c r="C1033" s="510" t="s">
        <v>60</v>
      </c>
      <c r="D1033" s="511" t="s">
        <v>57</v>
      </c>
      <c r="E1033" s="511"/>
      <c r="F1033" s="511"/>
      <c r="G1033" s="511"/>
      <c r="H1033" s="511" t="s">
        <v>58</v>
      </c>
      <c r="I1033" s="519" t="s">
        <v>47</v>
      </c>
      <c r="J1033" s="1578" t="s">
        <v>3901</v>
      </c>
      <c r="K1033" s="529"/>
      <c r="L1033" s="511">
        <v>12</v>
      </c>
      <c r="M1033" s="514">
        <f>IF(O1033="tbc","",(IFERROR(EDATE($N1033,-3),"Invalid procurement method or date entered")))</f>
        <v>43709</v>
      </c>
      <c r="N1033" s="514">
        <v>43800</v>
      </c>
      <c r="O1033" s="515">
        <v>44287</v>
      </c>
      <c r="P1033" s="516">
        <v>120</v>
      </c>
      <c r="Q1033" s="516">
        <v>120</v>
      </c>
      <c r="R1033" s="528">
        <v>581130000</v>
      </c>
      <c r="S1033" s="515" t="s">
        <v>91</v>
      </c>
      <c r="T1033" s="515" t="s">
        <v>310</v>
      </c>
      <c r="U1033" s="515" t="s">
        <v>60</v>
      </c>
      <c r="V1033" s="515"/>
      <c r="W1033" s="394" t="s">
        <v>70</v>
      </c>
    </row>
    <row r="1034" spans="1:32" ht="37.5">
      <c r="A1034" s="1119"/>
      <c r="B1034" s="577" t="s">
        <v>56</v>
      </c>
      <c r="C1034" s="510" t="s">
        <v>60</v>
      </c>
      <c r="D1034" s="511" t="s">
        <v>348</v>
      </c>
      <c r="E1034" s="511"/>
      <c r="F1034" s="511"/>
      <c r="G1034" s="511"/>
      <c r="H1034" s="511" t="s">
        <v>58</v>
      </c>
      <c r="I1034" s="510" t="s">
        <v>47</v>
      </c>
      <c r="J1034" s="1580" t="s">
        <v>3902</v>
      </c>
      <c r="K1034" s="990"/>
      <c r="L1034" s="511">
        <v>1</v>
      </c>
      <c r="M1034" s="513">
        <f>IF(O1034="tbc","",(IFERROR(EDATE($N1034,-3),"Invalid procurement method or date entered")))</f>
        <v>44166</v>
      </c>
      <c r="N1034" s="514">
        <f>IF(O1034="tbc","",(IFERROR(EDATE(O1034,-L1034),"Invalid procurement method or date entered")))</f>
        <v>44256</v>
      </c>
      <c r="O1034" s="534">
        <v>44287</v>
      </c>
      <c r="P1034" s="535">
        <v>48</v>
      </c>
      <c r="Q1034" s="535">
        <v>48</v>
      </c>
      <c r="R1034" s="528">
        <v>1200000</v>
      </c>
      <c r="S1034" s="515" t="s">
        <v>176</v>
      </c>
      <c r="T1034" s="515" t="s">
        <v>310</v>
      </c>
      <c r="U1034" s="545" t="s">
        <v>727</v>
      </c>
      <c r="V1034" s="545"/>
      <c r="W1034" s="521" t="s">
        <v>70</v>
      </c>
    </row>
    <row r="1035" spans="1:32" ht="39">
      <c r="A1035" s="889" t="s">
        <v>71</v>
      </c>
      <c r="B1035" s="707" t="s">
        <v>100</v>
      </c>
      <c r="C1035" s="707" t="s">
        <v>45</v>
      </c>
      <c r="D1035" s="710" t="s">
        <v>193</v>
      </c>
      <c r="E1035" s="710"/>
      <c r="F1035" s="710"/>
      <c r="G1035" s="710"/>
      <c r="H1035" s="710" t="s">
        <v>110</v>
      </c>
      <c r="I1035" s="710" t="s">
        <v>116</v>
      </c>
      <c r="J1035" s="1608" t="s">
        <v>103</v>
      </c>
      <c r="K1035" s="710" t="s">
        <v>34</v>
      </c>
      <c r="L1035" s="709" t="s">
        <v>194</v>
      </c>
      <c r="M1035" s="710" t="s">
        <v>365</v>
      </c>
      <c r="N1035" s="710">
        <v>12</v>
      </c>
      <c r="O1035" s="712">
        <f>IFERROR(EDATE(Q1035,-N1035),"Invalid procurement method or date entered")</f>
        <v>44287</v>
      </c>
      <c r="P1035" s="713"/>
      <c r="Q1035" s="713">
        <v>44652</v>
      </c>
      <c r="R1035" s="777">
        <v>72</v>
      </c>
      <c r="S1035" s="777" t="s">
        <v>3903</v>
      </c>
      <c r="T1035" s="772">
        <v>3180000</v>
      </c>
      <c r="U1035" s="758" t="s">
        <v>130</v>
      </c>
      <c r="V1035" s="758"/>
      <c r="W1035" s="711">
        <v>43805</v>
      </c>
      <c r="X1035" s="843" t="s">
        <v>116</v>
      </c>
      <c r="Y1035" s="843" t="s">
        <v>2886</v>
      </c>
      <c r="Z1035" s="843" t="s">
        <v>120</v>
      </c>
      <c r="AA1035" s="843" t="s">
        <v>40</v>
      </c>
      <c r="AB1035" s="843" t="s">
        <v>87</v>
      </c>
      <c r="AC1035" s="1092" t="s">
        <v>70</v>
      </c>
      <c r="AD1035" s="1499">
        <v>44951</v>
      </c>
      <c r="AE1035" s="945" t="s">
        <v>225</v>
      </c>
      <c r="AF1035" s="1122" t="s">
        <v>116</v>
      </c>
    </row>
    <row r="1036" spans="1:32">
      <c r="A1036" s="1648">
        <v>44974</v>
      </c>
      <c r="B1036" s="1655" t="s">
        <v>1168</v>
      </c>
      <c r="C1036" s="1664" t="s">
        <v>3904</v>
      </c>
      <c r="D1036" s="1664" t="s">
        <v>1254</v>
      </c>
      <c r="E1036" s="1655" t="s">
        <v>1168</v>
      </c>
      <c r="F1036" s="1655" t="s">
        <v>1170</v>
      </c>
      <c r="G1036" s="1655" t="s">
        <v>1170</v>
      </c>
      <c r="H1036" s="1655" t="s">
        <v>1170</v>
      </c>
      <c r="I1036" s="1655" t="s">
        <v>1170</v>
      </c>
      <c r="J1036" s="1698" t="s">
        <v>3905</v>
      </c>
      <c r="K1036" s="1664" t="s">
        <v>3906</v>
      </c>
      <c r="L1036" s="1655" t="s">
        <v>1170</v>
      </c>
      <c r="M1036" s="1655" t="s">
        <v>1170</v>
      </c>
      <c r="N1036" s="1655" t="s">
        <v>1170</v>
      </c>
      <c r="O1036" s="1755">
        <v>44287</v>
      </c>
      <c r="P1036" s="1755">
        <v>45747</v>
      </c>
      <c r="Q1036" s="1664" t="s">
        <v>589</v>
      </c>
      <c r="R1036" s="1805">
        <v>145000</v>
      </c>
      <c r="S1036" s="1664" t="s">
        <v>1189</v>
      </c>
      <c r="T1036" s="1655" t="s">
        <v>1170</v>
      </c>
      <c r="U1036" s="1655" t="s">
        <v>1170</v>
      </c>
      <c r="V1036" s="1655"/>
      <c r="W1036" s="1664" t="s">
        <v>3907</v>
      </c>
      <c r="X1036" s="1723" t="s">
        <v>1175</v>
      </c>
      <c r="Y1036" s="1723" t="s">
        <v>251</v>
      </c>
      <c r="Z1036" s="1657" t="s">
        <v>1170</v>
      </c>
      <c r="AA1036" s="1657" t="s">
        <v>1170</v>
      </c>
      <c r="AB1036" s="1657" t="s">
        <v>1170</v>
      </c>
      <c r="AC1036" s="909" t="s">
        <v>3908</v>
      </c>
      <c r="AD1036" s="1657" t="s">
        <v>1170</v>
      </c>
      <c r="AE1036" s="1828">
        <v>145000</v>
      </c>
    </row>
    <row r="1037" spans="1:32">
      <c r="A1037" s="1648">
        <v>44974</v>
      </c>
      <c r="B1037" s="1655" t="s">
        <v>1168</v>
      </c>
      <c r="C1037" s="1664" t="s">
        <v>3909</v>
      </c>
      <c r="D1037" s="1664" t="s">
        <v>1178</v>
      </c>
      <c r="E1037" s="1655" t="s">
        <v>1168</v>
      </c>
      <c r="F1037" s="1655" t="s">
        <v>1170</v>
      </c>
      <c r="G1037" s="1655" t="s">
        <v>1170</v>
      </c>
      <c r="H1037" s="1655" t="s">
        <v>1170</v>
      </c>
      <c r="I1037" s="1655" t="s">
        <v>1170</v>
      </c>
      <c r="J1037" s="1698" t="s">
        <v>3910</v>
      </c>
      <c r="K1037" s="1664" t="s">
        <v>3911</v>
      </c>
      <c r="L1037" s="1655" t="s">
        <v>1170</v>
      </c>
      <c r="M1037" s="1655" t="s">
        <v>1170</v>
      </c>
      <c r="N1037" s="1655" t="s">
        <v>1170</v>
      </c>
      <c r="O1037" s="1755">
        <v>44287</v>
      </c>
      <c r="P1037" s="1755">
        <v>45016</v>
      </c>
      <c r="Q1037" s="1755">
        <v>45747</v>
      </c>
      <c r="R1037" s="1805">
        <v>39980</v>
      </c>
      <c r="S1037" s="1664" t="s">
        <v>3912</v>
      </c>
      <c r="T1037" s="1655" t="s">
        <v>1170</v>
      </c>
      <c r="U1037" s="1655" t="s">
        <v>1170</v>
      </c>
      <c r="V1037" s="1655"/>
      <c r="W1037" s="1664" t="s">
        <v>3913</v>
      </c>
      <c r="X1037" s="1723" t="s">
        <v>1175</v>
      </c>
      <c r="Y1037" s="1723" t="s">
        <v>251</v>
      </c>
      <c r="Z1037" s="1657" t="s">
        <v>1170</v>
      </c>
      <c r="AA1037" s="1657" t="s">
        <v>1170</v>
      </c>
      <c r="AB1037" s="1657" t="s">
        <v>1170</v>
      </c>
      <c r="AC1037" s="909" t="s">
        <v>3914</v>
      </c>
      <c r="AD1037" s="1657" t="s">
        <v>1170</v>
      </c>
      <c r="AE1037" s="1828">
        <v>39980</v>
      </c>
    </row>
    <row r="1038" spans="1:32">
      <c r="A1038" s="1648">
        <v>44974</v>
      </c>
      <c r="B1038" s="1655" t="s">
        <v>1168</v>
      </c>
      <c r="C1038" s="1664" t="s">
        <v>1177</v>
      </c>
      <c r="D1038" s="1664" t="s">
        <v>1178</v>
      </c>
      <c r="E1038" s="1655" t="s">
        <v>1168</v>
      </c>
      <c r="F1038" s="1655" t="s">
        <v>1170</v>
      </c>
      <c r="G1038" s="1655" t="s">
        <v>1170</v>
      </c>
      <c r="H1038" s="1655" t="s">
        <v>1170</v>
      </c>
      <c r="I1038" s="1655" t="s">
        <v>1170</v>
      </c>
      <c r="J1038" s="1698" t="s">
        <v>1179</v>
      </c>
      <c r="K1038" s="1664" t="s">
        <v>1180</v>
      </c>
      <c r="L1038" s="1655" t="s">
        <v>1170</v>
      </c>
      <c r="M1038" s="1655" t="s">
        <v>1170</v>
      </c>
      <c r="N1038" s="1655" t="s">
        <v>1170</v>
      </c>
      <c r="O1038" s="1755">
        <v>44287</v>
      </c>
      <c r="P1038" s="1755">
        <v>44651</v>
      </c>
      <c r="Q1038" s="1664" t="s">
        <v>1181</v>
      </c>
      <c r="R1038" s="1805">
        <v>40269</v>
      </c>
      <c r="S1038" s="1664" t="s">
        <v>1182</v>
      </c>
      <c r="T1038" s="1655" t="s">
        <v>1170</v>
      </c>
      <c r="U1038" s="1655" t="s">
        <v>1170</v>
      </c>
      <c r="V1038" s="1655"/>
      <c r="W1038" s="1664" t="s">
        <v>3915</v>
      </c>
      <c r="X1038" s="1723" t="s">
        <v>1175</v>
      </c>
      <c r="Y1038" s="1723" t="s">
        <v>251</v>
      </c>
      <c r="Z1038" s="1657" t="s">
        <v>1170</v>
      </c>
      <c r="AA1038" s="1657" t="s">
        <v>1170</v>
      </c>
      <c r="AB1038" s="1657" t="s">
        <v>1170</v>
      </c>
      <c r="AC1038" s="909" t="s">
        <v>3916</v>
      </c>
      <c r="AD1038" s="1657" t="s">
        <v>1170</v>
      </c>
      <c r="AE1038" s="1828">
        <v>40269</v>
      </c>
    </row>
    <row r="1039" spans="1:32">
      <c r="A1039" s="1648">
        <v>44974</v>
      </c>
      <c r="B1039" s="1655" t="s">
        <v>1168</v>
      </c>
      <c r="C1039" s="1664" t="s">
        <v>3917</v>
      </c>
      <c r="D1039" s="1664" t="s">
        <v>1178</v>
      </c>
      <c r="E1039" s="1655" t="s">
        <v>1168</v>
      </c>
      <c r="F1039" s="1655" t="s">
        <v>1170</v>
      </c>
      <c r="G1039" s="1655" t="s">
        <v>1170</v>
      </c>
      <c r="H1039" s="1655" t="s">
        <v>1170</v>
      </c>
      <c r="I1039" s="1655" t="s">
        <v>1170</v>
      </c>
      <c r="J1039" s="1698" t="s">
        <v>3918</v>
      </c>
      <c r="K1039" s="1664" t="s">
        <v>3919</v>
      </c>
      <c r="L1039" s="1655" t="s">
        <v>1170</v>
      </c>
      <c r="M1039" s="1655" t="s">
        <v>1170</v>
      </c>
      <c r="N1039" s="1655" t="s">
        <v>1170</v>
      </c>
      <c r="O1039" s="1755">
        <v>44287</v>
      </c>
      <c r="P1039" s="1755">
        <v>44651</v>
      </c>
      <c r="Q1039" s="1664" t="s">
        <v>1181</v>
      </c>
      <c r="R1039" s="1805">
        <v>28980</v>
      </c>
      <c r="S1039" s="1664" t="s">
        <v>1182</v>
      </c>
      <c r="T1039" s="1655" t="s">
        <v>1170</v>
      </c>
      <c r="U1039" s="1655" t="s">
        <v>1170</v>
      </c>
      <c r="V1039" s="1655"/>
      <c r="W1039" s="1664" t="s">
        <v>1517</v>
      </c>
      <c r="X1039" s="1723" t="s">
        <v>1175</v>
      </c>
      <c r="Y1039" s="1723" t="s">
        <v>251</v>
      </c>
      <c r="Z1039" s="1657" t="s">
        <v>1170</v>
      </c>
      <c r="AA1039" s="1657" t="s">
        <v>1170</v>
      </c>
      <c r="AB1039" s="1657" t="s">
        <v>1170</v>
      </c>
      <c r="AC1039" s="909" t="s">
        <v>3920</v>
      </c>
      <c r="AD1039" s="1657" t="s">
        <v>1170</v>
      </c>
      <c r="AE1039" s="1828">
        <v>28980</v>
      </c>
    </row>
    <row r="1040" spans="1:32">
      <c r="A1040" s="1648">
        <v>44974</v>
      </c>
      <c r="B1040" s="1655" t="s">
        <v>1168</v>
      </c>
      <c r="C1040" s="1664" t="s">
        <v>3921</v>
      </c>
      <c r="D1040" s="1664" t="s">
        <v>1227</v>
      </c>
      <c r="E1040" s="1655" t="s">
        <v>1168</v>
      </c>
      <c r="F1040" s="1655" t="s">
        <v>1170</v>
      </c>
      <c r="G1040" s="1655" t="s">
        <v>1170</v>
      </c>
      <c r="H1040" s="1655" t="s">
        <v>1170</v>
      </c>
      <c r="I1040" s="1655" t="s">
        <v>1170</v>
      </c>
      <c r="J1040" s="1698" t="s">
        <v>3922</v>
      </c>
      <c r="K1040" s="1664" t="s">
        <v>3923</v>
      </c>
      <c r="L1040" s="1655" t="s">
        <v>1170</v>
      </c>
      <c r="M1040" s="1655" t="s">
        <v>1170</v>
      </c>
      <c r="N1040" s="1655" t="s">
        <v>1170</v>
      </c>
      <c r="O1040" s="1755">
        <v>44287</v>
      </c>
      <c r="P1040" s="1755">
        <v>45016</v>
      </c>
      <c r="Q1040" s="1755">
        <v>45747</v>
      </c>
      <c r="R1040" s="1805">
        <v>48000</v>
      </c>
      <c r="S1040" s="1664" t="s">
        <v>1189</v>
      </c>
      <c r="T1040" s="1655" t="s">
        <v>1170</v>
      </c>
      <c r="U1040" s="1655" t="s">
        <v>1170</v>
      </c>
      <c r="V1040" s="1655"/>
      <c r="W1040" s="1664" t="s">
        <v>1174</v>
      </c>
      <c r="X1040" s="1723" t="s">
        <v>1175</v>
      </c>
      <c r="Y1040" s="1723" t="s">
        <v>251</v>
      </c>
      <c r="Z1040" s="1657" t="s">
        <v>1170</v>
      </c>
      <c r="AA1040" s="1657" t="s">
        <v>1170</v>
      </c>
      <c r="AB1040" s="1657" t="s">
        <v>1170</v>
      </c>
      <c r="AC1040" s="909" t="s">
        <v>3924</v>
      </c>
      <c r="AD1040" s="1657" t="s">
        <v>1170</v>
      </c>
      <c r="AE1040" s="1828">
        <v>48000</v>
      </c>
    </row>
    <row r="1041" spans="1:32">
      <c r="A1041" s="1648">
        <v>44974</v>
      </c>
      <c r="B1041" s="1655" t="s">
        <v>1168</v>
      </c>
      <c r="C1041" s="1664" t="s">
        <v>3909</v>
      </c>
      <c r="D1041" s="1664" t="s">
        <v>1178</v>
      </c>
      <c r="E1041" s="1655" t="s">
        <v>1168</v>
      </c>
      <c r="F1041" s="1655" t="s">
        <v>1170</v>
      </c>
      <c r="G1041" s="1655" t="s">
        <v>1170</v>
      </c>
      <c r="H1041" s="1655" t="s">
        <v>1170</v>
      </c>
      <c r="I1041" s="1655" t="s">
        <v>1170</v>
      </c>
      <c r="J1041" s="1698" t="s">
        <v>3910</v>
      </c>
      <c r="K1041" s="1664" t="s">
        <v>3911</v>
      </c>
      <c r="L1041" s="1655" t="s">
        <v>1170</v>
      </c>
      <c r="M1041" s="1655" t="s">
        <v>1170</v>
      </c>
      <c r="N1041" s="1655" t="s">
        <v>1170</v>
      </c>
      <c r="O1041" s="1755">
        <v>44287</v>
      </c>
      <c r="P1041" s="1755">
        <v>45382</v>
      </c>
      <c r="Q1041" s="1755">
        <v>45747</v>
      </c>
      <c r="R1041" s="1805">
        <v>39980</v>
      </c>
      <c r="S1041" s="1664" t="s">
        <v>3912</v>
      </c>
      <c r="T1041" s="1655" t="s">
        <v>1170</v>
      </c>
      <c r="U1041" s="1655" t="s">
        <v>1170</v>
      </c>
      <c r="V1041" s="1655"/>
      <c r="W1041" s="1664" t="s">
        <v>3925</v>
      </c>
      <c r="X1041" s="1723" t="s">
        <v>1175</v>
      </c>
      <c r="Y1041" s="1723" t="s">
        <v>251</v>
      </c>
      <c r="Z1041" s="1657" t="s">
        <v>1170</v>
      </c>
      <c r="AA1041" s="1657" t="s">
        <v>1170</v>
      </c>
      <c r="AB1041" s="1657" t="s">
        <v>1170</v>
      </c>
      <c r="AC1041" s="909" t="s">
        <v>3926</v>
      </c>
      <c r="AD1041" s="1657" t="s">
        <v>1170</v>
      </c>
      <c r="AE1041" s="1828">
        <v>39980</v>
      </c>
    </row>
    <row r="1042" spans="1:32">
      <c r="A1042" s="1648">
        <v>44974</v>
      </c>
      <c r="B1042" s="1655" t="s">
        <v>1168</v>
      </c>
      <c r="C1042" s="1664" t="s">
        <v>3921</v>
      </c>
      <c r="D1042" s="1664" t="s">
        <v>1227</v>
      </c>
      <c r="E1042" s="1655" t="s">
        <v>1168</v>
      </c>
      <c r="F1042" s="1655" t="s">
        <v>1170</v>
      </c>
      <c r="G1042" s="1655" t="s">
        <v>1170</v>
      </c>
      <c r="H1042" s="1655" t="s">
        <v>1170</v>
      </c>
      <c r="I1042" s="1655" t="s">
        <v>1170</v>
      </c>
      <c r="J1042" s="1698" t="s">
        <v>3922</v>
      </c>
      <c r="K1042" s="1664" t="s">
        <v>3923</v>
      </c>
      <c r="L1042" s="1655" t="s">
        <v>1170</v>
      </c>
      <c r="M1042" s="1655" t="s">
        <v>1170</v>
      </c>
      <c r="N1042" s="1655" t="s">
        <v>1170</v>
      </c>
      <c r="O1042" s="1755">
        <v>44287</v>
      </c>
      <c r="P1042" s="1755">
        <v>45382</v>
      </c>
      <c r="Q1042" s="1755">
        <v>45747</v>
      </c>
      <c r="R1042" s="1805">
        <v>48000</v>
      </c>
      <c r="S1042" s="1664" t="s">
        <v>1189</v>
      </c>
      <c r="T1042" s="1655" t="s">
        <v>1170</v>
      </c>
      <c r="U1042" s="1655" t="s">
        <v>1170</v>
      </c>
      <c r="V1042" s="1655"/>
      <c r="W1042" s="1664" t="s">
        <v>3927</v>
      </c>
      <c r="X1042" s="1723" t="s">
        <v>1175</v>
      </c>
      <c r="Y1042" s="1723" t="s">
        <v>251</v>
      </c>
      <c r="Z1042" s="1657" t="s">
        <v>1170</v>
      </c>
      <c r="AA1042" s="1657" t="s">
        <v>1170</v>
      </c>
      <c r="AB1042" s="1657" t="s">
        <v>1170</v>
      </c>
      <c r="AC1042" s="909" t="s">
        <v>3928</v>
      </c>
      <c r="AD1042" s="1657" t="s">
        <v>1170</v>
      </c>
      <c r="AE1042" s="1828">
        <v>48000</v>
      </c>
    </row>
    <row r="1043" spans="1:32" ht="195">
      <c r="A1043" s="911"/>
      <c r="B1043" s="726" t="s">
        <v>56</v>
      </c>
      <c r="C1043" s="726" t="s">
        <v>60</v>
      </c>
      <c r="D1043" s="730" t="s">
        <v>57</v>
      </c>
      <c r="E1043" s="730" t="s">
        <v>449</v>
      </c>
      <c r="F1043" s="808" t="s">
        <v>630</v>
      </c>
      <c r="G1043" s="936" t="s">
        <v>1319</v>
      </c>
      <c r="H1043" s="730" t="s">
        <v>58</v>
      </c>
      <c r="I1043" s="710" t="s">
        <v>47</v>
      </c>
      <c r="J1043" s="728" t="s">
        <v>3929</v>
      </c>
      <c r="K1043" s="730"/>
      <c r="L1043" s="730">
        <v>14</v>
      </c>
      <c r="M1043" s="731" t="s">
        <v>60</v>
      </c>
      <c r="N1043" s="712">
        <f>IF(O1043="tbc","",(IFERROR(EDATE(O1043,-L1043),"Invalid procurement method or date entered")))</f>
        <v>43862</v>
      </c>
      <c r="O1043" s="712">
        <v>44287</v>
      </c>
      <c r="P1043" s="858" t="s">
        <v>60</v>
      </c>
      <c r="Q1043" s="858" t="s">
        <v>60</v>
      </c>
      <c r="R1043" s="772" t="s">
        <v>60</v>
      </c>
      <c r="S1043" s="858" t="s">
        <v>45</v>
      </c>
      <c r="T1043" s="858" t="s">
        <v>62</v>
      </c>
      <c r="U1043" s="712" t="s">
        <v>60</v>
      </c>
      <c r="V1043" s="712"/>
      <c r="W1043" s="710" t="s">
        <v>1637</v>
      </c>
      <c r="X1043" s="922" t="s">
        <v>45</v>
      </c>
      <c r="Y1043" s="900" t="s">
        <v>115</v>
      </c>
      <c r="Z1043" s="900" t="s">
        <v>154</v>
      </c>
      <c r="AA1043" s="889" t="s">
        <v>70</v>
      </c>
      <c r="AB1043" s="1899">
        <v>44690</v>
      </c>
      <c r="AC1043" s="1512" t="s">
        <v>3930</v>
      </c>
      <c r="AD1043" s="1929"/>
      <c r="AE1043" s="1929"/>
      <c r="AF1043" s="906"/>
    </row>
    <row r="1044" spans="1:32" ht="116">
      <c r="A1044" s="1185"/>
      <c r="B1044" s="10"/>
      <c r="C1044" s="10"/>
      <c r="D1044" s="6" t="s">
        <v>57</v>
      </c>
      <c r="E1044" s="6"/>
      <c r="F1044" s="6"/>
      <c r="G1044" s="6"/>
      <c r="H1044" s="8" t="s">
        <v>165</v>
      </c>
      <c r="I1044" s="10" t="s">
        <v>47</v>
      </c>
      <c r="J1044" s="16" t="s">
        <v>3931</v>
      </c>
      <c r="K1044" s="8"/>
      <c r="L1044" s="8" t="e">
        <f>IF(OR(S1044=#REF!,S1044=#REF!,S1044=#REF!,S1044=#REF!,S1044=#REF!,S1044=#REF!,S1044=#REF!,S1044=#REF!),12,IF(OR(S1044=#REF!,S1044=#REF!,S1044=#REF!,S1044=#REF!,S1044=#REF!,S1044=#REF!,S1044=#REF!),3,IF(S1044=#REF!,1,IF(S1044=#REF!,18,IF(OR(S1044=#REF!,S1044=#REF!,S1044=#REF!,S1044=#REF!,S1044=#REF!),14,"Invalid proposed procurement method")))))</f>
        <v>#REF!</v>
      </c>
      <c r="M1044" s="177" t="str">
        <f>IFERROR(EDATE($N1044,-3),"Invalid procurement method or date entered")</f>
        <v>Invalid procurement method or date entered</v>
      </c>
      <c r="N1044" s="177" t="str">
        <f>IFERROR(EDATE(O1044,-L1044),"Invalid procurement method or date entered")</f>
        <v>Invalid procurement method or date entered</v>
      </c>
      <c r="O1044" s="177">
        <v>44288</v>
      </c>
      <c r="P1044" s="10" t="s">
        <v>45</v>
      </c>
      <c r="Q1044" s="10" t="s">
        <v>45</v>
      </c>
      <c r="R1044" s="158" t="s">
        <v>45</v>
      </c>
      <c r="S1044" s="8" t="s">
        <v>45</v>
      </c>
      <c r="T1044" s="266" t="s">
        <v>70</v>
      </c>
      <c r="U1044" s="267" t="s">
        <v>45</v>
      </c>
      <c r="V1044" s="267"/>
      <c r="W1044" s="10" t="s">
        <v>167</v>
      </c>
      <c r="X1044" s="101" t="s">
        <v>543</v>
      </c>
      <c r="Y1044" s="101" t="s">
        <v>40</v>
      </c>
      <c r="Z1044" s="101"/>
      <c r="AA1044" s="101" t="s">
        <v>70</v>
      </c>
      <c r="AB1044" s="354" t="s">
        <v>132</v>
      </c>
      <c r="AC1044" s="1112" t="s">
        <v>3932</v>
      </c>
      <c r="AD1044" s="3" t="s">
        <v>165</v>
      </c>
      <c r="AE1044" s="1147" t="s">
        <v>45</v>
      </c>
    </row>
    <row r="1045" spans="1:32" ht="50">
      <c r="A1045" s="1119"/>
      <c r="B1045" s="577" t="s">
        <v>56</v>
      </c>
      <c r="C1045" s="510" t="s">
        <v>3933</v>
      </c>
      <c r="D1045" s="511" t="s">
        <v>57</v>
      </c>
      <c r="E1045" s="511"/>
      <c r="F1045" s="511"/>
      <c r="G1045" s="511"/>
      <c r="H1045" s="511" t="s">
        <v>58</v>
      </c>
      <c r="I1045" s="510" t="s">
        <v>47</v>
      </c>
      <c r="J1045" s="1580" t="s">
        <v>3934</v>
      </c>
      <c r="K1045" s="533"/>
      <c r="L1045" s="511">
        <v>3</v>
      </c>
      <c r="M1045" s="514">
        <f>IF(O1045="tbc","",(IFERROR(EDATE($N1045,-3),"Invalid procurement method or date entered")))</f>
        <v>44109</v>
      </c>
      <c r="N1045" s="514">
        <f>IF(O1045="tbc","",(IFERROR(EDATE(O1045,-L1045),"Invalid procurement method or date entered")))</f>
        <v>44201</v>
      </c>
      <c r="O1045" s="534">
        <v>44291</v>
      </c>
      <c r="P1045" s="535" t="s">
        <v>60</v>
      </c>
      <c r="Q1045" s="535" t="s">
        <v>60</v>
      </c>
      <c r="R1045" s="528">
        <v>2293867</v>
      </c>
      <c r="S1045" s="515" t="s">
        <v>61</v>
      </c>
      <c r="T1045" s="515" t="s">
        <v>310</v>
      </c>
      <c r="U1045" s="515" t="s">
        <v>60</v>
      </c>
      <c r="V1045" s="515"/>
      <c r="W1045" s="510" t="s">
        <v>3935</v>
      </c>
    </row>
    <row r="1046" spans="1:32" ht="188.5">
      <c r="A1046" s="1185"/>
      <c r="B1046" s="120"/>
      <c r="C1046" s="2770" t="s">
        <v>221</v>
      </c>
      <c r="D1046" s="9" t="s">
        <v>32</v>
      </c>
      <c r="E1046" s="9"/>
      <c r="F1046" s="9"/>
      <c r="G1046" s="9"/>
      <c r="H1046" s="9" t="s">
        <v>33</v>
      </c>
      <c r="I1046" s="15" t="s">
        <v>34</v>
      </c>
      <c r="J1046" s="16" t="s">
        <v>222</v>
      </c>
      <c r="K1046" s="16"/>
      <c r="L1046" s="5" t="e">
        <f>IF(OR(S1046=#REF!,S1046=#REF!,S1046=#REF!,S1046=#REF!,S1046=#REF!,S1046=#REF!,S1046=#REF!,S1046=#REF!),12,IF(OR(S1046=#REF!,S1046=#REF!,S1046=#REF!,S1046=#REF!,S1046=#REF!,S1046=#REF!,S1046=#REF!),3,IF(S1046=#REF!,1,IF(S1046=#REF!,18,IF(OR(S1046=#REF!,S1046=#REF!,S1046=#REF!,S1046=#REF!,S1046=#REF!),14,"Invalid proposed procurement method")))))</f>
        <v>#REF!</v>
      </c>
      <c r="M1046" s="199" t="str">
        <f>IFERROR(EDATE($N1046,-3),"Invalid procurement method or date entered")</f>
        <v>Invalid procurement method or date entered</v>
      </c>
      <c r="N1046" s="199" t="str">
        <f>IFERROR(EDATE(O1046,-L1046),"Invalid procurement method or date entered")</f>
        <v>Invalid procurement method or date entered</v>
      </c>
      <c r="O1046" s="182">
        <v>44293</v>
      </c>
      <c r="P1046" s="12">
        <v>48</v>
      </c>
      <c r="Q1046" s="7" t="s">
        <v>656</v>
      </c>
      <c r="R1046" s="18">
        <v>96000</v>
      </c>
      <c r="S1046" s="5" t="s">
        <v>130</v>
      </c>
      <c r="T1046" s="52" t="s">
        <v>62</v>
      </c>
      <c r="U1046" s="48" t="s">
        <v>67</v>
      </c>
      <c r="V1046" s="48"/>
      <c r="W1046" s="12" t="s">
        <v>2589</v>
      </c>
      <c r="X1046" s="80" t="s">
        <v>39</v>
      </c>
      <c r="Y1046" s="80" t="s">
        <v>40</v>
      </c>
      <c r="Z1046" s="80" t="s">
        <v>69</v>
      </c>
      <c r="AA1046" s="1076" t="s">
        <v>38</v>
      </c>
      <c r="AB1046" s="354" t="s">
        <v>132</v>
      </c>
      <c r="AC1046" s="1111" t="s">
        <v>3936</v>
      </c>
      <c r="AD1046" s="80" t="s">
        <v>164</v>
      </c>
      <c r="AE1046" s="1132">
        <v>24000</v>
      </c>
    </row>
    <row r="1047" spans="1:32" ht="43.5">
      <c r="A1047" s="1184"/>
      <c r="B1047" s="174"/>
      <c r="C1047" s="4" t="s">
        <v>45</v>
      </c>
      <c r="D1047" s="9" t="s">
        <v>32</v>
      </c>
      <c r="E1047" s="9"/>
      <c r="F1047" s="9"/>
      <c r="G1047" s="9"/>
      <c r="H1047" s="5" t="s">
        <v>33</v>
      </c>
      <c r="I1047" s="5" t="s">
        <v>47</v>
      </c>
      <c r="J1047" s="1590" t="s">
        <v>3937</v>
      </c>
      <c r="K1047" s="64"/>
      <c r="L1047" s="5">
        <v>6</v>
      </c>
      <c r="M1047" s="199">
        <f>IFERROR(EDATE($N1047,-3),"Invalid procurement method or date entered")</f>
        <v>44023</v>
      </c>
      <c r="N1047" s="199">
        <f>IFERROR(EDATE(O1047,-L1047),"Invalid procurement method or date entered")</f>
        <v>44115</v>
      </c>
      <c r="O1047" s="182">
        <v>44297</v>
      </c>
      <c r="P1047" s="12">
        <v>12</v>
      </c>
      <c r="Q1047" s="7" t="s">
        <v>50</v>
      </c>
      <c r="R1047" s="18">
        <v>3895.24</v>
      </c>
      <c r="S1047" s="5" t="s">
        <v>37</v>
      </c>
      <c r="T1047" s="52" t="s">
        <v>38</v>
      </c>
      <c r="U1047" s="48" t="s">
        <v>67</v>
      </c>
      <c r="V1047" s="48"/>
      <c r="W1047" s="12" t="s">
        <v>262</v>
      </c>
      <c r="X1047" s="1076" t="s">
        <v>289</v>
      </c>
      <c r="Y1047" s="80" t="s">
        <v>727</v>
      </c>
      <c r="Z1047" s="80" t="s">
        <v>154</v>
      </c>
      <c r="AA1047" s="80" t="s">
        <v>38</v>
      </c>
      <c r="AB1047" s="354" t="s">
        <v>271</v>
      </c>
      <c r="AC1047" s="1111"/>
      <c r="AD1047" s="80" t="s">
        <v>264</v>
      </c>
      <c r="AE1047" s="211">
        <v>3895</v>
      </c>
    </row>
    <row r="1048" spans="1:32" ht="29">
      <c r="A1048" s="1184"/>
      <c r="B1048" s="362" t="s">
        <v>100</v>
      </c>
      <c r="C1048" s="362"/>
      <c r="D1048" s="8" t="s">
        <v>122</v>
      </c>
      <c r="E1048" s="8"/>
      <c r="F1048" s="8"/>
      <c r="G1048" s="8"/>
      <c r="H1048" s="8"/>
      <c r="I1048" s="8" t="s">
        <v>3938</v>
      </c>
      <c r="J1048" s="16" t="s">
        <v>3939</v>
      </c>
      <c r="K1048" s="8"/>
      <c r="L1048" s="84">
        <v>1</v>
      </c>
      <c r="M1048" s="436">
        <f>IFERROR(EDATE(N1048,-3),"Invalid procurement method or date entered")</f>
        <v>44177</v>
      </c>
      <c r="N1048" s="386">
        <f>IFERROR(EDATE(O1048,-L1048),"Invalid procurement method or date entered")</f>
        <v>44267</v>
      </c>
      <c r="O1048" s="367">
        <v>44298</v>
      </c>
      <c r="P1048" s="71">
        <v>24</v>
      </c>
      <c r="Q1048" s="71" t="s">
        <v>3940</v>
      </c>
      <c r="R1048" s="159">
        <v>5000</v>
      </c>
      <c r="S1048" s="5" t="s">
        <v>37</v>
      </c>
      <c r="T1048" s="357" t="s">
        <v>38</v>
      </c>
      <c r="U1048" s="357" t="s">
        <v>45</v>
      </c>
      <c r="V1048" s="357"/>
      <c r="W1048" s="8" t="s">
        <v>2567</v>
      </c>
      <c r="X1048" s="101" t="s">
        <v>189</v>
      </c>
      <c r="Y1048" s="101" t="s">
        <v>115</v>
      </c>
      <c r="Z1048" s="101"/>
      <c r="AA1048" s="1090"/>
      <c r="AB1048" s="1099" t="s">
        <v>70</v>
      </c>
      <c r="AC1048" s="432">
        <v>44078</v>
      </c>
      <c r="AD1048" s="432"/>
      <c r="AE1048" s="432"/>
    </row>
    <row r="1049" spans="1:32" ht="50">
      <c r="A1049" s="1119"/>
      <c r="B1049" s="577" t="s">
        <v>56</v>
      </c>
      <c r="C1049" s="510"/>
      <c r="D1049" s="511" t="s">
        <v>57</v>
      </c>
      <c r="E1049" s="511"/>
      <c r="F1049" s="511"/>
      <c r="G1049" s="511"/>
      <c r="H1049" s="511" t="s">
        <v>58</v>
      </c>
      <c r="I1049" s="510" t="s">
        <v>47</v>
      </c>
      <c r="J1049" s="1580" t="s">
        <v>3941</v>
      </c>
      <c r="K1049" s="533"/>
      <c r="L1049" s="511">
        <v>1</v>
      </c>
      <c r="M1049" s="514">
        <f>IF(O1049="tbc","",(IFERROR(EDATE($N1049,-3),"Invalid procurement method or date entered")))</f>
        <v>44177</v>
      </c>
      <c r="N1049" s="514">
        <f>IF(O1049="tbc","",(IFERROR(EDATE(O1049,-L1049),"Invalid procurement method or date entered")))</f>
        <v>44267</v>
      </c>
      <c r="O1049" s="534">
        <v>44298</v>
      </c>
      <c r="P1049" s="535">
        <v>1</v>
      </c>
      <c r="Q1049" s="535">
        <v>1</v>
      </c>
      <c r="R1049" s="528">
        <v>699423</v>
      </c>
      <c r="S1049" s="515" t="s">
        <v>61</v>
      </c>
      <c r="T1049" s="515" t="s">
        <v>474</v>
      </c>
      <c r="U1049" s="515" t="s">
        <v>60</v>
      </c>
      <c r="V1049" s="515"/>
      <c r="W1049" s="510" t="s">
        <v>3935</v>
      </c>
    </row>
    <row r="1050" spans="1:32" ht="72.5">
      <c r="A1050" s="2756"/>
      <c r="B1050" s="338"/>
      <c r="C1050" s="4" t="s">
        <v>3942</v>
      </c>
      <c r="D1050" s="5" t="s">
        <v>57</v>
      </c>
      <c r="E1050" s="5"/>
      <c r="F1050" s="5"/>
      <c r="G1050" s="5"/>
      <c r="H1050" s="5" t="s">
        <v>496</v>
      </c>
      <c r="I1050" s="5" t="s">
        <v>47</v>
      </c>
      <c r="J1050" s="16" t="s">
        <v>3943</v>
      </c>
      <c r="K1050" s="8"/>
      <c r="L1050" s="5" t="e">
        <f>IF(OR(S1050=#REF!,S1050=#REF!,S1050=#REF!,S1050=#REF!,S1050=#REF!,S1050=#REF!,S1050=#REF!,S1050=#REF!),12,IF(OR(S1050=#REF!,S1050=#REF!,S1050=#REF!,S1050=#REF!,S1050=#REF!,S1050=#REF!,S1050=#REF!),3,IF(S1050=#REF!,1,IF(S1050=#REF!,18,IF(OR(S1050=#REF!,S1050=#REF!,S1050=#REF!,S1050=#REF!,S1050=#REF!),14,"Invalid proposed procurement method")))))</f>
        <v>#REF!</v>
      </c>
      <c r="M1050" s="199">
        <v>44197</v>
      </c>
      <c r="N1050" s="199" t="str">
        <f>IFERROR(EDATE(O1050,-L1050),"Invalid procurement method or date entered")</f>
        <v>Invalid procurement method or date entered</v>
      </c>
      <c r="O1050" s="199">
        <v>44300</v>
      </c>
      <c r="P1050" s="5">
        <v>60</v>
      </c>
      <c r="Q1050" s="5">
        <v>60</v>
      </c>
      <c r="R1050" s="18">
        <v>1244906</v>
      </c>
      <c r="S1050" s="5" t="s">
        <v>158</v>
      </c>
      <c r="T1050" s="5" t="s">
        <v>70</v>
      </c>
      <c r="U1050" s="12"/>
      <c r="V1050" s="12"/>
      <c r="W1050" s="5" t="s">
        <v>798</v>
      </c>
      <c r="X1050" s="80" t="s">
        <v>254</v>
      </c>
      <c r="Y1050" s="80" t="s">
        <v>40</v>
      </c>
      <c r="Z1050" s="80"/>
      <c r="AA1050" s="80" t="s">
        <v>70</v>
      </c>
      <c r="AB1050" s="354" t="s">
        <v>271</v>
      </c>
      <c r="AC1050" s="1110" t="s">
        <v>3944</v>
      </c>
      <c r="AD1050" s="76" t="s">
        <v>165</v>
      </c>
      <c r="AE1050" s="211">
        <v>20000</v>
      </c>
    </row>
    <row r="1051" spans="1:32" ht="58">
      <c r="A1051" s="1184"/>
      <c r="B1051" s="338"/>
      <c r="C1051" s="2770" t="s">
        <v>45</v>
      </c>
      <c r="D1051" s="9" t="s">
        <v>110</v>
      </c>
      <c r="E1051" s="9"/>
      <c r="F1051" s="9"/>
      <c r="G1051" s="9"/>
      <c r="H1051" s="5" t="s">
        <v>33</v>
      </c>
      <c r="I1051" s="5" t="s">
        <v>47</v>
      </c>
      <c r="J1051" s="16" t="s">
        <v>3945</v>
      </c>
      <c r="K1051" s="8"/>
      <c r="L1051" s="5">
        <v>6</v>
      </c>
      <c r="M1051" s="199">
        <f>IFERROR(EDATE($N1051,-3),"Invalid procurement method or date entered")</f>
        <v>44028</v>
      </c>
      <c r="N1051" s="199">
        <f>IFERROR(EDATE(O1051,-L1051),"Invalid procurement method or date entered")</f>
        <v>44120</v>
      </c>
      <c r="O1051" s="14">
        <v>44302</v>
      </c>
      <c r="P1051" s="12">
        <v>36</v>
      </c>
      <c r="Q1051" s="5" t="s">
        <v>160</v>
      </c>
      <c r="R1051" s="18">
        <v>52380</v>
      </c>
      <c r="S1051" s="5" t="s">
        <v>51</v>
      </c>
      <c r="T1051" s="11" t="s">
        <v>38</v>
      </c>
      <c r="U1051" s="15" t="s">
        <v>67</v>
      </c>
      <c r="V1051" s="15"/>
      <c r="W1051" s="5" t="s">
        <v>3946</v>
      </c>
      <c r="X1051" s="1076" t="s">
        <v>162</v>
      </c>
      <c r="Y1051" s="80" t="s">
        <v>40</v>
      </c>
      <c r="Z1051" s="80"/>
      <c r="AA1051" s="80" t="s">
        <v>38</v>
      </c>
      <c r="AB1051" s="354" t="s">
        <v>271</v>
      </c>
      <c r="AC1051" s="1111" t="s">
        <v>3947</v>
      </c>
      <c r="AD1051" s="80" t="s">
        <v>96</v>
      </c>
      <c r="AE1051" s="211">
        <v>17460</v>
      </c>
    </row>
    <row r="1052" spans="1:32">
      <c r="A1052" s="1648">
        <v>44974</v>
      </c>
      <c r="B1052" s="1655" t="s">
        <v>1168</v>
      </c>
      <c r="C1052" s="1664" t="s">
        <v>3948</v>
      </c>
      <c r="D1052" s="1664" t="s">
        <v>1227</v>
      </c>
      <c r="E1052" s="1655" t="s">
        <v>1168</v>
      </c>
      <c r="F1052" s="1655" t="s">
        <v>1170</v>
      </c>
      <c r="G1052" s="1655" t="s">
        <v>1170</v>
      </c>
      <c r="H1052" s="1655" t="s">
        <v>1170</v>
      </c>
      <c r="I1052" s="1655" t="s">
        <v>1170</v>
      </c>
      <c r="J1052" s="1698" t="s">
        <v>3949</v>
      </c>
      <c r="K1052" s="1664" t="s">
        <v>3950</v>
      </c>
      <c r="L1052" s="1655" t="s">
        <v>1170</v>
      </c>
      <c r="M1052" s="1655" t="s">
        <v>1170</v>
      </c>
      <c r="N1052" s="1655" t="s">
        <v>1170</v>
      </c>
      <c r="O1052" s="1755">
        <v>44305</v>
      </c>
      <c r="P1052" s="1755">
        <v>45077</v>
      </c>
      <c r="Q1052" s="1755">
        <v>45443</v>
      </c>
      <c r="R1052" s="1805">
        <v>36000</v>
      </c>
      <c r="S1052" s="1664" t="s">
        <v>1225</v>
      </c>
      <c r="T1052" s="1655" t="s">
        <v>1170</v>
      </c>
      <c r="U1052" s="1655" t="s">
        <v>1170</v>
      </c>
      <c r="V1052" s="1655"/>
      <c r="W1052" s="1664" t="s">
        <v>3951</v>
      </c>
      <c r="X1052" s="1723" t="s">
        <v>1175</v>
      </c>
      <c r="Y1052" s="1723" t="s">
        <v>251</v>
      </c>
      <c r="Z1052" s="1657" t="s">
        <v>1170</v>
      </c>
      <c r="AA1052" s="1657" t="s">
        <v>1170</v>
      </c>
      <c r="AB1052" s="1657" t="s">
        <v>1170</v>
      </c>
      <c r="AC1052" s="909" t="s">
        <v>3952</v>
      </c>
      <c r="AD1052" s="1657" t="s">
        <v>1170</v>
      </c>
      <c r="AE1052" s="1828">
        <v>36000</v>
      </c>
    </row>
    <row r="1053" spans="1:32">
      <c r="A1053" s="1648">
        <v>44974</v>
      </c>
      <c r="B1053" s="1655" t="s">
        <v>1168</v>
      </c>
      <c r="C1053" s="1664" t="s">
        <v>3948</v>
      </c>
      <c r="D1053" s="1664" t="s">
        <v>1227</v>
      </c>
      <c r="E1053" s="1655" t="s">
        <v>1168</v>
      </c>
      <c r="F1053" s="1655" t="s">
        <v>1170</v>
      </c>
      <c r="G1053" s="1655" t="s">
        <v>1170</v>
      </c>
      <c r="H1053" s="1655" t="s">
        <v>1170</v>
      </c>
      <c r="I1053" s="1655" t="s">
        <v>1170</v>
      </c>
      <c r="J1053" s="1698" t="s">
        <v>3949</v>
      </c>
      <c r="K1053" s="1664" t="s">
        <v>3950</v>
      </c>
      <c r="L1053" s="1655" t="s">
        <v>1170</v>
      </c>
      <c r="M1053" s="1655" t="s">
        <v>1170</v>
      </c>
      <c r="N1053" s="1655" t="s">
        <v>1170</v>
      </c>
      <c r="O1053" s="1755">
        <v>44305</v>
      </c>
      <c r="P1053" s="1755">
        <v>45443</v>
      </c>
      <c r="Q1053" s="1755">
        <v>45443</v>
      </c>
      <c r="R1053" s="1805">
        <v>36000</v>
      </c>
      <c r="S1053" s="1664" t="s">
        <v>1225</v>
      </c>
      <c r="T1053" s="1655" t="s">
        <v>1170</v>
      </c>
      <c r="U1053" s="1655" t="s">
        <v>1170</v>
      </c>
      <c r="V1053" s="1655"/>
      <c r="W1053" s="1664" t="s">
        <v>2059</v>
      </c>
      <c r="X1053" s="1723" t="s">
        <v>1175</v>
      </c>
      <c r="Y1053" s="1723" t="s">
        <v>251</v>
      </c>
      <c r="Z1053" s="1657" t="s">
        <v>1170</v>
      </c>
      <c r="AA1053" s="1657" t="s">
        <v>1170</v>
      </c>
      <c r="AB1053" s="1657" t="s">
        <v>1170</v>
      </c>
      <c r="AC1053" s="909" t="s">
        <v>3953</v>
      </c>
      <c r="AD1053" s="1657" t="s">
        <v>1170</v>
      </c>
      <c r="AE1053" s="1828">
        <v>36000</v>
      </c>
    </row>
    <row r="1054" spans="1:32" ht="72.5">
      <c r="A1054" s="2754"/>
      <c r="B1054" s="120"/>
      <c r="C1054" s="4" t="s">
        <v>3261</v>
      </c>
      <c r="D1054" s="5" t="s">
        <v>32</v>
      </c>
      <c r="E1054" s="5"/>
      <c r="F1054" s="5"/>
      <c r="G1054" s="5"/>
      <c r="H1054" s="5" t="s">
        <v>33</v>
      </c>
      <c r="I1054" s="5" t="s">
        <v>47</v>
      </c>
      <c r="J1054" s="16" t="s">
        <v>226</v>
      </c>
      <c r="K1054" s="16"/>
      <c r="L1054" s="5" t="e">
        <f>IF(OR(S1054=#REF!,S1054=#REF!,S1054=#REF!,S1054=#REF!,S1054=#REF!,S1054=#REF!,S1054=#REF!,S1054=#REF!),12,IF(OR(S1054=#REF!,S1054=#REF!,S1054=#REF!,S1054=#REF!,S1054=#REF!,S1054=#REF!,S1054=#REF!),3,IF(S1054=#REF!,1,IF(S1054=#REF!,18,IF(OR(S1054=#REF!,S1054=#REF!,S1054=#REF!,S1054=#REF!,S1054=#REF!),14,"Invalid proposed procurement method")))))</f>
        <v>#REF!</v>
      </c>
      <c r="M1054" s="199" t="str">
        <f>IFERROR(EDATE($N1054,-3),"Invalid procurement method or date entered")</f>
        <v>Invalid procurement method or date entered</v>
      </c>
      <c r="N1054" s="199" t="s">
        <v>2804</v>
      </c>
      <c r="O1054" s="182">
        <v>44306</v>
      </c>
      <c r="P1054" s="12">
        <v>48</v>
      </c>
      <c r="Q1054" s="7"/>
      <c r="R1054" s="18">
        <v>18000</v>
      </c>
      <c r="S1054" s="16" t="s">
        <v>45</v>
      </c>
      <c r="T1054" s="5" t="s">
        <v>38</v>
      </c>
      <c r="U1054" s="14" t="s">
        <v>67</v>
      </c>
      <c r="V1054" s="14"/>
      <c r="W1054" s="12" t="s">
        <v>3954</v>
      </c>
      <c r="X1054" s="80" t="s">
        <v>3955</v>
      </c>
      <c r="Y1054" s="80" t="s">
        <v>40</v>
      </c>
      <c r="Z1054" s="80" t="s">
        <v>154</v>
      </c>
      <c r="AA1054" s="80" t="s">
        <v>70</v>
      </c>
      <c r="AB1054" s="354" t="s">
        <v>271</v>
      </c>
      <c r="AC1054" s="111" t="s">
        <v>3956</v>
      </c>
      <c r="AD1054" s="76" t="s">
        <v>164</v>
      </c>
      <c r="AE1054" s="339" t="s">
        <v>45</v>
      </c>
    </row>
    <row r="1055" spans="1:32" ht="72.5">
      <c r="A1055" s="2756"/>
      <c r="B1055" s="120"/>
      <c r="C1055" s="4" t="s">
        <v>45</v>
      </c>
      <c r="D1055" s="9" t="s">
        <v>32</v>
      </c>
      <c r="E1055" s="9"/>
      <c r="F1055" s="9"/>
      <c r="G1055" s="9"/>
      <c r="H1055" s="5" t="s">
        <v>33</v>
      </c>
      <c r="I1055" s="5" t="s">
        <v>47</v>
      </c>
      <c r="J1055" s="2755" t="s">
        <v>570</v>
      </c>
      <c r="K1055" s="2755"/>
      <c r="L1055" s="5" t="e">
        <f>IF(OR(S1055=#REF!,S1055=#REF!,S1055=#REF!,S1055=#REF!,S1055=#REF!,S1055=#REF!,S1055=#REF!,S1055=#REF!),12,IF(OR(S1055=#REF!,S1055=#REF!,S1055=#REF!,S1055=#REF!,S1055=#REF!,S1055=#REF!,S1055=#REF!),3,IF(S1055=#REF!,1,IF(S1055=#REF!,18,IF(OR(S1055=#REF!,S1055=#REF!,S1055=#REF!,S1055=#REF!,S1055=#REF!),14,"Invalid proposed procurement method")))))</f>
        <v>#REF!</v>
      </c>
      <c r="M1055" s="199" t="str">
        <f>IFERROR(EDATE($N1055,-3),"Invalid procurement method or date entered")</f>
        <v>Invalid procurement method or date entered</v>
      </c>
      <c r="N1055" s="199" t="str">
        <f>IFERROR(EDATE(O1055,-L1055),"Invalid procurement method or date entered")</f>
        <v>Invalid procurement method or date entered</v>
      </c>
      <c r="O1055" s="2764">
        <v>44312</v>
      </c>
      <c r="P1055" s="2763">
        <v>12</v>
      </c>
      <c r="Q1055" s="2763">
        <v>12</v>
      </c>
      <c r="R1055" s="2826">
        <v>707.5</v>
      </c>
      <c r="S1055" s="2751" t="s">
        <v>37</v>
      </c>
      <c r="T1055" s="2763" t="s">
        <v>38</v>
      </c>
      <c r="U1055" s="2763" t="s">
        <v>67</v>
      </c>
      <c r="V1055" s="2763"/>
      <c r="W1055" s="5" t="s">
        <v>383</v>
      </c>
      <c r="X1055" s="2765" t="s">
        <v>289</v>
      </c>
      <c r="Y1055" s="2765" t="s">
        <v>115</v>
      </c>
      <c r="Z1055" s="80" t="s">
        <v>154</v>
      </c>
      <c r="AA1055" s="80" t="s">
        <v>38</v>
      </c>
      <c r="AB1055" s="354" t="s">
        <v>271</v>
      </c>
      <c r="AC1055" s="2900" t="s">
        <v>571</v>
      </c>
      <c r="AD1055" s="80" t="s">
        <v>385</v>
      </c>
      <c r="AE1055" s="339">
        <v>3250000</v>
      </c>
    </row>
    <row r="1056" spans="1:32" ht="50">
      <c r="A1056" s="1119"/>
      <c r="B1056" s="577" t="s">
        <v>56</v>
      </c>
      <c r="C1056" s="510" t="s">
        <v>3957</v>
      </c>
      <c r="D1056" s="511" t="s">
        <v>122</v>
      </c>
      <c r="E1056" s="511"/>
      <c r="F1056" s="511"/>
      <c r="G1056" s="511"/>
      <c r="H1056" s="511" t="s">
        <v>308</v>
      </c>
      <c r="I1056" s="519" t="s">
        <v>47</v>
      </c>
      <c r="J1056" s="1578" t="s">
        <v>3958</v>
      </c>
      <c r="K1056" s="512"/>
      <c r="L1056" s="511">
        <v>12</v>
      </c>
      <c r="M1056" s="514">
        <f>IF(O1056="tbc","",(IFERROR(EDATE($N1056,-3),"Invalid procurement method or date entered")))</f>
        <v>43856</v>
      </c>
      <c r="N1056" s="514">
        <f>IF(O1056="tbc","",(IFERROR(EDATE(O1056,-L1056),"Invalid procurement method or date entered")))</f>
        <v>43947</v>
      </c>
      <c r="O1056" s="515">
        <v>44312</v>
      </c>
      <c r="P1056" s="516">
        <v>5</v>
      </c>
      <c r="Q1056" s="516">
        <v>5</v>
      </c>
      <c r="R1056" s="528">
        <v>370000</v>
      </c>
      <c r="S1056" s="515" t="s">
        <v>75</v>
      </c>
      <c r="T1056" s="515" t="s">
        <v>60</v>
      </c>
      <c r="U1056" s="515" t="s">
        <v>60</v>
      </c>
      <c r="V1056" s="515"/>
      <c r="W1056" s="569" t="s">
        <v>532</v>
      </c>
    </row>
    <row r="1057" spans="1:31" ht="43.5">
      <c r="A1057" s="1185"/>
      <c r="B1057" s="338"/>
      <c r="C1057" s="4" t="s">
        <v>45</v>
      </c>
      <c r="D1057" s="9" t="s">
        <v>32</v>
      </c>
      <c r="E1057" s="9"/>
      <c r="F1057" s="9"/>
      <c r="G1057" s="9"/>
      <c r="H1057" s="5" t="s">
        <v>33</v>
      </c>
      <c r="I1057" s="5" t="s">
        <v>47</v>
      </c>
      <c r="J1057" s="1590" t="s">
        <v>3959</v>
      </c>
      <c r="K1057" s="64"/>
      <c r="L1057" s="5">
        <v>6</v>
      </c>
      <c r="M1057" s="199">
        <f>IFERROR(EDATE($N1057,-3),"Invalid procurement method or date entered")</f>
        <v>44042</v>
      </c>
      <c r="N1057" s="199">
        <f>IFERROR(EDATE(O1057,-L1057),"Invalid procurement method or date entered")</f>
        <v>44134</v>
      </c>
      <c r="O1057" s="182">
        <v>44316</v>
      </c>
      <c r="P1057" s="12">
        <v>12</v>
      </c>
      <c r="Q1057" s="7" t="s">
        <v>50</v>
      </c>
      <c r="R1057" s="18">
        <v>466.2</v>
      </c>
      <c r="S1057" s="5" t="s">
        <v>37</v>
      </c>
      <c r="T1057" s="52" t="s">
        <v>38</v>
      </c>
      <c r="U1057" s="48" t="s">
        <v>67</v>
      </c>
      <c r="V1057" s="48"/>
      <c r="W1057" s="12" t="s">
        <v>262</v>
      </c>
      <c r="X1057" s="1076" t="s">
        <v>289</v>
      </c>
      <c r="Y1057" s="80" t="s">
        <v>727</v>
      </c>
      <c r="Z1057" s="80" t="s">
        <v>154</v>
      </c>
      <c r="AA1057" s="80" t="s">
        <v>38</v>
      </c>
      <c r="AB1057" s="354" t="s">
        <v>271</v>
      </c>
      <c r="AC1057" s="1111"/>
      <c r="AD1057" s="80" t="s">
        <v>264</v>
      </c>
      <c r="AE1057" s="339">
        <v>466</v>
      </c>
    </row>
    <row r="1058" spans="1:31" ht="159.5">
      <c r="A1058" s="2756"/>
      <c r="B1058" s="2755"/>
      <c r="C1058" s="2755" t="s">
        <v>45</v>
      </c>
      <c r="D1058" s="5" t="s">
        <v>32</v>
      </c>
      <c r="E1058" s="5"/>
      <c r="F1058" s="5"/>
      <c r="G1058" s="5"/>
      <c r="H1058" s="5" t="s">
        <v>33</v>
      </c>
      <c r="I1058" s="15" t="s">
        <v>268</v>
      </c>
      <c r="J1058" s="2752" t="s">
        <v>2503</v>
      </c>
      <c r="K1058" s="2752"/>
      <c r="L1058" s="5">
        <v>1</v>
      </c>
      <c r="M1058" s="199">
        <f>IFERROR(EDATE($N1058,-3),"Invalid procurement method or date entered")</f>
        <v>44195</v>
      </c>
      <c r="N1058" s="199">
        <f>IFERROR(EDATE(O1058,-L1058),"Invalid procurement method or date entered")</f>
        <v>44285</v>
      </c>
      <c r="O1058" s="2764">
        <v>44316</v>
      </c>
      <c r="P1058" s="2763" t="s">
        <v>45</v>
      </c>
      <c r="Q1058" s="2763" t="s">
        <v>45</v>
      </c>
      <c r="R1058" s="2763" t="s">
        <v>45</v>
      </c>
      <c r="S1058" s="2752" t="s">
        <v>270</v>
      </c>
      <c r="T1058" s="2763" t="s">
        <v>38</v>
      </c>
      <c r="U1058" s="2763" t="s">
        <v>67</v>
      </c>
      <c r="V1058" s="2763"/>
      <c r="W1058" s="2763" t="s">
        <v>239</v>
      </c>
      <c r="X1058" s="2765" t="s">
        <v>39</v>
      </c>
      <c r="Y1058" s="2765" t="s">
        <v>727</v>
      </c>
      <c r="Z1058" s="2765" t="s">
        <v>154</v>
      </c>
      <c r="AA1058" s="2765" t="s">
        <v>38</v>
      </c>
      <c r="AB1058" s="354" t="s">
        <v>143</v>
      </c>
      <c r="AC1058" s="2761" t="s">
        <v>3960</v>
      </c>
      <c r="AD1058" s="80" t="s">
        <v>240</v>
      </c>
      <c r="AE1058" s="1132">
        <v>10800</v>
      </c>
    </row>
    <row r="1059" spans="1:31" ht="72.5">
      <c r="A1059" s="1183"/>
      <c r="B1059" s="120"/>
      <c r="C1059" s="4" t="s">
        <v>3961</v>
      </c>
      <c r="D1059" s="9" t="s">
        <v>32</v>
      </c>
      <c r="E1059" s="9"/>
      <c r="F1059" s="9"/>
      <c r="G1059" s="9"/>
      <c r="H1059" s="5" t="s">
        <v>33</v>
      </c>
      <c r="I1059" s="5" t="s">
        <v>47</v>
      </c>
      <c r="J1059" s="16" t="s">
        <v>3962</v>
      </c>
      <c r="K1059" s="16"/>
      <c r="L1059" s="5" t="e">
        <f>IF(OR(S1059=#REF!,S1059=#REF!,S1059=#REF!,S1059=#REF!,S1059=#REF!,S1059=#REF!,S1059=#REF!,S1059=#REF!),12,IF(OR(S1059=#REF!,S1059=#REF!,S1059=#REF!,S1059=#REF!,S1059=#REF!,S1059=#REF!,S1059=#REF!),3,IF(S1059=#REF!,1,IF(S1059=#REF!,18,IF(OR(S1059=#REF!,S1059=#REF!,S1059=#REF!,S1059=#REF!,S1059=#REF!),14,"Invalid proposed procurement method")))))</f>
        <v>#REF!</v>
      </c>
      <c r="M1059" s="199">
        <v>44209</v>
      </c>
      <c r="N1059" s="199" t="str">
        <f>IFERROR(EDATE(O1059,-L1059),"Invalid procurement method or date entered")</f>
        <v>Invalid procurement method or date entered</v>
      </c>
      <c r="O1059" s="182">
        <v>44316</v>
      </c>
      <c r="P1059" s="12">
        <v>36</v>
      </c>
      <c r="Q1059" s="12">
        <v>36</v>
      </c>
      <c r="R1059" s="18">
        <v>32219.59</v>
      </c>
      <c r="S1059" s="5" t="s">
        <v>84</v>
      </c>
      <c r="T1059" s="5" t="s">
        <v>38</v>
      </c>
      <c r="U1059" s="12" t="s">
        <v>67</v>
      </c>
      <c r="V1059" s="12"/>
      <c r="W1059" s="46" t="s">
        <v>262</v>
      </c>
      <c r="X1059" s="80" t="s">
        <v>543</v>
      </c>
      <c r="Y1059" s="80" t="s">
        <v>40</v>
      </c>
      <c r="Z1059" s="80"/>
      <c r="AA1059" s="80"/>
      <c r="AB1059" s="354" t="s">
        <v>271</v>
      </c>
      <c r="AC1059" s="101" t="s">
        <v>3963</v>
      </c>
      <c r="AD1059" s="80" t="s">
        <v>264</v>
      </c>
      <c r="AE1059" s="211"/>
    </row>
    <row r="1060" spans="1:31" ht="101.5">
      <c r="A1060" s="1184"/>
      <c r="B1060" s="338"/>
      <c r="C1060" s="10" t="s">
        <v>629</v>
      </c>
      <c r="D1060" s="5" t="s">
        <v>32</v>
      </c>
      <c r="E1060" s="5"/>
      <c r="F1060" s="5"/>
      <c r="G1060" s="5"/>
      <c r="H1060" s="5" t="s">
        <v>33</v>
      </c>
      <c r="I1060" s="5" t="s">
        <v>47</v>
      </c>
      <c r="J1060" s="16" t="s">
        <v>3964</v>
      </c>
      <c r="K1060" s="16"/>
      <c r="L1060" s="5" t="e">
        <f>IF(OR(S1060=#REF!,S1060=#REF!,S1060=#REF!,S1060=#REF!,S1060=#REF!,S1060=#REF!,S1060=#REF!,S1060=#REF!),12,IF(OR(S1060=#REF!,S1060=#REF!,S1060=#REF!,S1060=#REF!,S1060=#REF!,S1060=#REF!,S1060=#REF!),3,IF(S1060=#REF!,1,IF(S1060=#REF!,18,IF(OR(S1060=#REF!,S1060=#REF!,S1060=#REF!,S1060=#REF!,S1060=#REF!),14,"Invalid proposed procurement method")))))</f>
        <v>#REF!</v>
      </c>
      <c r="M1060" s="199" t="str">
        <f>IFERROR(EDATE($N1060,-3),"Invalid procurement method or date entered")</f>
        <v>Invalid procurement method or date entered</v>
      </c>
      <c r="N1060" s="199" t="str">
        <f>IFERROR(EDATE(O1060,-L1060),"Invalid procurement method or date entered")</f>
        <v>Invalid procurement method or date entered</v>
      </c>
      <c r="O1060" s="14">
        <v>44317</v>
      </c>
      <c r="P1060" s="12">
        <v>35</v>
      </c>
      <c r="Q1060" s="5" t="s">
        <v>3965</v>
      </c>
      <c r="R1060" s="18">
        <v>184652</v>
      </c>
      <c r="S1060" s="5" t="s">
        <v>84</v>
      </c>
      <c r="T1060" s="14" t="s">
        <v>62</v>
      </c>
      <c r="U1060" s="14" t="s">
        <v>67</v>
      </c>
      <c r="V1060" s="14"/>
      <c r="W1060" s="5" t="s">
        <v>633</v>
      </c>
      <c r="X1060" s="80" t="s">
        <v>543</v>
      </c>
      <c r="Y1060" s="80" t="s">
        <v>40</v>
      </c>
      <c r="Z1060" s="80"/>
      <c r="AA1060" s="80" t="s">
        <v>70</v>
      </c>
      <c r="AB1060" s="354" t="s">
        <v>41</v>
      </c>
      <c r="AC1060" s="101" t="s">
        <v>3966</v>
      </c>
      <c r="AD1060" s="76" t="s">
        <v>165</v>
      </c>
      <c r="AE1060" s="197" t="s">
        <v>3464</v>
      </c>
    </row>
    <row r="1061" spans="1:31" ht="72.5">
      <c r="A1061" s="1184"/>
      <c r="B1061" s="338"/>
      <c r="C1061" s="4" t="s">
        <v>2633</v>
      </c>
      <c r="D1061" s="5" t="s">
        <v>32</v>
      </c>
      <c r="E1061" s="5"/>
      <c r="F1061" s="5"/>
      <c r="G1061" s="5"/>
      <c r="H1061" s="5" t="s">
        <v>33</v>
      </c>
      <c r="I1061" s="5" t="s">
        <v>47</v>
      </c>
      <c r="J1061" s="16" t="s">
        <v>2557</v>
      </c>
      <c r="K1061" s="8"/>
      <c r="L1061" s="8"/>
      <c r="M1061" s="199">
        <v>43922</v>
      </c>
      <c r="N1061" s="199"/>
      <c r="O1061" s="182">
        <v>44317</v>
      </c>
      <c r="P1061" s="12">
        <v>6</v>
      </c>
      <c r="Q1061" s="12">
        <v>6</v>
      </c>
      <c r="R1061" s="12">
        <v>6</v>
      </c>
      <c r="S1061" s="5" t="s">
        <v>37</v>
      </c>
      <c r="T1061" s="41" t="s">
        <v>38</v>
      </c>
      <c r="U1061" s="12" t="s">
        <v>67</v>
      </c>
      <c r="V1061" s="12"/>
      <c r="W1061" s="5" t="s">
        <v>3967</v>
      </c>
      <c r="X1061" s="80" t="s">
        <v>86</v>
      </c>
      <c r="Y1061" s="80" t="s">
        <v>40</v>
      </c>
      <c r="Z1061" s="80"/>
      <c r="AA1061" s="2773"/>
      <c r="AB1061" s="354" t="s">
        <v>3016</v>
      </c>
      <c r="AC1061" s="101" t="s">
        <v>3968</v>
      </c>
      <c r="AD1061" s="76" t="s">
        <v>3120</v>
      </c>
      <c r="AE1061" s="2773"/>
    </row>
    <row r="1062" spans="1:31" ht="43.5">
      <c r="A1062" s="1185"/>
      <c r="B1062" s="4"/>
      <c r="C1062" s="4" t="s">
        <v>45</v>
      </c>
      <c r="D1062" s="9" t="s">
        <v>32</v>
      </c>
      <c r="E1062" s="9"/>
      <c r="F1062" s="9"/>
      <c r="G1062" s="9"/>
      <c r="H1062" s="5" t="s">
        <v>46</v>
      </c>
      <c r="I1062" s="5" t="s">
        <v>47</v>
      </c>
      <c r="J1062" s="16" t="s">
        <v>3969</v>
      </c>
      <c r="K1062" s="16"/>
      <c r="L1062" s="5">
        <v>6</v>
      </c>
      <c r="M1062" s="199">
        <f t="shared" ref="M1062:M1067" si="9">IFERROR(EDATE($N1062,-3),"Invalid procurement method or date entered")</f>
        <v>44044</v>
      </c>
      <c r="N1062" s="199">
        <f t="shared" ref="N1062:N1067" si="10">IFERROR(EDATE(O1062,-L1062),"Invalid procurement method or date entered")</f>
        <v>44136</v>
      </c>
      <c r="O1062" s="182">
        <v>44317</v>
      </c>
      <c r="P1062" s="12">
        <v>3</v>
      </c>
      <c r="Q1062" s="13" t="s">
        <v>2165</v>
      </c>
      <c r="R1062" s="18">
        <v>10500</v>
      </c>
      <c r="S1062" s="5" t="s">
        <v>37</v>
      </c>
      <c r="T1062" s="5" t="s">
        <v>38</v>
      </c>
      <c r="U1062" s="12" t="s">
        <v>67</v>
      </c>
      <c r="V1062" s="12"/>
      <c r="W1062" s="5" t="s">
        <v>3970</v>
      </c>
      <c r="X1062" s="80" t="s">
        <v>715</v>
      </c>
      <c r="Y1062" s="80" t="s">
        <v>40</v>
      </c>
      <c r="Z1062" s="80" t="s">
        <v>154</v>
      </c>
      <c r="AA1062" s="80" t="s">
        <v>38</v>
      </c>
      <c r="AB1062" s="354" t="s">
        <v>271</v>
      </c>
      <c r="AC1062" s="101" t="s">
        <v>3971</v>
      </c>
      <c r="AD1062" s="76" t="s">
        <v>46</v>
      </c>
      <c r="AE1062" s="211">
        <v>10500</v>
      </c>
    </row>
    <row r="1063" spans="1:31" ht="72.5">
      <c r="A1063" s="2754"/>
      <c r="B1063" s="4"/>
      <c r="C1063" s="147" t="s">
        <v>623</v>
      </c>
      <c r="D1063" s="5" t="s">
        <v>122</v>
      </c>
      <c r="E1063" s="31"/>
      <c r="F1063" s="31"/>
      <c r="G1063" s="31"/>
      <c r="H1063" s="31" t="s">
        <v>33</v>
      </c>
      <c r="I1063" s="5" t="s">
        <v>47</v>
      </c>
      <c r="J1063" s="16" t="s">
        <v>3972</v>
      </c>
      <c r="K1063" s="8"/>
      <c r="L1063" s="5" t="e">
        <f>IF(OR(S1063=#REF!,S1063=#REF!,S1063=#REF!,S1063=#REF!,S1063=#REF!,S1063=#REF!,S1063=#REF!,S1063=#REF!),12,IF(OR(S1063=#REF!,S1063=#REF!,S1063=#REF!,S1063=#REF!,S1063=#REF!,S1063=#REF!,S1063=#REF!),3,IF(S1063=#REF!,1,IF(S1063=#REF!,18,IF(OR(S1063=#REF!,S1063=#REF!,S1063=#REF!,S1063=#REF!,S1063=#REF!),14,"Invalid proposed procurement method")))))</f>
        <v>#REF!</v>
      </c>
      <c r="M1063" s="199" t="str">
        <f t="shared" si="9"/>
        <v>Invalid procurement method or date entered</v>
      </c>
      <c r="N1063" s="199" t="str">
        <f t="shared" si="10"/>
        <v>Invalid procurement method or date entered</v>
      </c>
      <c r="O1063" s="182">
        <v>44317</v>
      </c>
      <c r="P1063" s="12">
        <v>48</v>
      </c>
      <c r="Q1063" s="5" t="s">
        <v>215</v>
      </c>
      <c r="R1063" s="18">
        <v>120000</v>
      </c>
      <c r="S1063" s="5" t="s">
        <v>75</v>
      </c>
      <c r="T1063" s="53" t="s">
        <v>62</v>
      </c>
      <c r="U1063" s="53" t="s">
        <v>67</v>
      </c>
      <c r="V1063" s="53"/>
      <c r="W1063" s="5" t="s">
        <v>627</v>
      </c>
      <c r="X1063" s="80" t="s">
        <v>86</v>
      </c>
      <c r="Y1063" s="80" t="s">
        <v>40</v>
      </c>
      <c r="Z1063" s="80" t="s">
        <v>69</v>
      </c>
      <c r="AA1063" s="80" t="s">
        <v>70</v>
      </c>
      <c r="AB1063" s="354" t="s">
        <v>271</v>
      </c>
      <c r="AC1063" s="101" t="s">
        <v>3973</v>
      </c>
      <c r="AD1063" s="80" t="s">
        <v>145</v>
      </c>
      <c r="AE1063" s="211">
        <v>30000</v>
      </c>
    </row>
    <row r="1064" spans="1:31" ht="43.5">
      <c r="A1064" s="2756"/>
      <c r="B1064" s="2763"/>
      <c r="C1064" s="2875" t="s">
        <v>3974</v>
      </c>
      <c r="D1064" s="2763" t="s">
        <v>32</v>
      </c>
      <c r="E1064" s="2763"/>
      <c r="F1064" s="2763"/>
      <c r="G1064" s="2763"/>
      <c r="H1064" s="2763" t="s">
        <v>1670</v>
      </c>
      <c r="I1064" s="2763" t="s">
        <v>47</v>
      </c>
      <c r="J1064" s="2752" t="s">
        <v>857</v>
      </c>
      <c r="K1064" s="2751"/>
      <c r="L1064" s="2763">
        <v>3</v>
      </c>
      <c r="M1064" s="199">
        <f t="shared" si="9"/>
        <v>44136</v>
      </c>
      <c r="N1064" s="199">
        <f t="shared" si="10"/>
        <v>44228</v>
      </c>
      <c r="O1064" s="2764">
        <v>44317</v>
      </c>
      <c r="P1064" s="2763">
        <v>30</v>
      </c>
      <c r="Q1064" s="2763" t="s">
        <v>3199</v>
      </c>
      <c r="R1064" s="2826">
        <v>84000</v>
      </c>
      <c r="S1064" s="2751" t="s">
        <v>51</v>
      </c>
      <c r="T1064" s="2763" t="s">
        <v>38</v>
      </c>
      <c r="U1064" s="2763" t="s">
        <v>67</v>
      </c>
      <c r="V1064" s="2763"/>
      <c r="W1064" s="2763" t="s">
        <v>617</v>
      </c>
      <c r="X1064" s="2765" t="s">
        <v>254</v>
      </c>
      <c r="Y1064" s="2765" t="s">
        <v>40</v>
      </c>
      <c r="Z1064" s="2765"/>
      <c r="AA1064" s="2765" t="s">
        <v>70</v>
      </c>
      <c r="AB1064" s="354" t="s">
        <v>271</v>
      </c>
      <c r="AC1064" s="2760" t="s">
        <v>3975</v>
      </c>
      <c r="AD1064" s="2765" t="s">
        <v>860</v>
      </c>
      <c r="AE1064" s="2765"/>
    </row>
    <row r="1065" spans="1:31" ht="72.5">
      <c r="A1065" s="2754"/>
      <c r="B1065" s="4"/>
      <c r="C1065" s="4" t="s">
        <v>221</v>
      </c>
      <c r="D1065" s="9" t="s">
        <v>32</v>
      </c>
      <c r="E1065" s="9"/>
      <c r="F1065" s="9"/>
      <c r="G1065" s="9"/>
      <c r="H1065" s="9" t="s">
        <v>33</v>
      </c>
      <c r="I1065" s="5" t="s">
        <v>268</v>
      </c>
      <c r="J1065" s="268" t="s">
        <v>222</v>
      </c>
      <c r="K1065" s="268"/>
      <c r="L1065" s="5" t="e">
        <f>IF(OR(S1065=#REF!,S1065=#REF!,S1065=#REF!,S1065=#REF!,S1065=#REF!,S1065=#REF!,S1065=#REF!,S1065=#REF!),12,IF(OR(S1065=#REF!,S1065=#REF!,S1065=#REF!,S1065=#REF!,S1065=#REF!,S1065=#REF!,S1065=#REF!),3,IF(S1065=#REF!,1,IF(S1065=#REF!,18,IF(OR(S1065=#REF!,S1065=#REF!,S1065=#REF!,S1065=#REF!,S1065=#REF!),14,"Invalid proposed procurement method")))))</f>
        <v>#REF!</v>
      </c>
      <c r="M1065" s="199" t="str">
        <f t="shared" si="9"/>
        <v>Invalid procurement method or date entered</v>
      </c>
      <c r="N1065" s="199" t="str">
        <f t="shared" si="10"/>
        <v>Invalid procurement method or date entered</v>
      </c>
      <c r="O1065" s="182">
        <v>44317</v>
      </c>
      <c r="P1065" s="12"/>
      <c r="Q1065" s="12"/>
      <c r="R1065" s="41">
        <v>96000</v>
      </c>
      <c r="S1065" s="183" t="s">
        <v>270</v>
      </c>
      <c r="T1065" s="52" t="s">
        <v>62</v>
      </c>
      <c r="U1065" s="48" t="s">
        <v>67</v>
      </c>
      <c r="V1065" s="48"/>
      <c r="W1065" s="12" t="s">
        <v>2589</v>
      </c>
      <c r="X1065" s="80" t="s">
        <v>39</v>
      </c>
      <c r="Y1065" s="80" t="s">
        <v>40</v>
      </c>
      <c r="Z1065" s="80" t="s">
        <v>69</v>
      </c>
      <c r="AA1065" s="80" t="s">
        <v>38</v>
      </c>
      <c r="AB1065" s="354" t="s">
        <v>143</v>
      </c>
      <c r="AC1065" s="993" t="s">
        <v>380</v>
      </c>
      <c r="AD1065" s="80" t="s">
        <v>164</v>
      </c>
      <c r="AE1065" s="2765"/>
    </row>
    <row r="1066" spans="1:31" ht="87">
      <c r="A1066" s="2754"/>
      <c r="B1066" s="4"/>
      <c r="C1066" s="4" t="s">
        <v>3976</v>
      </c>
      <c r="D1066" s="9" t="s">
        <v>32</v>
      </c>
      <c r="E1066" s="9"/>
      <c r="F1066" s="9"/>
      <c r="G1066" s="9"/>
      <c r="H1066" s="9" t="s">
        <v>33</v>
      </c>
      <c r="I1066" s="15" t="s">
        <v>47</v>
      </c>
      <c r="J1066" s="16" t="s">
        <v>3977</v>
      </c>
      <c r="K1066" s="16"/>
      <c r="L1066" s="5" t="e">
        <f>IF(OR(S1066=#REF!,S1066=#REF!,S1066=#REF!,S1066=#REF!,S1066=#REF!,S1066=#REF!,S1066=#REF!,S1066=#REF!),12,IF(OR(S1066=#REF!,S1066=#REF!,S1066=#REF!,S1066=#REF!,S1066=#REF!,S1066=#REF!,S1066=#REF!),3,IF(S1066=#REF!,1,IF(S1066=#REF!,18,IF(OR(S1066=#REF!,S1066=#REF!,S1066=#REF!,S1066=#REF!,S1066=#REF!),14,"Invalid proposed procurement method")))))</f>
        <v>#REF!</v>
      </c>
      <c r="M1066" s="199" t="str">
        <f t="shared" si="9"/>
        <v>Invalid procurement method or date entered</v>
      </c>
      <c r="N1066" s="199" t="str">
        <f t="shared" si="10"/>
        <v>Invalid procurement method or date entered</v>
      </c>
      <c r="O1066" s="49">
        <v>44317</v>
      </c>
      <c r="P1066" s="15">
        <v>12</v>
      </c>
      <c r="Q1066" s="269" t="s">
        <v>50</v>
      </c>
      <c r="R1066" s="18">
        <v>17640</v>
      </c>
      <c r="S1066" s="5" t="s">
        <v>37</v>
      </c>
      <c r="T1066" s="9" t="s">
        <v>38</v>
      </c>
      <c r="U1066" s="15" t="s">
        <v>67</v>
      </c>
      <c r="V1066" s="15"/>
      <c r="W1066" s="9" t="s">
        <v>2474</v>
      </c>
      <c r="X1066" s="80" t="s">
        <v>543</v>
      </c>
      <c r="Y1066" s="80" t="s">
        <v>40</v>
      </c>
      <c r="Z1066" s="80" t="s">
        <v>154</v>
      </c>
      <c r="AA1066" s="1077" t="s">
        <v>38</v>
      </c>
      <c r="AB1066" s="354">
        <v>44312</v>
      </c>
      <c r="AC1066" s="101" t="s">
        <v>3978</v>
      </c>
      <c r="AD1066" s="80" t="s">
        <v>96</v>
      </c>
      <c r="AE1066" s="339"/>
    </row>
    <row r="1067" spans="1:31" ht="72.5">
      <c r="A1067" s="1184"/>
      <c r="B1067" s="338"/>
      <c r="C1067" s="16" t="s">
        <v>3979</v>
      </c>
      <c r="D1067" s="5" t="s">
        <v>57</v>
      </c>
      <c r="E1067" s="5"/>
      <c r="F1067" s="5"/>
      <c r="G1067" s="5"/>
      <c r="H1067" s="5" t="s">
        <v>46</v>
      </c>
      <c r="I1067" s="5" t="s">
        <v>47</v>
      </c>
      <c r="J1067" s="16" t="s">
        <v>3630</v>
      </c>
      <c r="K1067" s="16"/>
      <c r="L1067" s="5" t="e">
        <f>IF(OR(S1067=#REF!,S1067=#REF!,S1067=#REF!,S1067=#REF!,S1067=#REF!,S1067=#REF!,S1067=#REF!,S1067=#REF!),12,IF(OR(S1067=#REF!,S1067=#REF!,S1067=#REF!,S1067=#REF!,S1067=#REF!,S1067=#REF!,S1067=#REF!),3,IF(S1067=#REF!,1,IF(S1067=#REF!,18,IF(OR(S1067=#REF!,S1067=#REF!,S1067=#REF!,S1067=#REF!,S1067=#REF!),14,"Invalid proposed procurement method")))))</f>
        <v>#REF!</v>
      </c>
      <c r="M1067" s="199" t="str">
        <f t="shared" si="9"/>
        <v>Invalid procurement method or date entered</v>
      </c>
      <c r="N1067" s="199" t="str">
        <f t="shared" si="10"/>
        <v>Invalid procurement method or date entered</v>
      </c>
      <c r="O1067" s="199">
        <v>44317</v>
      </c>
      <c r="P1067" s="5">
        <v>60</v>
      </c>
      <c r="Q1067" s="7" t="s">
        <v>171</v>
      </c>
      <c r="R1067" s="18">
        <v>400000</v>
      </c>
      <c r="S1067" s="5" t="s">
        <v>158</v>
      </c>
      <c r="T1067" s="51" t="s">
        <v>62</v>
      </c>
      <c r="U1067" s="51" t="s">
        <v>67</v>
      </c>
      <c r="V1067" s="51"/>
      <c r="W1067" s="5" t="s">
        <v>789</v>
      </c>
      <c r="X1067" s="1076" t="s">
        <v>94</v>
      </c>
      <c r="Y1067" s="80" t="s">
        <v>727</v>
      </c>
      <c r="Z1067" s="80"/>
      <c r="AA1067" s="80" t="s">
        <v>38</v>
      </c>
      <c r="AB1067" s="354" t="s">
        <v>271</v>
      </c>
      <c r="AC1067" s="101" t="s">
        <v>442</v>
      </c>
      <c r="AD1067" s="76" t="s">
        <v>46</v>
      </c>
      <c r="AE1067" s="211"/>
    </row>
    <row r="1068" spans="1:31">
      <c r="A1068" s="1184"/>
      <c r="B1068" s="362" t="s">
        <v>100</v>
      </c>
      <c r="C1068" s="336"/>
      <c r="D1068" s="8" t="s">
        <v>110</v>
      </c>
      <c r="E1068" s="118"/>
      <c r="F1068" s="118"/>
      <c r="G1068" s="118"/>
      <c r="H1068" s="118" t="s">
        <v>103</v>
      </c>
      <c r="I1068" s="8" t="s">
        <v>47</v>
      </c>
      <c r="J1068" s="16" t="s">
        <v>3980</v>
      </c>
      <c r="K1068" s="8"/>
      <c r="L1068" s="120"/>
      <c r="M1068" s="120"/>
      <c r="N1068" s="120"/>
      <c r="O1068" s="367">
        <v>44317</v>
      </c>
      <c r="P1068" s="120"/>
      <c r="Q1068" s="120"/>
      <c r="R1068" s="457">
        <v>10000</v>
      </c>
      <c r="S1068" s="396" t="s">
        <v>176</v>
      </c>
      <c r="T1068" s="365" t="s">
        <v>38</v>
      </c>
      <c r="U1068" s="365" t="s">
        <v>71</v>
      </c>
      <c r="V1068" s="365"/>
      <c r="W1068" s="120" t="s">
        <v>3981</v>
      </c>
      <c r="X1068" t="s">
        <v>189</v>
      </c>
      <c r="Y1068" t="s">
        <v>727</v>
      </c>
      <c r="AA1068" s="1095"/>
      <c r="AC1068" s="1119">
        <v>44333</v>
      </c>
      <c r="AD1068" s="1119"/>
      <c r="AE1068" s="1119"/>
    </row>
    <row r="1069" spans="1:31" ht="50">
      <c r="A1069" s="1119"/>
      <c r="B1069" s="577" t="s">
        <v>56</v>
      </c>
      <c r="C1069" s="510"/>
      <c r="D1069" s="511" t="s">
        <v>57</v>
      </c>
      <c r="E1069" s="511"/>
      <c r="F1069" s="511"/>
      <c r="G1069" s="511"/>
      <c r="H1069" s="511" t="s">
        <v>58</v>
      </c>
      <c r="I1069" s="510" t="s">
        <v>47</v>
      </c>
      <c r="J1069" s="1580" t="s">
        <v>3982</v>
      </c>
      <c r="K1069" s="533"/>
      <c r="L1069" s="511">
        <v>3</v>
      </c>
      <c r="M1069" s="514">
        <f t="shared" ref="M1069:M1074" si="11">IF(O1069="tbc","",(IFERROR(EDATE($N1069,-3),"Invalid procurement method or date entered")))</f>
        <v>44136</v>
      </c>
      <c r="N1069" s="514">
        <f t="shared" ref="N1069:N1074" si="12">IF(O1069="tbc","",(IFERROR(EDATE(O1069,-L1069),"Invalid procurement method or date entered")))</f>
        <v>44228</v>
      </c>
      <c r="O1069" s="534">
        <v>44317</v>
      </c>
      <c r="P1069" s="535" t="s">
        <v>60</v>
      </c>
      <c r="Q1069" s="535" t="s">
        <v>60</v>
      </c>
      <c r="R1069" s="528">
        <v>250000</v>
      </c>
      <c r="S1069" s="515" t="s">
        <v>61</v>
      </c>
      <c r="T1069" s="515"/>
      <c r="U1069" s="515" t="s">
        <v>60</v>
      </c>
      <c r="V1069" s="515"/>
      <c r="W1069" s="510" t="s">
        <v>3935</v>
      </c>
    </row>
    <row r="1070" spans="1:31" ht="37.5">
      <c r="A1070" s="1119"/>
      <c r="B1070" s="577" t="s">
        <v>56</v>
      </c>
      <c r="C1070" s="510" t="s">
        <v>3983</v>
      </c>
      <c r="D1070" s="511" t="s">
        <v>57</v>
      </c>
      <c r="E1070" s="511"/>
      <c r="F1070" s="511"/>
      <c r="G1070" s="511"/>
      <c r="H1070" s="511" t="s">
        <v>58</v>
      </c>
      <c r="I1070" s="510" t="s">
        <v>34</v>
      </c>
      <c r="J1070" s="1580" t="s">
        <v>3984</v>
      </c>
      <c r="K1070" s="533"/>
      <c r="L1070" s="511">
        <v>12</v>
      </c>
      <c r="M1070" s="514">
        <f t="shared" si="11"/>
        <v>43862</v>
      </c>
      <c r="N1070" s="514">
        <f t="shared" si="12"/>
        <v>43952</v>
      </c>
      <c r="O1070" s="534">
        <v>44317</v>
      </c>
      <c r="P1070" s="535">
        <f>36+24+24</f>
        <v>84</v>
      </c>
      <c r="Q1070" s="535" t="s">
        <v>1455</v>
      </c>
      <c r="R1070" s="528">
        <f>150000*7</f>
        <v>1050000</v>
      </c>
      <c r="S1070" s="510" t="s">
        <v>130</v>
      </c>
      <c r="T1070" s="515" t="s">
        <v>310</v>
      </c>
      <c r="U1070" s="515" t="s">
        <v>60</v>
      </c>
      <c r="V1070" s="515"/>
      <c r="W1070" s="569" t="s">
        <v>532</v>
      </c>
    </row>
    <row r="1071" spans="1:31" ht="50">
      <c r="A1071" s="1119"/>
      <c r="B1071" s="577" t="s">
        <v>56</v>
      </c>
      <c r="C1071" s="510" t="s">
        <v>3985</v>
      </c>
      <c r="D1071" s="511" t="s">
        <v>122</v>
      </c>
      <c r="E1071" s="511"/>
      <c r="F1071" s="511"/>
      <c r="G1071" s="511"/>
      <c r="H1071" s="511" t="s">
        <v>308</v>
      </c>
      <c r="I1071" s="519" t="s">
        <v>47</v>
      </c>
      <c r="J1071" s="1578" t="s">
        <v>3986</v>
      </c>
      <c r="K1071" s="512"/>
      <c r="L1071" s="511">
        <v>1</v>
      </c>
      <c r="M1071" s="514">
        <f t="shared" si="11"/>
        <v>44197</v>
      </c>
      <c r="N1071" s="514">
        <f t="shared" si="12"/>
        <v>44287</v>
      </c>
      <c r="O1071" s="515">
        <v>44317</v>
      </c>
      <c r="P1071" s="516" t="s">
        <v>60</v>
      </c>
      <c r="Q1071" s="516" t="s">
        <v>60</v>
      </c>
      <c r="R1071" s="528">
        <v>790000</v>
      </c>
      <c r="S1071" s="515" t="s">
        <v>75</v>
      </c>
      <c r="T1071" s="515" t="s">
        <v>62</v>
      </c>
      <c r="U1071" s="515" t="s">
        <v>60</v>
      </c>
      <c r="V1071" s="515"/>
      <c r="W1071" s="569" t="s">
        <v>532</v>
      </c>
    </row>
    <row r="1072" spans="1:31" ht="50">
      <c r="A1072" s="1119"/>
      <c r="B1072" s="577" t="s">
        <v>56</v>
      </c>
      <c r="C1072" s="510" t="s">
        <v>3987</v>
      </c>
      <c r="D1072" s="511" t="s">
        <v>348</v>
      </c>
      <c r="E1072" s="511"/>
      <c r="F1072" s="511"/>
      <c r="G1072" s="511"/>
      <c r="H1072" s="511" t="s">
        <v>58</v>
      </c>
      <c r="I1072" s="510" t="s">
        <v>47</v>
      </c>
      <c r="J1072" s="1580" t="s">
        <v>3988</v>
      </c>
      <c r="K1072" s="990"/>
      <c r="L1072" s="511">
        <v>3</v>
      </c>
      <c r="M1072" s="514">
        <f t="shared" si="11"/>
        <v>44136</v>
      </c>
      <c r="N1072" s="514">
        <f t="shared" si="12"/>
        <v>44228</v>
      </c>
      <c r="O1072" s="534">
        <v>44317</v>
      </c>
      <c r="P1072" s="535">
        <v>2</v>
      </c>
      <c r="Q1072" s="535">
        <v>2</v>
      </c>
      <c r="R1072" s="528">
        <v>1469000</v>
      </c>
      <c r="S1072" s="515" t="s">
        <v>61</v>
      </c>
      <c r="T1072" s="515" t="s">
        <v>474</v>
      </c>
      <c r="U1072" s="515" t="s">
        <v>60</v>
      </c>
      <c r="V1072" s="515"/>
      <c r="W1072" s="394" t="s">
        <v>70</v>
      </c>
    </row>
    <row r="1073" spans="1:31" ht="50">
      <c r="A1073" s="1119"/>
      <c r="B1073" s="577" t="s">
        <v>56</v>
      </c>
      <c r="C1073" s="511" t="s">
        <v>3989</v>
      </c>
      <c r="D1073" s="511" t="s">
        <v>57</v>
      </c>
      <c r="E1073" s="511"/>
      <c r="F1073" s="511"/>
      <c r="G1073" s="511"/>
      <c r="H1073" s="511" t="s">
        <v>58</v>
      </c>
      <c r="I1073" s="519" t="s">
        <v>47</v>
      </c>
      <c r="J1073" s="606" t="s">
        <v>3990</v>
      </c>
      <c r="K1073" s="529"/>
      <c r="L1073" s="511">
        <v>3</v>
      </c>
      <c r="M1073" s="514">
        <f t="shared" si="11"/>
        <v>44139</v>
      </c>
      <c r="N1073" s="514">
        <f t="shared" si="12"/>
        <v>44231</v>
      </c>
      <c r="O1073" s="514">
        <v>44320</v>
      </c>
      <c r="P1073" s="536" t="s">
        <v>60</v>
      </c>
      <c r="Q1073" s="536" t="s">
        <v>60</v>
      </c>
      <c r="R1073" s="538">
        <v>2405742.6</v>
      </c>
      <c r="S1073" s="515" t="s">
        <v>61</v>
      </c>
      <c r="T1073" s="515" t="s">
        <v>310</v>
      </c>
      <c r="U1073" s="511" t="s">
        <v>60</v>
      </c>
      <c r="V1073" s="511"/>
      <c r="W1073" s="520"/>
    </row>
    <row r="1074" spans="1:31" ht="100">
      <c r="A1074" s="1119"/>
      <c r="B1074" s="577" t="s">
        <v>56</v>
      </c>
      <c r="C1074" s="510"/>
      <c r="D1074" s="511" t="s">
        <v>57</v>
      </c>
      <c r="E1074" s="511"/>
      <c r="F1074" s="511"/>
      <c r="G1074" s="511"/>
      <c r="H1074" s="511" t="s">
        <v>58</v>
      </c>
      <c r="I1074" s="510" t="s">
        <v>47</v>
      </c>
      <c r="J1074" s="1580" t="s">
        <v>3991</v>
      </c>
      <c r="K1074" s="533"/>
      <c r="L1074" s="511">
        <v>3</v>
      </c>
      <c r="M1074" s="514">
        <f t="shared" si="11"/>
        <v>44145</v>
      </c>
      <c r="N1074" s="514">
        <f t="shared" si="12"/>
        <v>44237</v>
      </c>
      <c r="O1074" s="534">
        <v>44326</v>
      </c>
      <c r="P1074" s="535" t="s">
        <v>60</v>
      </c>
      <c r="Q1074" s="535" t="s">
        <v>60</v>
      </c>
      <c r="R1074" s="528">
        <v>905381</v>
      </c>
      <c r="S1074" s="515" t="s">
        <v>61</v>
      </c>
      <c r="T1074" s="515" t="s">
        <v>310</v>
      </c>
      <c r="U1074" s="515" t="s">
        <v>60</v>
      </c>
      <c r="V1074" s="515"/>
      <c r="W1074" s="510" t="s">
        <v>3935</v>
      </c>
    </row>
    <row r="1075" spans="1:31" ht="72.5">
      <c r="A1075" s="2754"/>
      <c r="B1075" s="4"/>
      <c r="C1075" s="4" t="s">
        <v>534</v>
      </c>
      <c r="D1075" s="5" t="s">
        <v>32</v>
      </c>
      <c r="E1075" s="5"/>
      <c r="F1075" s="5"/>
      <c r="G1075" s="5"/>
      <c r="H1075" s="5" t="s">
        <v>33</v>
      </c>
      <c r="I1075" s="5" t="s">
        <v>47</v>
      </c>
      <c r="J1075" s="16" t="s">
        <v>535</v>
      </c>
      <c r="K1075" s="8"/>
      <c r="L1075" s="5" t="e">
        <f>IF(OR(S1075=#REF!,S1075=#REF!,S1075=#REF!,S1075=#REF!,S1075=#REF!,S1075=#REF!,S1075=#REF!,S1075=#REF!),12,IF(OR(S1075=#REF!,S1075=#REF!,S1075=#REF!,S1075=#REF!,S1075=#REF!,S1075=#REF!,S1075=#REF!),3,IF(S1075=#REF!,1,IF(S1075=#REF!,18,IF(OR(S1075=#REF!,S1075=#REF!,S1075=#REF!,S1075=#REF!,S1075=#REF!),14,"Invalid proposed procurement method")))))</f>
        <v>#REF!</v>
      </c>
      <c r="M1075" s="199" t="str">
        <f>IFERROR(EDATE($N1075,-3),"Invalid procurement method or date entered")</f>
        <v>Invalid procurement method or date entered</v>
      </c>
      <c r="N1075" s="199" t="str">
        <f>IFERROR(EDATE(O1075,-L1075),"Invalid procurement method or date entered")</f>
        <v>Invalid procurement method or date entered</v>
      </c>
      <c r="O1075" s="199">
        <v>44327</v>
      </c>
      <c r="P1075" s="5">
        <v>24</v>
      </c>
      <c r="Q1075" s="7" t="s">
        <v>1345</v>
      </c>
      <c r="R1075" s="1040">
        <v>40000</v>
      </c>
      <c r="S1075" s="5" t="s">
        <v>51</v>
      </c>
      <c r="T1075" s="5" t="s">
        <v>38</v>
      </c>
      <c r="U1075" s="12" t="s">
        <v>67</v>
      </c>
      <c r="V1075" s="12"/>
      <c r="W1075" s="5" t="s">
        <v>142</v>
      </c>
      <c r="X1075" s="80" t="s">
        <v>86</v>
      </c>
      <c r="Y1075" s="80" t="s">
        <v>40</v>
      </c>
      <c r="Z1075" s="80" t="s">
        <v>69</v>
      </c>
      <c r="AA1075" s="80" t="s">
        <v>70</v>
      </c>
      <c r="AB1075" s="354" t="s">
        <v>271</v>
      </c>
      <c r="AC1075" s="101" t="s">
        <v>89</v>
      </c>
      <c r="AD1075" s="80" t="s">
        <v>145</v>
      </c>
      <c r="AE1075" s="339">
        <v>20000</v>
      </c>
    </row>
    <row r="1076" spans="1:31">
      <c r="A1076" s="1648">
        <v>44974</v>
      </c>
      <c r="B1076" s="1655" t="s">
        <v>1168</v>
      </c>
      <c r="C1076" s="1664" t="s">
        <v>3992</v>
      </c>
      <c r="D1076" s="1664" t="s">
        <v>2054</v>
      </c>
      <c r="E1076" s="1655" t="s">
        <v>1168</v>
      </c>
      <c r="F1076" s="1655" t="s">
        <v>1170</v>
      </c>
      <c r="G1076" s="1655" t="s">
        <v>1170</v>
      </c>
      <c r="H1076" s="1655" t="s">
        <v>1170</v>
      </c>
      <c r="I1076" s="1655" t="s">
        <v>1170</v>
      </c>
      <c r="J1076" s="1698" t="s">
        <v>3993</v>
      </c>
      <c r="K1076" s="1664" t="s">
        <v>3994</v>
      </c>
      <c r="L1076" s="1655" t="s">
        <v>1170</v>
      </c>
      <c r="M1076" s="1655" t="s">
        <v>1170</v>
      </c>
      <c r="N1076" s="1655" t="s">
        <v>1170</v>
      </c>
      <c r="O1076" s="1755">
        <v>44333</v>
      </c>
      <c r="P1076" s="1766">
        <v>44582</v>
      </c>
      <c r="Q1076" s="1664" t="s">
        <v>3995</v>
      </c>
      <c r="R1076" s="1805">
        <v>835715</v>
      </c>
      <c r="S1076" s="1664" t="s">
        <v>3996</v>
      </c>
      <c r="T1076" s="1655" t="s">
        <v>1170</v>
      </c>
      <c r="U1076" s="1655" t="s">
        <v>1170</v>
      </c>
      <c r="V1076" s="1655"/>
      <c r="W1076" s="1664" t="s">
        <v>3997</v>
      </c>
      <c r="X1076" s="1723" t="s">
        <v>1175</v>
      </c>
      <c r="Y1076" s="1723" t="s">
        <v>251</v>
      </c>
      <c r="Z1076" s="1657" t="s">
        <v>1170</v>
      </c>
      <c r="AA1076" s="1657" t="s">
        <v>1170</v>
      </c>
      <c r="AB1076" s="1657" t="s">
        <v>1170</v>
      </c>
      <c r="AC1076" s="909" t="s">
        <v>3998</v>
      </c>
      <c r="AD1076" s="1657" t="s">
        <v>1170</v>
      </c>
      <c r="AE1076" s="1828">
        <v>835715</v>
      </c>
    </row>
    <row r="1077" spans="1:31">
      <c r="A1077" s="1648">
        <v>44974</v>
      </c>
      <c r="B1077" s="1655" t="s">
        <v>1168</v>
      </c>
      <c r="C1077" s="1664" t="s">
        <v>3999</v>
      </c>
      <c r="D1077" s="1664" t="s">
        <v>1254</v>
      </c>
      <c r="E1077" s="1655" t="s">
        <v>1168</v>
      </c>
      <c r="F1077" s="1655" t="s">
        <v>1170</v>
      </c>
      <c r="G1077" s="1655" t="s">
        <v>1170</v>
      </c>
      <c r="H1077" s="1655" t="s">
        <v>1170</v>
      </c>
      <c r="I1077" s="1655" t="s">
        <v>1170</v>
      </c>
      <c r="J1077" s="1698" t="s">
        <v>4000</v>
      </c>
      <c r="K1077" s="1664" t="s">
        <v>4001</v>
      </c>
      <c r="L1077" s="1655" t="s">
        <v>1170</v>
      </c>
      <c r="M1077" s="1657" t="s">
        <v>1170</v>
      </c>
      <c r="N1077" s="1657" t="s">
        <v>1170</v>
      </c>
      <c r="O1077" s="1766">
        <v>44334</v>
      </c>
      <c r="P1077" s="1755">
        <v>44394</v>
      </c>
      <c r="Q1077" s="1664" t="s">
        <v>589</v>
      </c>
      <c r="R1077" s="1805">
        <v>133995</v>
      </c>
      <c r="S1077" s="1664" t="s">
        <v>1189</v>
      </c>
      <c r="T1077" s="1655" t="s">
        <v>1170</v>
      </c>
      <c r="U1077" s="1655" t="s">
        <v>1170</v>
      </c>
      <c r="V1077" s="1655"/>
      <c r="W1077" s="1664" t="s">
        <v>2583</v>
      </c>
      <c r="X1077" s="1723" t="s">
        <v>1175</v>
      </c>
      <c r="Y1077" s="1723" t="s">
        <v>251</v>
      </c>
      <c r="Z1077" s="1657" t="s">
        <v>1170</v>
      </c>
      <c r="AA1077" s="1657" t="s">
        <v>1170</v>
      </c>
      <c r="AB1077" s="1657" t="s">
        <v>1170</v>
      </c>
      <c r="AC1077" s="909" t="s">
        <v>4002</v>
      </c>
      <c r="AD1077" s="1657" t="s">
        <v>1170</v>
      </c>
      <c r="AE1077" s="1828">
        <v>133995</v>
      </c>
    </row>
    <row r="1078" spans="1:31">
      <c r="A1078" s="1648">
        <v>44974</v>
      </c>
      <c r="B1078" s="1655" t="s">
        <v>1168</v>
      </c>
      <c r="C1078" s="1664" t="s">
        <v>1185</v>
      </c>
      <c r="D1078" s="1664" t="s">
        <v>1178</v>
      </c>
      <c r="E1078" s="1655" t="s">
        <v>1168</v>
      </c>
      <c r="F1078" s="1655" t="s">
        <v>1170</v>
      </c>
      <c r="G1078" s="1655" t="s">
        <v>1170</v>
      </c>
      <c r="H1078" s="1655" t="s">
        <v>1170</v>
      </c>
      <c r="I1078" s="1655" t="s">
        <v>1170</v>
      </c>
      <c r="J1078" s="1698" t="s">
        <v>1186</v>
      </c>
      <c r="K1078" s="1664" t="s">
        <v>1187</v>
      </c>
      <c r="L1078" s="1655" t="s">
        <v>1170</v>
      </c>
      <c r="M1078" s="1655" t="s">
        <v>1170</v>
      </c>
      <c r="N1078" s="1655" t="s">
        <v>1170</v>
      </c>
      <c r="O1078" s="1755">
        <v>44336</v>
      </c>
      <c r="P1078" s="1755">
        <v>44700</v>
      </c>
      <c r="Q1078" s="1664" t="s">
        <v>4003</v>
      </c>
      <c r="R1078" s="1805">
        <v>40360</v>
      </c>
      <c r="S1078" s="1664" t="s">
        <v>1189</v>
      </c>
      <c r="T1078" s="1655" t="s">
        <v>1170</v>
      </c>
      <c r="U1078" s="1655" t="s">
        <v>1170</v>
      </c>
      <c r="V1078" s="1655"/>
      <c r="W1078" s="1664" t="s">
        <v>1081</v>
      </c>
      <c r="X1078" s="1723" t="s">
        <v>1175</v>
      </c>
      <c r="Y1078" s="1723" t="s">
        <v>251</v>
      </c>
      <c r="Z1078" s="1657" t="s">
        <v>1170</v>
      </c>
      <c r="AA1078" s="1657" t="s">
        <v>1170</v>
      </c>
      <c r="AB1078" s="1657" t="s">
        <v>1170</v>
      </c>
      <c r="AC1078" s="909" t="s">
        <v>4004</v>
      </c>
      <c r="AD1078" s="1657" t="s">
        <v>1170</v>
      </c>
      <c r="AE1078" s="1828">
        <v>40360</v>
      </c>
    </row>
    <row r="1079" spans="1:31" ht="72.5">
      <c r="A1079" s="1185"/>
      <c r="B1079" s="120"/>
      <c r="C1079" s="4" t="s">
        <v>4005</v>
      </c>
      <c r="D1079" s="9" t="s">
        <v>32</v>
      </c>
      <c r="E1079" s="9"/>
      <c r="F1079" s="9"/>
      <c r="G1079" s="9"/>
      <c r="H1079" s="5" t="s">
        <v>127</v>
      </c>
      <c r="I1079" s="5" t="s">
        <v>34</v>
      </c>
      <c r="J1079" s="16" t="s">
        <v>2041</v>
      </c>
      <c r="K1079" s="8"/>
      <c r="L1079" s="5" t="e">
        <f>IF(OR(S1079=#REF!,S1079=#REF!,S1079=#REF!,S1079=#REF!,S1079=#REF!,S1079=#REF!,S1079=#REF!,S1079=#REF!),12,IF(OR(S1079=#REF!,S1079=#REF!,S1079=#REF!,S1079=#REF!,S1079=#REF!,S1079=#REF!,S1079=#REF!),3,IF(S1079=#REF!,1,IF(S1079=#REF!,18,IF(OR(S1079=#REF!,S1079=#REF!,S1079=#REF!,S1079=#REF!,S1079=#REF!),14,"Invalid proposed procurement method")))))</f>
        <v>#REF!</v>
      </c>
      <c r="M1079" s="199" t="str">
        <f>IFERROR(EDATE($N1079,-3),"Invalid procurement method or date entered")</f>
        <v>Invalid procurement method or date entered</v>
      </c>
      <c r="N1079" s="199" t="str">
        <f>IFERROR(EDATE(O1079,-L1079),"Invalid procurement method or date entered")</f>
        <v>Invalid procurement method or date entered</v>
      </c>
      <c r="O1079" s="199">
        <v>44337</v>
      </c>
      <c r="P1079" s="5">
        <v>120</v>
      </c>
      <c r="Q1079" s="5" t="s">
        <v>4006</v>
      </c>
      <c r="R1079" s="18">
        <v>6140000</v>
      </c>
      <c r="S1079" s="5" t="s">
        <v>130</v>
      </c>
      <c r="T1079" s="52" t="s">
        <v>70</v>
      </c>
      <c r="U1079" s="48" t="s">
        <v>45</v>
      </c>
      <c r="V1079" s="48"/>
      <c r="W1079" s="5" t="s">
        <v>4007</v>
      </c>
      <c r="X1079" s="80"/>
      <c r="Y1079" s="80" t="s">
        <v>115</v>
      </c>
      <c r="Z1079" s="80" t="s">
        <v>87</v>
      </c>
      <c r="AA1079" s="80" t="s">
        <v>70</v>
      </c>
      <c r="AB1079" s="354" t="s">
        <v>271</v>
      </c>
      <c r="AC1079" s="101" t="s">
        <v>4008</v>
      </c>
      <c r="AD1079" s="76" t="s">
        <v>127</v>
      </c>
      <c r="AE1079" s="211">
        <v>614000</v>
      </c>
    </row>
    <row r="1080" spans="1:31" ht="72.5">
      <c r="A1080" s="1185"/>
      <c r="B1080" s="4"/>
      <c r="C1080" s="4" t="s">
        <v>4009</v>
      </c>
      <c r="D1080" s="9" t="s">
        <v>32</v>
      </c>
      <c r="E1080" s="9"/>
      <c r="F1080" s="9"/>
      <c r="G1080" s="9"/>
      <c r="H1080" s="5" t="s">
        <v>33</v>
      </c>
      <c r="I1080" s="5" t="s">
        <v>47</v>
      </c>
      <c r="J1080" s="16" t="s">
        <v>4010</v>
      </c>
      <c r="K1080" s="8"/>
      <c r="L1080" s="5" t="e">
        <f>IF(OR(S1080=#REF!,S1080=#REF!,S1080=#REF!,S1080=#REF!,S1080=#REF!,S1080=#REF!,S1080=#REF!,S1080=#REF!),12,IF(OR(S1080=#REF!,S1080=#REF!,S1080=#REF!,S1080=#REF!,S1080=#REF!,S1080=#REF!,S1080=#REF!),3,IF(S1080=#REF!,1,IF(S1080=#REF!,18,IF(OR(S1080=#REF!,S1080=#REF!,S1080=#REF!,S1080=#REF!,S1080=#REF!),14,"Invalid proposed procurement method")))))</f>
        <v>#REF!</v>
      </c>
      <c r="M1080" s="199" t="str">
        <f>IFERROR(EDATE($N1080,-3),"Invalid procurement method or date entered")</f>
        <v>Invalid procurement method or date entered</v>
      </c>
      <c r="N1080" s="199" t="str">
        <f>IFERROR(EDATE(O1080,-L1080),"Invalid procurement method or date entered")</f>
        <v>Invalid procurement method or date entered</v>
      </c>
      <c r="O1080" s="199">
        <v>44340</v>
      </c>
      <c r="P1080" s="12">
        <v>48</v>
      </c>
      <c r="Q1080" s="12" t="s">
        <v>215</v>
      </c>
      <c r="R1080" s="94">
        <v>63312</v>
      </c>
      <c r="S1080" s="5" t="s">
        <v>84</v>
      </c>
      <c r="T1080" s="51" t="s">
        <v>62</v>
      </c>
      <c r="U1080" s="51" t="s">
        <v>67</v>
      </c>
      <c r="V1080" s="51"/>
      <c r="W1080" s="5" t="s">
        <v>440</v>
      </c>
      <c r="X1080" s="80" t="s">
        <v>543</v>
      </c>
      <c r="Y1080" s="80" t="s">
        <v>40</v>
      </c>
      <c r="Z1080" s="80" t="s">
        <v>87</v>
      </c>
      <c r="AA1080" s="80" t="s">
        <v>70</v>
      </c>
      <c r="AB1080" s="354" t="s">
        <v>271</v>
      </c>
      <c r="AC1080" s="101" t="s">
        <v>4011</v>
      </c>
      <c r="AD1080" s="80" t="s">
        <v>443</v>
      </c>
      <c r="AE1080" s="2901">
        <v>15828</v>
      </c>
    </row>
    <row r="1081" spans="1:31" ht="37.5">
      <c r="A1081" s="1119"/>
      <c r="B1081" s="577" t="s">
        <v>56</v>
      </c>
      <c r="C1081" s="510" t="s">
        <v>3280</v>
      </c>
      <c r="D1081" s="511" t="s">
        <v>122</v>
      </c>
      <c r="E1081" s="511"/>
      <c r="F1081" s="511"/>
      <c r="G1081" s="511"/>
      <c r="H1081" s="511" t="s">
        <v>308</v>
      </c>
      <c r="I1081" s="519" t="s">
        <v>47</v>
      </c>
      <c r="J1081" s="1578" t="s">
        <v>4012</v>
      </c>
      <c r="K1081" s="512"/>
      <c r="L1081" s="511">
        <v>12</v>
      </c>
      <c r="M1081" s="514">
        <f>IF(O1081="tbc","",(IFERROR(EDATE($N1081,-3),"Invalid procurement method or date entered")))</f>
        <v>43885</v>
      </c>
      <c r="N1081" s="514">
        <f>IF(O1081="tbc","",(IFERROR(EDATE(O1081,-L1081),"Invalid procurement method or date entered")))</f>
        <v>43975</v>
      </c>
      <c r="O1081" s="515">
        <v>44340</v>
      </c>
      <c r="P1081" s="516">
        <v>13</v>
      </c>
      <c r="Q1081" s="516">
        <v>13</v>
      </c>
      <c r="R1081" s="528">
        <v>5517000</v>
      </c>
      <c r="S1081" s="515" t="s">
        <v>91</v>
      </c>
      <c r="T1081" s="515" t="s">
        <v>310</v>
      </c>
      <c r="U1081" s="515" t="s">
        <v>60</v>
      </c>
      <c r="V1081" s="515"/>
      <c r="W1081" s="569" t="s">
        <v>577</v>
      </c>
    </row>
    <row r="1082" spans="1:31">
      <c r="A1082" s="1648">
        <v>44974</v>
      </c>
      <c r="B1082" s="1655" t="s">
        <v>1168</v>
      </c>
      <c r="C1082" s="1664" t="s">
        <v>4013</v>
      </c>
      <c r="D1082" s="1664" t="s">
        <v>1254</v>
      </c>
      <c r="E1082" s="1655" t="s">
        <v>1168</v>
      </c>
      <c r="F1082" s="1655" t="s">
        <v>1170</v>
      </c>
      <c r="G1082" s="1655" t="s">
        <v>1170</v>
      </c>
      <c r="H1082" s="1655" t="s">
        <v>1170</v>
      </c>
      <c r="I1082" s="1655" t="s">
        <v>1170</v>
      </c>
      <c r="J1082" s="1698" t="s">
        <v>4014</v>
      </c>
      <c r="K1082" s="1664" t="s">
        <v>4015</v>
      </c>
      <c r="L1082" s="1655" t="s">
        <v>1170</v>
      </c>
      <c r="M1082" s="1655" t="s">
        <v>1170</v>
      </c>
      <c r="N1082" s="1655" t="s">
        <v>1170</v>
      </c>
      <c r="O1082" s="1755">
        <v>44340</v>
      </c>
      <c r="P1082" s="1755">
        <v>44500</v>
      </c>
      <c r="Q1082" s="1664" t="s">
        <v>589</v>
      </c>
      <c r="R1082" s="1805">
        <v>1274810</v>
      </c>
      <c r="S1082" s="1664" t="s">
        <v>1189</v>
      </c>
      <c r="T1082" s="1655" t="s">
        <v>1170</v>
      </c>
      <c r="U1082" s="1655" t="s">
        <v>1170</v>
      </c>
      <c r="V1082" s="1655"/>
      <c r="W1082" s="1664" t="s">
        <v>2583</v>
      </c>
      <c r="X1082" s="1723" t="s">
        <v>1175</v>
      </c>
      <c r="Y1082" s="1723" t="s">
        <v>251</v>
      </c>
      <c r="Z1082" s="1657" t="s">
        <v>1170</v>
      </c>
      <c r="AA1082" s="1657" t="s">
        <v>1170</v>
      </c>
      <c r="AB1082" s="1657" t="s">
        <v>1170</v>
      </c>
      <c r="AC1082" s="909" t="s">
        <v>4016</v>
      </c>
      <c r="AD1082" s="1657" t="s">
        <v>1170</v>
      </c>
      <c r="AE1082" s="1828">
        <v>1274810</v>
      </c>
    </row>
    <row r="1083" spans="1:31">
      <c r="A1083" s="1648">
        <v>44974</v>
      </c>
      <c r="B1083" s="1655" t="s">
        <v>1168</v>
      </c>
      <c r="C1083" s="1664" t="s">
        <v>4017</v>
      </c>
      <c r="D1083" s="1664" t="s">
        <v>1227</v>
      </c>
      <c r="E1083" s="1655" t="s">
        <v>1168</v>
      </c>
      <c r="F1083" s="1655" t="s">
        <v>1170</v>
      </c>
      <c r="G1083" s="1655" t="s">
        <v>1170</v>
      </c>
      <c r="H1083" s="1655" t="s">
        <v>1170</v>
      </c>
      <c r="I1083" s="1655" t="s">
        <v>1170</v>
      </c>
      <c r="J1083" s="1698" t="s">
        <v>4018</v>
      </c>
      <c r="K1083" s="1664" t="s">
        <v>2056</v>
      </c>
      <c r="L1083" s="1655" t="s">
        <v>1170</v>
      </c>
      <c r="M1083" s="1655" t="s">
        <v>1170</v>
      </c>
      <c r="N1083" s="1655" t="s">
        <v>1170</v>
      </c>
      <c r="O1083" s="1755">
        <v>44341</v>
      </c>
      <c r="P1083" s="1755">
        <v>45070</v>
      </c>
      <c r="Q1083" s="1664" t="s">
        <v>589</v>
      </c>
      <c r="R1083" s="1805">
        <v>34000</v>
      </c>
      <c r="S1083" s="1664" t="s">
        <v>4019</v>
      </c>
      <c r="T1083" s="1655" t="s">
        <v>1170</v>
      </c>
      <c r="U1083" s="1655" t="s">
        <v>1170</v>
      </c>
      <c r="V1083" s="1655"/>
      <c r="W1083" s="1664" t="s">
        <v>1232</v>
      </c>
      <c r="X1083" s="1723" t="s">
        <v>1175</v>
      </c>
      <c r="Y1083" s="1723" t="s">
        <v>251</v>
      </c>
      <c r="Z1083" s="1657" t="s">
        <v>1170</v>
      </c>
      <c r="AA1083" s="1657" t="s">
        <v>1170</v>
      </c>
      <c r="AB1083" s="1657" t="s">
        <v>1170</v>
      </c>
      <c r="AC1083" s="909" t="s">
        <v>4020</v>
      </c>
      <c r="AD1083" s="1657" t="s">
        <v>1170</v>
      </c>
      <c r="AE1083" s="1828">
        <v>34000</v>
      </c>
    </row>
    <row r="1084" spans="1:31">
      <c r="A1084" s="1648">
        <v>44974</v>
      </c>
      <c r="B1084" s="1655" t="s">
        <v>1168</v>
      </c>
      <c r="C1084" s="1664" t="s">
        <v>4021</v>
      </c>
      <c r="D1084" s="1664" t="s">
        <v>1178</v>
      </c>
      <c r="E1084" s="1655" t="s">
        <v>1168</v>
      </c>
      <c r="F1084" s="1655" t="s">
        <v>1170</v>
      </c>
      <c r="G1084" s="1655" t="s">
        <v>1170</v>
      </c>
      <c r="H1084" s="1655" t="s">
        <v>1170</v>
      </c>
      <c r="I1084" s="1655" t="s">
        <v>1170</v>
      </c>
      <c r="J1084" s="1698" t="s">
        <v>4022</v>
      </c>
      <c r="K1084" s="1664" t="s">
        <v>1527</v>
      </c>
      <c r="L1084" s="1655" t="s">
        <v>1170</v>
      </c>
      <c r="M1084" s="1655" t="s">
        <v>1170</v>
      </c>
      <c r="N1084" s="1655" t="s">
        <v>1170</v>
      </c>
      <c r="O1084" s="1755">
        <v>44344</v>
      </c>
      <c r="P1084" s="1755">
        <v>44527</v>
      </c>
      <c r="Q1084" s="1664" t="s">
        <v>4023</v>
      </c>
      <c r="R1084" s="1805">
        <v>55000</v>
      </c>
      <c r="S1084" s="1664" t="s">
        <v>2086</v>
      </c>
      <c r="T1084" s="1655" t="s">
        <v>1170</v>
      </c>
      <c r="U1084" s="1655" t="s">
        <v>1170</v>
      </c>
      <c r="V1084" s="1655"/>
      <c r="W1084" s="1664" t="s">
        <v>1081</v>
      </c>
      <c r="X1084" s="1723" t="s">
        <v>1175</v>
      </c>
      <c r="Y1084" s="1723" t="s">
        <v>251</v>
      </c>
      <c r="Z1084" s="1657" t="s">
        <v>1170</v>
      </c>
      <c r="AA1084" s="1657" t="s">
        <v>1170</v>
      </c>
      <c r="AB1084" s="1657" t="s">
        <v>1170</v>
      </c>
      <c r="AC1084" s="909" t="s">
        <v>4024</v>
      </c>
      <c r="AD1084" s="1657" t="s">
        <v>1170</v>
      </c>
      <c r="AE1084" s="1828">
        <v>55000</v>
      </c>
    </row>
    <row r="1085" spans="1:31" ht="72.5">
      <c r="A1085" s="1185"/>
      <c r="B1085" s="2755"/>
      <c r="C1085" s="4" t="s">
        <v>4025</v>
      </c>
      <c r="D1085" s="5" t="s">
        <v>32</v>
      </c>
      <c r="E1085" s="5"/>
      <c r="F1085" s="5"/>
      <c r="G1085" s="5"/>
      <c r="H1085" s="5" t="s">
        <v>496</v>
      </c>
      <c r="I1085" s="5" t="s">
        <v>47</v>
      </c>
      <c r="J1085" s="16" t="s">
        <v>4026</v>
      </c>
      <c r="K1085" s="16"/>
      <c r="L1085" s="5" t="e">
        <f>IF(OR(S1085=#REF!,S1085=#REF!,S1085=#REF!,S1085=#REF!,S1085=#REF!,S1085=#REF!,S1085=#REF!,S1085=#REF!),12,IF(OR(S1085=#REF!,S1085=#REF!,S1085=#REF!,S1085=#REF!,S1085=#REF!,S1085=#REF!,S1085=#REF!),3,IF(S1085=#REF!,1,IF(S1085=#REF!,18,IF(OR(S1085=#REF!,S1085=#REF!,S1085=#REF!,S1085=#REF!,S1085=#REF!),14,"Invalid proposed procurement method")))))</f>
        <v>#REF!</v>
      </c>
      <c r="M1085" s="199" t="str">
        <f>IFERROR(EDATE($N1085,-3),"Invalid procurement method or date entered")</f>
        <v>Invalid procurement method or date entered</v>
      </c>
      <c r="N1085" s="199" t="str">
        <f>IFERROR(EDATE(O1085,-L1085),"Invalid procurement method or date entered")</f>
        <v>Invalid procurement method or date entered</v>
      </c>
      <c r="O1085" s="14">
        <v>44347</v>
      </c>
      <c r="P1085" s="12">
        <v>34</v>
      </c>
      <c r="Q1085" s="5" t="s">
        <v>4027</v>
      </c>
      <c r="R1085" s="18">
        <v>1000000</v>
      </c>
      <c r="S1085" s="5" t="s">
        <v>84</v>
      </c>
      <c r="T1085" s="53" t="s">
        <v>70</v>
      </c>
      <c r="U1085" s="53">
        <v>44327</v>
      </c>
      <c r="V1085" s="53"/>
      <c r="W1085" s="5" t="s">
        <v>2982</v>
      </c>
      <c r="X1085" s="80" t="s">
        <v>86</v>
      </c>
      <c r="Y1085" s="80" t="s">
        <v>40</v>
      </c>
      <c r="Z1085" s="80" t="s">
        <v>69</v>
      </c>
      <c r="AA1085" s="80" t="s">
        <v>70</v>
      </c>
      <c r="AB1085" s="354" t="s">
        <v>143</v>
      </c>
      <c r="AC1085" s="101" t="s">
        <v>89</v>
      </c>
      <c r="AD1085" s="76" t="s">
        <v>165</v>
      </c>
      <c r="AE1085" s="211">
        <v>350000</v>
      </c>
    </row>
    <row r="1086" spans="1:31" ht="62.5">
      <c r="A1086" s="1119"/>
      <c r="B1086" s="577" t="s">
        <v>56</v>
      </c>
      <c r="C1086" s="510" t="s">
        <v>4028</v>
      </c>
      <c r="D1086" s="511" t="s">
        <v>122</v>
      </c>
      <c r="E1086" s="511"/>
      <c r="F1086" s="511"/>
      <c r="G1086" s="511"/>
      <c r="H1086" s="511" t="s">
        <v>308</v>
      </c>
      <c r="I1086" s="519" t="s">
        <v>47</v>
      </c>
      <c r="J1086" s="1578" t="s">
        <v>4029</v>
      </c>
      <c r="K1086" s="512"/>
      <c r="L1086" s="512"/>
      <c r="M1086" s="511">
        <v>12</v>
      </c>
      <c r="N1086" s="514" t="str">
        <f>IF(O1086="tbc","",(IFERROR(EDATE(#REF!,-3),"Invalid procurement method or date entered")))</f>
        <v>Invalid procurement method or date entered</v>
      </c>
      <c r="O1086" s="515">
        <v>44347</v>
      </c>
      <c r="P1086" s="516">
        <v>2</v>
      </c>
      <c r="Q1086" s="516">
        <v>2</v>
      </c>
      <c r="R1086" s="1829">
        <v>300000</v>
      </c>
      <c r="S1086" s="515" t="s">
        <v>75</v>
      </c>
      <c r="T1086" s="515" t="s">
        <v>62</v>
      </c>
      <c r="U1086" s="515" t="s">
        <v>60</v>
      </c>
      <c r="V1086" s="515"/>
      <c r="W1086" s="519" t="s">
        <v>4030</v>
      </c>
    </row>
    <row r="1087" spans="1:31" ht="37.5">
      <c r="A1087" s="1119"/>
      <c r="B1087" s="577" t="s">
        <v>56</v>
      </c>
      <c r="C1087" s="638" t="s">
        <v>4031</v>
      </c>
      <c r="D1087" s="511" t="s">
        <v>32</v>
      </c>
      <c r="E1087" s="511"/>
      <c r="F1087" s="511"/>
      <c r="G1087" s="511"/>
      <c r="H1087" s="511" t="s">
        <v>308</v>
      </c>
      <c r="I1087" s="519" t="s">
        <v>47</v>
      </c>
      <c r="J1087" s="608" t="s">
        <v>4032</v>
      </c>
      <c r="K1087" s="638"/>
      <c r="L1087" s="638"/>
      <c r="M1087" s="638"/>
      <c r="N1087" s="638"/>
      <c r="O1087" s="640">
        <v>44347</v>
      </c>
      <c r="P1087" s="638">
        <v>4</v>
      </c>
      <c r="Q1087" s="638">
        <v>4</v>
      </c>
      <c r="R1087" s="1818">
        <v>950000</v>
      </c>
      <c r="S1087" s="638" t="s">
        <v>2110</v>
      </c>
      <c r="T1087" s="638" t="s">
        <v>2455</v>
      </c>
      <c r="U1087" s="638" t="s">
        <v>71</v>
      </c>
      <c r="V1087" s="638"/>
      <c r="W1087" s="638"/>
    </row>
    <row r="1088" spans="1:31" ht="72.5">
      <c r="A1088" s="1185"/>
      <c r="B1088" s="2755" t="s">
        <v>44</v>
      </c>
      <c r="C1088" s="4" t="s">
        <v>45</v>
      </c>
      <c r="D1088" s="9" t="s">
        <v>32</v>
      </c>
      <c r="E1088" s="9"/>
      <c r="F1088" s="9"/>
      <c r="G1088" s="9"/>
      <c r="H1088" s="5" t="s">
        <v>33</v>
      </c>
      <c r="I1088" s="5" t="s">
        <v>47</v>
      </c>
      <c r="J1088" s="16" t="s">
        <v>4033</v>
      </c>
      <c r="K1088" s="8"/>
      <c r="L1088" s="5" t="e">
        <f>IF(OR(S1088=#REF!,S1088=#REF!,S1088=#REF!,S1088=#REF!,S1088=#REF!,S1088=#REF!,S1088=#REF!,S1088=#REF!),12,IF(OR(S1088=#REF!,S1088=#REF!,S1088=#REF!,S1088=#REF!,S1088=#REF!,S1088=#REF!,S1088=#REF!),3,IF(S1088=#REF!,1,IF(S1088=#REF!,18,IF(OR(S1088=#REF!,S1088=#REF!,S1088=#REF!,S1088=#REF!,S1088=#REF!),14,"Invalid proposed procurement method")))))</f>
        <v>#REF!</v>
      </c>
      <c r="M1088" s="199" t="str">
        <f>IFERROR(EDATE($N1088,-3),"Invalid procurement method or date entered")</f>
        <v>Invalid procurement method or date entered</v>
      </c>
      <c r="N1088" s="199" t="str">
        <f>IFERROR(EDATE(O1088,-L1088),"Invalid procurement method or date entered")</f>
        <v>Invalid procurement method or date entered</v>
      </c>
      <c r="O1088" s="199">
        <v>44348</v>
      </c>
      <c r="P1088" s="5">
        <v>84</v>
      </c>
      <c r="Q1088" s="7" t="s">
        <v>1455</v>
      </c>
      <c r="R1088" s="1040">
        <v>1463000</v>
      </c>
      <c r="S1088" s="199" t="s">
        <v>91</v>
      </c>
      <c r="T1088" s="11" t="s">
        <v>38</v>
      </c>
      <c r="U1088" s="12" t="s">
        <v>67</v>
      </c>
      <c r="V1088" s="12"/>
      <c r="W1088" s="5" t="s">
        <v>1849</v>
      </c>
      <c r="X1088" s="80" t="s">
        <v>54</v>
      </c>
      <c r="Y1088" s="80" t="s">
        <v>115</v>
      </c>
      <c r="Z1088" s="80" t="s">
        <v>87</v>
      </c>
      <c r="AA1088" s="354" t="s">
        <v>224</v>
      </c>
      <c r="AB1088" s="354" t="s">
        <v>224</v>
      </c>
      <c r="AC1088" s="1111" t="s">
        <v>4034</v>
      </c>
      <c r="AD1088" s="80" t="s">
        <v>4035</v>
      </c>
      <c r="AE1088" s="1131">
        <v>209000</v>
      </c>
    </row>
    <row r="1089" spans="1:31" ht="188.5">
      <c r="A1089" s="1184"/>
      <c r="B1089" s="338"/>
      <c r="C1089" s="4" t="s">
        <v>462</v>
      </c>
      <c r="D1089" s="9" t="s">
        <v>32</v>
      </c>
      <c r="E1089" s="9"/>
      <c r="F1089" s="9"/>
      <c r="G1089" s="9"/>
      <c r="H1089" s="5" t="s">
        <v>394</v>
      </c>
      <c r="I1089" s="5" t="s">
        <v>34</v>
      </c>
      <c r="J1089" s="16" t="s">
        <v>1644</v>
      </c>
      <c r="K1089" s="8"/>
      <c r="L1089" s="5" t="e">
        <f>IF(OR(S1089=#REF!,S1089=#REF!,S1089=#REF!,S1089=#REF!,S1089=#REF!,S1089=#REF!,S1089=#REF!,S1089=#REF!),12,IF(OR(S1089=#REF!,S1089=#REF!,S1089=#REF!,S1089=#REF!,S1089=#REF!,S1089=#REF!,S1089=#REF!),3,IF(S1089=#REF!,1,IF(S1089=#REF!,18,IF(OR(S1089=#REF!,S1089=#REF!,S1089=#REF!,S1089=#REF!,S1089=#REF!),14,"Invalid proposed procurement method")))))</f>
        <v>#REF!</v>
      </c>
      <c r="M1089" s="199" t="str">
        <f>IFERROR(EDATE($N1089,-3),"Invalid procurement method or date entered")</f>
        <v>Invalid procurement method or date entered</v>
      </c>
      <c r="N1089" s="199" t="str">
        <f>IFERROR(EDATE(O1089,-L1089),"Invalid procurement method or date entered")</f>
        <v>Invalid procurement method or date entered</v>
      </c>
      <c r="O1089" s="199">
        <v>44348</v>
      </c>
      <c r="P1089" s="5">
        <v>48</v>
      </c>
      <c r="Q1089" s="7" t="s">
        <v>4036</v>
      </c>
      <c r="R1089" s="18">
        <v>2649410</v>
      </c>
      <c r="S1089" s="5" t="s">
        <v>130</v>
      </c>
      <c r="T1089" s="9" t="s">
        <v>38</v>
      </c>
      <c r="U1089" s="15" t="s">
        <v>67</v>
      </c>
      <c r="V1089" s="15"/>
      <c r="W1089" s="5" t="s">
        <v>465</v>
      </c>
      <c r="X1089" s="80" t="s">
        <v>39</v>
      </c>
      <c r="Y1089" s="80" t="s">
        <v>40</v>
      </c>
      <c r="Z1089" s="80" t="s">
        <v>87</v>
      </c>
      <c r="AA1089" s="80" t="s">
        <v>70</v>
      </c>
      <c r="AB1089" s="354">
        <v>44355</v>
      </c>
      <c r="AC1089" s="101" t="s">
        <v>4037</v>
      </c>
      <c r="AD1089" s="76" t="s">
        <v>399</v>
      </c>
      <c r="AE1089" s="211">
        <v>529882</v>
      </c>
    </row>
    <row r="1090" spans="1:31" ht="72.5">
      <c r="A1090" s="1184"/>
      <c r="B1090" s="2755"/>
      <c r="C1090" s="4" t="s">
        <v>4038</v>
      </c>
      <c r="D1090" s="9" t="s">
        <v>32</v>
      </c>
      <c r="E1090" s="9"/>
      <c r="F1090" s="9"/>
      <c r="G1090" s="9"/>
      <c r="H1090" s="5" t="s">
        <v>80</v>
      </c>
      <c r="I1090" s="272" t="s">
        <v>47</v>
      </c>
      <c r="J1090" s="16" t="s">
        <v>4039</v>
      </c>
      <c r="K1090" s="16"/>
      <c r="L1090" s="5" t="e">
        <f>IF(OR(S1090=#REF!,S1090=#REF!,S1090=#REF!,S1090=#REF!,S1090=#REF!,S1090=#REF!,S1090=#REF!,S1090=#REF!),12,IF(OR(S1090=#REF!,S1090=#REF!,S1090=#REF!,S1090=#REF!,S1090=#REF!,S1090=#REF!,S1090=#REF!),3,IF(S1090=#REF!,1,IF(S1090=#REF!,18,IF(OR(S1090=#REF!,S1090=#REF!,S1090=#REF!,S1090=#REF!,S1090=#REF!),14,"Invalid proposed procurement method")))))</f>
        <v>#REF!</v>
      </c>
      <c r="M1090" s="199" t="str">
        <f>IFERROR(EDATE($N1090,-3),"Invalid procurement method or date entered")</f>
        <v>Invalid procurement method or date entered</v>
      </c>
      <c r="N1090" s="199" t="str">
        <f>IFERROR(EDATE(O1090,-L1090),"Invalid procurement method or date entered")</f>
        <v>Invalid procurement method or date entered</v>
      </c>
      <c r="O1090" s="182">
        <v>44348</v>
      </c>
      <c r="P1090" s="12">
        <v>7</v>
      </c>
      <c r="Q1090" s="7" t="s">
        <v>4040</v>
      </c>
      <c r="R1090" s="18">
        <v>250000</v>
      </c>
      <c r="S1090" s="5" t="s">
        <v>84</v>
      </c>
      <c r="T1090" s="52" t="s">
        <v>62</v>
      </c>
      <c r="U1090" s="48" t="s">
        <v>45</v>
      </c>
      <c r="V1090" s="48"/>
      <c r="W1090" s="2751" t="s">
        <v>3685</v>
      </c>
      <c r="X1090" s="80" t="s">
        <v>86</v>
      </c>
      <c r="Y1090" s="80" t="s">
        <v>40</v>
      </c>
      <c r="Z1090" s="80" t="s">
        <v>87</v>
      </c>
      <c r="AA1090" s="80" t="s">
        <v>38</v>
      </c>
      <c r="AB1090" s="354" t="s">
        <v>143</v>
      </c>
      <c r="AC1090" s="101" t="s">
        <v>89</v>
      </c>
      <c r="AD1090" s="76" t="s">
        <v>80</v>
      </c>
      <c r="AE1090" s="1132">
        <v>250000</v>
      </c>
    </row>
    <row r="1091" spans="1:31" ht="43.5">
      <c r="A1091" s="1184"/>
      <c r="B1091" s="120"/>
      <c r="C1091" s="4" t="s">
        <v>45</v>
      </c>
      <c r="D1091" s="9" t="s">
        <v>32</v>
      </c>
      <c r="E1091" s="9"/>
      <c r="F1091" s="9"/>
      <c r="G1091" s="9"/>
      <c r="H1091" s="5" t="s">
        <v>33</v>
      </c>
      <c r="I1091" s="5" t="s">
        <v>47</v>
      </c>
      <c r="J1091" s="1590" t="s">
        <v>461</v>
      </c>
      <c r="K1091" s="64"/>
      <c r="L1091" s="5">
        <v>6</v>
      </c>
      <c r="M1091" s="199">
        <f>IFERROR(EDATE($N1091,-3),"Invalid procurement method or date entered")</f>
        <v>44075</v>
      </c>
      <c r="N1091" s="199">
        <f>IFERROR(EDATE(O1091,-L1091),"Invalid procurement method or date entered")</f>
        <v>44166</v>
      </c>
      <c r="O1091" s="182">
        <v>44348</v>
      </c>
      <c r="P1091" s="12">
        <v>12</v>
      </c>
      <c r="Q1091" s="12">
        <v>12</v>
      </c>
      <c r="R1091" s="18">
        <v>4493.78</v>
      </c>
      <c r="S1091" s="5" t="s">
        <v>37</v>
      </c>
      <c r="T1091" s="52" t="s">
        <v>38</v>
      </c>
      <c r="U1091" s="48" t="s">
        <v>67</v>
      </c>
      <c r="V1091" s="48"/>
      <c r="W1091" s="12" t="s">
        <v>262</v>
      </c>
      <c r="X1091" s="1076" t="s">
        <v>289</v>
      </c>
      <c r="Y1091" s="80" t="s">
        <v>727</v>
      </c>
      <c r="Z1091" s="80" t="s">
        <v>154</v>
      </c>
      <c r="AA1091" s="80" t="s">
        <v>38</v>
      </c>
      <c r="AB1091" s="354" t="s">
        <v>271</v>
      </c>
      <c r="AC1091" s="1111"/>
      <c r="AD1091" s="80" t="s">
        <v>264</v>
      </c>
      <c r="AE1091" s="211">
        <v>4494</v>
      </c>
    </row>
    <row r="1092" spans="1:31">
      <c r="A1092" s="2756"/>
      <c r="B1092" s="120"/>
      <c r="C1092" s="222" t="s">
        <v>4041</v>
      </c>
      <c r="D1092" s="2755" t="s">
        <v>32</v>
      </c>
      <c r="E1092" s="2755"/>
      <c r="F1092" s="2755"/>
      <c r="G1092" s="2755"/>
      <c r="H1092" s="2755" t="s">
        <v>4042</v>
      </c>
      <c r="I1092" s="2763" t="s">
        <v>268</v>
      </c>
      <c r="J1092" s="2755" t="s">
        <v>4043</v>
      </c>
      <c r="K1092" s="2755"/>
      <c r="L1092" s="2763">
        <v>6</v>
      </c>
      <c r="M1092" s="2764">
        <v>44166</v>
      </c>
      <c r="N1092" s="199" t="s">
        <v>2804</v>
      </c>
      <c r="O1092" s="2764">
        <v>44348</v>
      </c>
      <c r="P1092" s="2763">
        <v>36</v>
      </c>
      <c r="Q1092" s="2763" t="s">
        <v>3845</v>
      </c>
      <c r="R1092" s="2755"/>
      <c r="S1092" s="2755" t="s">
        <v>270</v>
      </c>
      <c r="T1092" s="2763" t="s">
        <v>38</v>
      </c>
      <c r="U1092" s="2763" t="s">
        <v>67</v>
      </c>
      <c r="V1092" s="2763"/>
      <c r="W1092" s="2763" t="s">
        <v>504</v>
      </c>
      <c r="X1092" s="2765" t="s">
        <v>39</v>
      </c>
      <c r="Y1092" s="2765" t="s">
        <v>40</v>
      </c>
      <c r="Z1092" s="2765" t="s">
        <v>69</v>
      </c>
      <c r="AA1092" s="2765" t="s">
        <v>38</v>
      </c>
      <c r="AB1092" s="2772" t="s">
        <v>143</v>
      </c>
      <c r="AC1092" s="2761" t="s">
        <v>4044</v>
      </c>
      <c r="AD1092" s="2765"/>
      <c r="AE1092" s="2902"/>
    </row>
    <row r="1093" spans="1:31" ht="72.5">
      <c r="A1093" s="2756"/>
      <c r="B1093" s="2755"/>
      <c r="C1093" s="4" t="s">
        <v>45</v>
      </c>
      <c r="D1093" s="9" t="s">
        <v>32</v>
      </c>
      <c r="E1093" s="9"/>
      <c r="F1093" s="9"/>
      <c r="G1093" s="9"/>
      <c r="H1093" s="5" t="s">
        <v>33</v>
      </c>
      <c r="I1093" s="5" t="s">
        <v>47</v>
      </c>
      <c r="J1093" s="2755" t="s">
        <v>1519</v>
      </c>
      <c r="K1093" s="2755"/>
      <c r="L1093" s="5" t="e">
        <f>IF(OR(S1093=#REF!,S1093=#REF!,S1093=#REF!,S1093=#REF!,S1093=#REF!,S1093=#REF!,S1093=#REF!,S1093=#REF!),12,IF(OR(S1093=#REF!,S1093=#REF!,S1093=#REF!,S1093=#REF!,S1093=#REF!,S1093=#REF!,S1093=#REF!),3,IF(S1093=#REF!,1,IF(S1093=#REF!,18,IF(OR(S1093=#REF!,S1093=#REF!,S1093=#REF!,S1093=#REF!,S1093=#REF!),14,"Invalid proposed procurement method")))))</f>
        <v>#REF!</v>
      </c>
      <c r="M1093" s="199" t="str">
        <f>IFERROR(EDATE($N1093,-3),"Invalid procurement method or date entered")</f>
        <v>Invalid procurement method or date entered</v>
      </c>
      <c r="N1093" s="199" t="str">
        <f>IFERROR(EDATE(O1093,-L1093),"Invalid procurement method or date entered")</f>
        <v>Invalid procurement method or date entered</v>
      </c>
      <c r="O1093" s="2764">
        <v>44348</v>
      </c>
      <c r="P1093" s="2763">
        <v>12</v>
      </c>
      <c r="Q1093" s="2763">
        <v>12</v>
      </c>
      <c r="R1093" s="2826">
        <v>3500</v>
      </c>
      <c r="S1093" s="2751" t="s">
        <v>37</v>
      </c>
      <c r="T1093" s="2763" t="s">
        <v>38</v>
      </c>
      <c r="U1093" s="2763" t="s">
        <v>67</v>
      </c>
      <c r="V1093" s="2763"/>
      <c r="W1093" s="5" t="s">
        <v>383</v>
      </c>
      <c r="X1093" s="2765" t="s">
        <v>289</v>
      </c>
      <c r="Y1093" s="2765" t="s">
        <v>115</v>
      </c>
      <c r="Z1093" s="80" t="s">
        <v>154</v>
      </c>
      <c r="AA1093" s="80" t="s">
        <v>38</v>
      </c>
      <c r="AB1093" s="354" t="s">
        <v>271</v>
      </c>
      <c r="AC1093" s="2900" t="s">
        <v>3827</v>
      </c>
      <c r="AD1093" s="80" t="s">
        <v>385</v>
      </c>
      <c r="AE1093" s="197">
        <v>3500</v>
      </c>
    </row>
    <row r="1094" spans="1:31" ht="29">
      <c r="A1094" s="1184"/>
      <c r="B1094" s="2755"/>
      <c r="C1094" s="200"/>
      <c r="D1094" s="9" t="s">
        <v>32</v>
      </c>
      <c r="E1094" s="9"/>
      <c r="F1094" s="9"/>
      <c r="G1094" s="9"/>
      <c r="H1094" s="5" t="s">
        <v>33</v>
      </c>
      <c r="I1094" s="12" t="s">
        <v>47</v>
      </c>
      <c r="J1094" s="16" t="s">
        <v>610</v>
      </c>
      <c r="K1094" s="8"/>
      <c r="L1094" s="5">
        <v>1</v>
      </c>
      <c r="M1094" s="199">
        <f>IFERROR(EDATE($N1094,-3),"Invalid procurement method or date entered")</f>
        <v>44228</v>
      </c>
      <c r="N1094" s="199">
        <f>IFERROR(EDATE(O1094,-L1094),"Invalid procurement method or date entered")</f>
        <v>44317</v>
      </c>
      <c r="O1094" s="182">
        <v>44348</v>
      </c>
      <c r="P1094" s="12">
        <v>36</v>
      </c>
      <c r="Q1094" s="7" t="s">
        <v>1538</v>
      </c>
      <c r="R1094" s="18">
        <v>130000</v>
      </c>
      <c r="S1094" s="5" t="s">
        <v>84</v>
      </c>
      <c r="T1094" s="5" t="s">
        <v>612</v>
      </c>
      <c r="U1094" s="12" t="s">
        <v>4045</v>
      </c>
      <c r="V1094" s="12"/>
      <c r="W1094" s="5" t="s">
        <v>614</v>
      </c>
      <c r="X1094" s="80" t="s">
        <v>54</v>
      </c>
      <c r="Y1094" s="80" t="s">
        <v>727</v>
      </c>
      <c r="Z1094" s="80" t="s">
        <v>69</v>
      </c>
      <c r="AA1094" s="80" t="s">
        <v>38</v>
      </c>
      <c r="AB1094" s="354" t="s">
        <v>143</v>
      </c>
      <c r="AC1094" s="101" t="s">
        <v>4046</v>
      </c>
      <c r="AD1094" s="76" t="s">
        <v>96</v>
      </c>
      <c r="AE1094" s="1132">
        <v>130000</v>
      </c>
    </row>
    <row r="1095" spans="1:31" ht="43.5">
      <c r="A1095" s="2756"/>
      <c r="B1095" s="2755" t="s">
        <v>44</v>
      </c>
      <c r="C1095" s="200" t="s">
        <v>4047</v>
      </c>
      <c r="D1095" s="9" t="s">
        <v>57</v>
      </c>
      <c r="E1095" s="9"/>
      <c r="F1095" s="9"/>
      <c r="G1095" s="9"/>
      <c r="H1095" s="5" t="s">
        <v>1670</v>
      </c>
      <c r="I1095" s="12" t="s">
        <v>47</v>
      </c>
      <c r="J1095" s="16" t="s">
        <v>4048</v>
      </c>
      <c r="K1095" s="8"/>
      <c r="L1095" s="5">
        <v>0.5</v>
      </c>
      <c r="M1095" s="199">
        <f>IFERROR(EDATE($N1095,-3),"Invalid procurement method or date entered")</f>
        <v>44256</v>
      </c>
      <c r="N1095" s="199">
        <f>IFERROR(EDATE(O1095,-L1095),"Invalid procurement method or date entered")</f>
        <v>44348</v>
      </c>
      <c r="O1095" s="182">
        <v>44348</v>
      </c>
      <c r="P1095" s="12">
        <v>10</v>
      </c>
      <c r="Q1095" s="7" t="s">
        <v>1286</v>
      </c>
      <c r="R1095" s="18">
        <v>70000</v>
      </c>
      <c r="S1095" s="199" t="s">
        <v>51</v>
      </c>
      <c r="T1095" s="5" t="s">
        <v>38</v>
      </c>
      <c r="U1095" s="12" t="s">
        <v>67</v>
      </c>
      <c r="V1095" s="12"/>
      <c r="W1095" s="5" t="s">
        <v>4049</v>
      </c>
      <c r="X1095" s="80" t="s">
        <v>54</v>
      </c>
      <c r="Y1095" s="80" t="s">
        <v>727</v>
      </c>
      <c r="Z1095" s="80"/>
      <c r="AA1095" s="354" t="s">
        <v>143</v>
      </c>
      <c r="AB1095" s="354" t="s">
        <v>224</v>
      </c>
      <c r="AC1095" s="101" t="s">
        <v>4050</v>
      </c>
      <c r="AD1095" s="76" t="s">
        <v>2645</v>
      </c>
      <c r="AE1095" s="197">
        <v>70000</v>
      </c>
    </row>
    <row r="1096" spans="1:31" ht="159.5">
      <c r="A1096" s="2754"/>
      <c r="B1096" s="120"/>
      <c r="C1096" s="4" t="s">
        <v>45</v>
      </c>
      <c r="D1096" s="5" t="s">
        <v>32</v>
      </c>
      <c r="E1096" s="5"/>
      <c r="F1096" s="5"/>
      <c r="G1096" s="5"/>
      <c r="H1096" s="5" t="s">
        <v>33</v>
      </c>
      <c r="I1096" s="5" t="s">
        <v>268</v>
      </c>
      <c r="J1096" s="16" t="s">
        <v>4051</v>
      </c>
      <c r="K1096" s="8"/>
      <c r="L1096" s="5">
        <v>1</v>
      </c>
      <c r="M1096" s="199">
        <v>44264</v>
      </c>
      <c r="N1096" s="199">
        <f>IFERROR(EDATE(O1096,-L1096),"Invalid procurement method or date entered")</f>
        <v>44317</v>
      </c>
      <c r="O1096" s="199">
        <v>44348</v>
      </c>
      <c r="P1096" s="5" t="s">
        <v>45</v>
      </c>
      <c r="Q1096" s="5" t="s">
        <v>45</v>
      </c>
      <c r="R1096" s="41" t="s">
        <v>45</v>
      </c>
      <c r="S1096" s="5" t="s">
        <v>270</v>
      </c>
      <c r="T1096" s="5" t="s">
        <v>38</v>
      </c>
      <c r="U1096" s="5" t="s">
        <v>67</v>
      </c>
      <c r="V1096" s="5"/>
      <c r="W1096" s="5" t="s">
        <v>4052</v>
      </c>
      <c r="X1096" s="80" t="s">
        <v>39</v>
      </c>
      <c r="Y1096" s="80" t="s">
        <v>40</v>
      </c>
      <c r="Z1096" s="80" t="s">
        <v>87</v>
      </c>
      <c r="AA1096" s="76" t="s">
        <v>38</v>
      </c>
      <c r="AB1096" s="354" t="s">
        <v>271</v>
      </c>
      <c r="AC1096" s="1118" t="s">
        <v>4053</v>
      </c>
      <c r="AD1096" s="80"/>
      <c r="AE1096" s="1132">
        <v>6747.54</v>
      </c>
    </row>
    <row r="1097" spans="1:31" ht="72.5">
      <c r="A1097" s="1184"/>
      <c r="B1097" s="120"/>
      <c r="C1097" s="4" t="s">
        <v>273</v>
      </c>
      <c r="D1097" s="9" t="s">
        <v>32</v>
      </c>
      <c r="E1097" s="9"/>
      <c r="F1097" s="9"/>
      <c r="G1097" s="9"/>
      <c r="H1097" s="9" t="s">
        <v>46</v>
      </c>
      <c r="I1097" s="9" t="s">
        <v>47</v>
      </c>
      <c r="J1097" s="16" t="s">
        <v>4054</v>
      </c>
      <c r="K1097" s="8"/>
      <c r="L1097" s="5" t="e">
        <f>IF(OR(S1097=#REF!,S1097=#REF!,S1097=#REF!,S1097=#REF!,S1097=#REF!,S1097=#REF!,S1097=#REF!,S1097=#REF!),12,IF(OR(S1097=#REF!,S1097=#REF!,S1097=#REF!,S1097=#REF!,S1097=#REF!,S1097=#REF!,S1097=#REF!),3,IF(S1097=#REF!,1,IF(S1097=#REF!,18,IF(OR(S1097=#REF!,S1097=#REF!,S1097=#REF!,S1097=#REF!,S1097=#REF!),14,"Invalid proposed procurement method")))))</f>
        <v>#REF!</v>
      </c>
      <c r="M1097" s="199" t="str">
        <f>IFERROR(EDATE($N1097,-3),"Invalid procurement method or date entered")</f>
        <v>Invalid procurement method or date entered</v>
      </c>
      <c r="N1097" s="199" t="str">
        <f>IFERROR(EDATE(O1097,-L1097),"Invalid procurement method or date entered")</f>
        <v>Invalid procurement method or date entered</v>
      </c>
      <c r="O1097" s="183">
        <v>44348</v>
      </c>
      <c r="P1097" s="9">
        <v>18</v>
      </c>
      <c r="Q1097" s="269" t="s">
        <v>275</v>
      </c>
      <c r="R1097" s="18">
        <v>15000</v>
      </c>
      <c r="S1097" s="5" t="s">
        <v>176</v>
      </c>
      <c r="T1097" s="5" t="s">
        <v>38</v>
      </c>
      <c r="U1097" s="14" t="s">
        <v>67</v>
      </c>
      <c r="V1097" s="14"/>
      <c r="W1097" s="9" t="s">
        <v>276</v>
      </c>
      <c r="X1097" s="1076" t="s">
        <v>94</v>
      </c>
      <c r="Y1097" s="80" t="s">
        <v>727</v>
      </c>
      <c r="Z1097" s="80" t="s">
        <v>154</v>
      </c>
      <c r="AA1097" s="80" t="s">
        <v>70</v>
      </c>
      <c r="AB1097" s="354" t="s">
        <v>271</v>
      </c>
      <c r="AC1097" s="993" t="s">
        <v>4055</v>
      </c>
      <c r="AD1097" s="76" t="s">
        <v>46</v>
      </c>
      <c r="AE1097" s="339"/>
    </row>
    <row r="1098" spans="1:31" ht="50">
      <c r="A1098" s="1119"/>
      <c r="B1098" s="577" t="s">
        <v>56</v>
      </c>
      <c r="C1098" s="610"/>
      <c r="D1098" s="511" t="s">
        <v>57</v>
      </c>
      <c r="E1098" s="511"/>
      <c r="F1098" s="511"/>
      <c r="G1098" s="511"/>
      <c r="H1098" s="511" t="s">
        <v>58</v>
      </c>
      <c r="I1098" s="510" t="s">
        <v>47</v>
      </c>
      <c r="J1098" s="1580" t="s">
        <v>4056</v>
      </c>
      <c r="K1098" s="533"/>
      <c r="L1098" s="511">
        <v>3</v>
      </c>
      <c r="M1098" s="514">
        <f t="shared" ref="M1098:M1106" si="13">IF(O1098="tbc","",(IFERROR(EDATE($N1098,-3),"Invalid procurement method or date entered")))</f>
        <v>44166</v>
      </c>
      <c r="N1098" s="514">
        <f t="shared" ref="N1098:N1106" si="14">IF(O1098="tbc","",(IFERROR(EDATE(O1098,-L1098),"Invalid procurement method or date entered")))</f>
        <v>44256</v>
      </c>
      <c r="O1098" s="534">
        <v>44348</v>
      </c>
      <c r="P1098" s="535" t="s">
        <v>60</v>
      </c>
      <c r="Q1098" s="535" t="s">
        <v>60</v>
      </c>
      <c r="R1098" s="528">
        <v>97668</v>
      </c>
      <c r="S1098" s="515" t="s">
        <v>61</v>
      </c>
      <c r="T1098" s="515" t="s">
        <v>62</v>
      </c>
      <c r="U1098" s="515" t="s">
        <v>60</v>
      </c>
      <c r="V1098" s="515"/>
      <c r="W1098" s="510" t="s">
        <v>3935</v>
      </c>
    </row>
    <row r="1099" spans="1:31" ht="50">
      <c r="A1099" s="1119"/>
      <c r="B1099" s="577" t="s">
        <v>56</v>
      </c>
      <c r="C1099" s="510"/>
      <c r="D1099" s="511" t="s">
        <v>57</v>
      </c>
      <c r="E1099" s="511"/>
      <c r="F1099" s="511"/>
      <c r="G1099" s="511"/>
      <c r="H1099" s="511" t="s">
        <v>58</v>
      </c>
      <c r="I1099" s="510" t="s">
        <v>47</v>
      </c>
      <c r="J1099" s="1580" t="s">
        <v>4057</v>
      </c>
      <c r="K1099" s="533"/>
      <c r="L1099" s="511">
        <v>3</v>
      </c>
      <c r="M1099" s="514">
        <f t="shared" si="13"/>
        <v>44166</v>
      </c>
      <c r="N1099" s="514">
        <f t="shared" si="14"/>
        <v>44256</v>
      </c>
      <c r="O1099" s="534">
        <v>44348</v>
      </c>
      <c r="P1099" s="535">
        <v>2</v>
      </c>
      <c r="Q1099" s="535">
        <v>2</v>
      </c>
      <c r="R1099" s="528">
        <v>707995</v>
      </c>
      <c r="S1099" s="515" t="s">
        <v>61</v>
      </c>
      <c r="T1099" s="515" t="s">
        <v>310</v>
      </c>
      <c r="U1099" s="515" t="s">
        <v>60</v>
      </c>
      <c r="V1099" s="515"/>
      <c r="W1099" s="510" t="s">
        <v>3935</v>
      </c>
    </row>
    <row r="1100" spans="1:31" ht="50">
      <c r="A1100" s="1119"/>
      <c r="B1100" s="577" t="s">
        <v>56</v>
      </c>
      <c r="C1100" s="510"/>
      <c r="D1100" s="511" t="s">
        <v>57</v>
      </c>
      <c r="E1100" s="511"/>
      <c r="F1100" s="511"/>
      <c r="G1100" s="511"/>
      <c r="H1100" s="511" t="s">
        <v>58</v>
      </c>
      <c r="I1100" s="510" t="s">
        <v>47</v>
      </c>
      <c r="J1100" s="1580" t="s">
        <v>4058</v>
      </c>
      <c r="K1100" s="533"/>
      <c r="L1100" s="511">
        <v>3</v>
      </c>
      <c r="M1100" s="514">
        <f t="shared" si="13"/>
        <v>44166</v>
      </c>
      <c r="N1100" s="514">
        <f t="shared" si="14"/>
        <v>44256</v>
      </c>
      <c r="O1100" s="534">
        <v>44348</v>
      </c>
      <c r="P1100" s="535">
        <v>7</v>
      </c>
      <c r="Q1100" s="535">
        <v>7</v>
      </c>
      <c r="R1100" s="528">
        <v>580599</v>
      </c>
      <c r="S1100" s="515" t="s">
        <v>61</v>
      </c>
      <c r="T1100" s="515" t="s">
        <v>310</v>
      </c>
      <c r="U1100" s="515" t="s">
        <v>60</v>
      </c>
      <c r="V1100" s="515"/>
      <c r="W1100" s="510" t="s">
        <v>3935</v>
      </c>
    </row>
    <row r="1101" spans="1:31" ht="37.5">
      <c r="A1101" s="1119"/>
      <c r="B1101" s="577" t="s">
        <v>56</v>
      </c>
      <c r="C1101" s="510" t="s">
        <v>60</v>
      </c>
      <c r="D1101" s="511" t="s">
        <v>57</v>
      </c>
      <c r="E1101" s="511"/>
      <c r="F1101" s="511"/>
      <c r="G1101" s="511"/>
      <c r="H1101" s="511" t="s">
        <v>58</v>
      </c>
      <c r="I1101" s="519" t="s">
        <v>47</v>
      </c>
      <c r="J1101" s="606" t="s">
        <v>4059</v>
      </c>
      <c r="K1101" s="529"/>
      <c r="L1101" s="511">
        <v>-1</v>
      </c>
      <c r="M1101" s="514">
        <f t="shared" si="13"/>
        <v>44287</v>
      </c>
      <c r="N1101" s="514">
        <f t="shared" si="14"/>
        <v>44378</v>
      </c>
      <c r="O1101" s="514">
        <v>44348</v>
      </c>
      <c r="P1101" s="536" t="s">
        <v>60</v>
      </c>
      <c r="Q1101" s="536" t="s">
        <v>60</v>
      </c>
      <c r="R1101" s="538">
        <v>30000</v>
      </c>
      <c r="S1101" s="536" t="s">
        <v>176</v>
      </c>
      <c r="T1101" s="536" t="s">
        <v>2455</v>
      </c>
      <c r="U1101" s="514">
        <v>43700</v>
      </c>
      <c r="V1101" s="514"/>
      <c r="W1101" s="569" t="s">
        <v>577</v>
      </c>
    </row>
    <row r="1102" spans="1:31" ht="50">
      <c r="A1102" s="1119"/>
      <c r="B1102" s="577" t="s">
        <v>56</v>
      </c>
      <c r="C1102" s="519" t="s">
        <v>60</v>
      </c>
      <c r="D1102" s="519" t="s">
        <v>122</v>
      </c>
      <c r="E1102" s="519"/>
      <c r="F1102" s="519"/>
      <c r="G1102" s="519"/>
      <c r="H1102" s="519" t="s">
        <v>308</v>
      </c>
      <c r="I1102" s="519" t="s">
        <v>47</v>
      </c>
      <c r="J1102" s="1578" t="s">
        <v>4060</v>
      </c>
      <c r="K1102" s="512"/>
      <c r="L1102" s="519">
        <v>1</v>
      </c>
      <c r="M1102" s="515">
        <f t="shared" si="13"/>
        <v>44228</v>
      </c>
      <c r="N1102" s="515">
        <f t="shared" si="14"/>
        <v>44317</v>
      </c>
      <c r="O1102" s="515">
        <v>44348</v>
      </c>
      <c r="P1102" s="516">
        <v>2</v>
      </c>
      <c r="Q1102" s="516">
        <v>2</v>
      </c>
      <c r="R1102" s="528">
        <v>110000</v>
      </c>
      <c r="S1102" s="515" t="s">
        <v>75</v>
      </c>
      <c r="T1102" s="515" t="s">
        <v>62</v>
      </c>
      <c r="U1102" s="519" t="s">
        <v>60</v>
      </c>
      <c r="V1102" s="519"/>
      <c r="W1102" s="520"/>
    </row>
    <row r="1103" spans="1:31" ht="25">
      <c r="A1103" s="1119"/>
      <c r="B1103" s="577" t="s">
        <v>56</v>
      </c>
      <c r="C1103" s="510" t="s">
        <v>60</v>
      </c>
      <c r="D1103" s="511" t="s">
        <v>32</v>
      </c>
      <c r="E1103" s="511"/>
      <c r="F1103" s="511"/>
      <c r="G1103" s="511"/>
      <c r="H1103" s="511" t="s">
        <v>308</v>
      </c>
      <c r="I1103" s="519" t="s">
        <v>47</v>
      </c>
      <c r="J1103" s="1578" t="s">
        <v>4061</v>
      </c>
      <c r="K1103" s="512"/>
      <c r="L1103" s="511">
        <v>12</v>
      </c>
      <c r="M1103" s="514">
        <f t="shared" si="13"/>
        <v>43891</v>
      </c>
      <c r="N1103" s="514">
        <f t="shared" si="14"/>
        <v>43983</v>
      </c>
      <c r="O1103" s="515">
        <v>44348</v>
      </c>
      <c r="P1103" s="516">
        <v>48</v>
      </c>
      <c r="Q1103" s="516">
        <v>48</v>
      </c>
      <c r="R1103" s="528" t="s">
        <v>45</v>
      </c>
      <c r="S1103" s="515" t="s">
        <v>91</v>
      </c>
      <c r="T1103" s="515" t="s">
        <v>310</v>
      </c>
      <c r="U1103" s="515" t="s">
        <v>60</v>
      </c>
      <c r="V1103" s="515"/>
      <c r="W1103" s="511" t="s">
        <v>577</v>
      </c>
    </row>
    <row r="1104" spans="1:31" ht="50">
      <c r="A1104" s="1119"/>
      <c r="B1104" s="577" t="s">
        <v>56</v>
      </c>
      <c r="C1104" s="659" t="s">
        <v>4062</v>
      </c>
      <c r="D1104" s="638" t="s">
        <v>122</v>
      </c>
      <c r="E1104" s="638"/>
      <c r="F1104" s="638"/>
      <c r="G1104" s="638"/>
      <c r="H1104" s="638" t="s">
        <v>308</v>
      </c>
      <c r="I1104" s="639" t="s">
        <v>47</v>
      </c>
      <c r="J1104" s="1593" t="s">
        <v>4063</v>
      </c>
      <c r="K1104" s="660"/>
      <c r="L1104" s="511">
        <v>0</v>
      </c>
      <c r="M1104" s="640">
        <f t="shared" si="13"/>
        <v>44256</v>
      </c>
      <c r="N1104" s="640">
        <f t="shared" si="14"/>
        <v>44348</v>
      </c>
      <c r="O1104" s="629">
        <v>44348</v>
      </c>
      <c r="P1104" s="641">
        <v>2</v>
      </c>
      <c r="Q1104" s="641">
        <v>2</v>
      </c>
      <c r="R1104" s="642">
        <v>140000</v>
      </c>
      <c r="S1104" s="515" t="s">
        <v>75</v>
      </c>
      <c r="T1104" s="629" t="s">
        <v>62</v>
      </c>
      <c r="U1104" s="629" t="s">
        <v>60</v>
      </c>
      <c r="V1104" s="629"/>
      <c r="W1104" s="638" t="s">
        <v>577</v>
      </c>
    </row>
    <row r="1105" spans="1:31" ht="50">
      <c r="A1105" s="1119"/>
      <c r="B1105" s="577" t="s">
        <v>56</v>
      </c>
      <c r="C1105" s="510" t="s">
        <v>4064</v>
      </c>
      <c r="D1105" s="511" t="s">
        <v>57</v>
      </c>
      <c r="E1105" s="511"/>
      <c r="F1105" s="511"/>
      <c r="G1105" s="511"/>
      <c r="H1105" s="511" t="s">
        <v>58</v>
      </c>
      <c r="I1105" s="519" t="s">
        <v>47</v>
      </c>
      <c r="J1105" s="1578" t="s">
        <v>4065</v>
      </c>
      <c r="K1105" s="990"/>
      <c r="L1105" s="511">
        <v>3</v>
      </c>
      <c r="M1105" s="514">
        <f t="shared" si="13"/>
        <v>44166</v>
      </c>
      <c r="N1105" s="514">
        <f t="shared" si="14"/>
        <v>44256</v>
      </c>
      <c r="O1105" s="515">
        <v>44348</v>
      </c>
      <c r="P1105" s="516">
        <v>1</v>
      </c>
      <c r="Q1105" s="516">
        <v>1</v>
      </c>
      <c r="R1105" s="528">
        <v>90000</v>
      </c>
      <c r="S1105" s="515" t="s">
        <v>61</v>
      </c>
      <c r="T1105" s="515" t="s">
        <v>62</v>
      </c>
      <c r="U1105" s="510" t="s">
        <v>60</v>
      </c>
      <c r="V1105" s="510"/>
      <c r="W1105" s="511"/>
    </row>
    <row r="1106" spans="1:31" ht="50">
      <c r="A1106" s="1119"/>
      <c r="B1106" s="577" t="s">
        <v>56</v>
      </c>
      <c r="C1106" s="510" t="s">
        <v>60</v>
      </c>
      <c r="D1106" s="511" t="s">
        <v>348</v>
      </c>
      <c r="E1106" s="511"/>
      <c r="F1106" s="511"/>
      <c r="G1106" s="511"/>
      <c r="H1106" s="511" t="s">
        <v>58</v>
      </c>
      <c r="I1106" s="510" t="s">
        <v>47</v>
      </c>
      <c r="J1106" s="1580" t="s">
        <v>4066</v>
      </c>
      <c r="K1106" s="990"/>
      <c r="L1106" s="511">
        <v>3</v>
      </c>
      <c r="M1106" s="514">
        <f t="shared" si="13"/>
        <v>44166</v>
      </c>
      <c r="N1106" s="514">
        <f t="shared" si="14"/>
        <v>44256</v>
      </c>
      <c r="O1106" s="534">
        <v>44348</v>
      </c>
      <c r="P1106" s="535">
        <v>2</v>
      </c>
      <c r="Q1106" s="535">
        <v>2</v>
      </c>
      <c r="R1106" s="528">
        <v>287816</v>
      </c>
      <c r="S1106" s="515" t="s">
        <v>61</v>
      </c>
      <c r="T1106" s="515" t="s">
        <v>310</v>
      </c>
      <c r="U1106" s="515" t="s">
        <v>60</v>
      </c>
      <c r="V1106" s="515"/>
      <c r="W1106" s="394" t="s">
        <v>70</v>
      </c>
    </row>
    <row r="1107" spans="1:31" ht="72.5">
      <c r="A1107" s="1184"/>
      <c r="B1107" s="2755"/>
      <c r="C1107" s="4" t="s">
        <v>45</v>
      </c>
      <c r="D1107" s="5" t="s">
        <v>32</v>
      </c>
      <c r="E1107" s="5"/>
      <c r="F1107" s="5"/>
      <c r="G1107" s="5"/>
      <c r="H1107" s="5" t="s">
        <v>595</v>
      </c>
      <c r="I1107" s="5" t="s">
        <v>47</v>
      </c>
      <c r="J1107" s="16" t="s">
        <v>596</v>
      </c>
      <c r="K1107" s="8"/>
      <c r="L1107" s="5" t="e">
        <f>IF(OR(S1107=#REF!,S1107=#REF!,S1107=#REF!,S1107=#REF!,S1107=#REF!,S1107=#REF!,S1107=#REF!,S1107=#REF!),12,IF(OR(S1107=#REF!,S1107=#REF!,S1107=#REF!,S1107=#REF!,S1107=#REF!,S1107=#REF!,S1107=#REF!),3,IF(S1107=#REF!,1,IF(S1107=#REF!,18,IF(OR(S1107=#REF!,S1107=#REF!,S1107=#REF!,S1107=#REF!,S1107=#REF!),14,"Invalid proposed procurement method")))))</f>
        <v>#REF!</v>
      </c>
      <c r="M1107" s="199" t="str">
        <f>IFERROR(EDATE($N1107,-3),"Invalid procurement method or date entered")</f>
        <v>Invalid procurement method or date entered</v>
      </c>
      <c r="N1107" s="199" t="str">
        <f>IFERROR(EDATE(O1107,-L1107),"Invalid procurement method or date entered")</f>
        <v>Invalid procurement method or date entered</v>
      </c>
      <c r="O1107" s="199">
        <v>44358</v>
      </c>
      <c r="P1107" s="5">
        <v>12</v>
      </c>
      <c r="Q1107" s="7" t="s">
        <v>50</v>
      </c>
      <c r="R1107" s="18">
        <v>3000</v>
      </c>
      <c r="S1107" s="5" t="s">
        <v>84</v>
      </c>
      <c r="T1107" s="11" t="s">
        <v>38</v>
      </c>
      <c r="U1107" s="182" t="s">
        <v>67</v>
      </c>
      <c r="V1107" s="182"/>
      <c r="W1107" s="5" t="s">
        <v>598</v>
      </c>
      <c r="X1107" s="80" t="s">
        <v>189</v>
      </c>
      <c r="Y1107" s="80" t="s">
        <v>727</v>
      </c>
      <c r="Z1107" s="80" t="s">
        <v>154</v>
      </c>
      <c r="AA1107" s="80" t="s">
        <v>70</v>
      </c>
      <c r="AB1107" s="354" t="s">
        <v>143</v>
      </c>
      <c r="AC1107" s="101" t="s">
        <v>4067</v>
      </c>
      <c r="AD1107" s="76" t="s">
        <v>79</v>
      </c>
      <c r="AE1107" s="211">
        <v>3000</v>
      </c>
    </row>
    <row r="1108" spans="1:31" ht="72.5">
      <c r="A1108" s="1119"/>
      <c r="B1108" s="120"/>
      <c r="C1108" s="4" t="s">
        <v>2904</v>
      </c>
      <c r="D1108" s="9" t="s">
        <v>32</v>
      </c>
      <c r="E1108" s="9"/>
      <c r="F1108" s="9"/>
      <c r="G1108" s="9"/>
      <c r="H1108" s="5" t="s">
        <v>862</v>
      </c>
      <c r="I1108" s="5" t="s">
        <v>34</v>
      </c>
      <c r="J1108" s="191" t="s">
        <v>1074</v>
      </c>
      <c r="K1108" s="191"/>
      <c r="L1108" s="5" t="e">
        <f>IF(OR(S1108=#REF!,S1108=#REF!,S1108=#REF!,S1108=#REF!,S1108=#REF!,S1108=#REF!,S1108=#REF!,S1108=#REF!),12,IF(OR(S1108=#REF!,S1108=#REF!,S1108=#REF!,S1108=#REF!,S1108=#REF!,S1108=#REF!,S1108=#REF!),3,IF(S1108=#REF!,1,IF(S1108=#REF!,18,IF(OR(S1108=#REF!,S1108=#REF!,S1108=#REF!,S1108=#REF!,S1108=#REF!),14,"Invalid proposed procurement method")))))</f>
        <v>#REF!</v>
      </c>
      <c r="M1108" s="199" t="str">
        <f>IFERROR(EDATE($N1108,-3),"Invalid procurement method or date entered")</f>
        <v>Invalid procurement method or date entered</v>
      </c>
      <c r="N1108" s="199" t="str">
        <f>IFERROR(EDATE(O1108,-L1108),"Invalid procurement method or date entered")</f>
        <v>Invalid procurement method or date entered</v>
      </c>
      <c r="O1108" s="182">
        <v>44367</v>
      </c>
      <c r="P1108" s="12">
        <v>24</v>
      </c>
      <c r="Q1108" s="199" t="s">
        <v>36</v>
      </c>
      <c r="R1108" s="18">
        <v>30000</v>
      </c>
      <c r="S1108" s="183" t="s">
        <v>130</v>
      </c>
      <c r="T1108" s="9" t="s">
        <v>38</v>
      </c>
      <c r="U1108" s="217" t="s">
        <v>67</v>
      </c>
      <c r="V1108" s="217"/>
      <c r="W1108" s="12" t="s">
        <v>1076</v>
      </c>
      <c r="X1108" s="80" t="s">
        <v>283</v>
      </c>
      <c r="Y1108" s="80" t="s">
        <v>40</v>
      </c>
      <c r="Z1108" s="80"/>
      <c r="AA1108" s="80" t="s">
        <v>70</v>
      </c>
      <c r="AB1108" s="354" t="s">
        <v>41</v>
      </c>
      <c r="AC1108" s="993" t="s">
        <v>4068</v>
      </c>
      <c r="AD1108" s="76" t="s">
        <v>285</v>
      </c>
      <c r="AE1108" s="339">
        <v>15000</v>
      </c>
    </row>
    <row r="1109" spans="1:31" ht="112.5">
      <c r="A1109" s="1119"/>
      <c r="B1109" s="577" t="s">
        <v>56</v>
      </c>
      <c r="C1109" s="511" t="s">
        <v>60</v>
      </c>
      <c r="D1109" s="511" t="s">
        <v>57</v>
      </c>
      <c r="E1109" s="511"/>
      <c r="F1109" s="511"/>
      <c r="G1109" s="511"/>
      <c r="H1109" s="511" t="s">
        <v>58</v>
      </c>
      <c r="I1109" s="519" t="s">
        <v>47</v>
      </c>
      <c r="J1109" s="606" t="s">
        <v>4069</v>
      </c>
      <c r="K1109" s="529"/>
      <c r="L1109" s="529"/>
      <c r="M1109" s="511">
        <v>3</v>
      </c>
      <c r="N1109" s="514" t="str">
        <f>IF(O1109="tbc","",(IFERROR(EDATE(#REF!,-3),"Invalid procurement method or date entered")))</f>
        <v>Invalid procurement method or date entered</v>
      </c>
      <c r="O1109" s="514">
        <v>44368</v>
      </c>
      <c r="P1109" s="536" t="s">
        <v>60</v>
      </c>
      <c r="Q1109" s="536" t="s">
        <v>60</v>
      </c>
      <c r="R1109" s="538" t="s">
        <v>60</v>
      </c>
      <c r="S1109" s="515" t="s">
        <v>61</v>
      </c>
      <c r="T1109" s="515" t="s">
        <v>62</v>
      </c>
      <c r="U1109" s="511" t="s">
        <v>60</v>
      </c>
      <c r="V1109" s="511"/>
      <c r="W1109" s="531" t="s">
        <v>3452</v>
      </c>
    </row>
    <row r="1110" spans="1:31" ht="187.5">
      <c r="A1110" s="1119"/>
      <c r="B1110" s="577" t="s">
        <v>56</v>
      </c>
      <c r="C1110" s="511" t="s">
        <v>60</v>
      </c>
      <c r="D1110" s="511" t="s">
        <v>57</v>
      </c>
      <c r="E1110" s="511"/>
      <c r="F1110" s="511"/>
      <c r="G1110" s="511"/>
      <c r="H1110" s="511" t="s">
        <v>58</v>
      </c>
      <c r="I1110" s="519" t="s">
        <v>47</v>
      </c>
      <c r="J1110" s="606" t="s">
        <v>4070</v>
      </c>
      <c r="K1110" s="529"/>
      <c r="L1110" s="529"/>
      <c r="M1110" s="511">
        <v>3</v>
      </c>
      <c r="N1110" s="514" t="str">
        <f>IF(O1110="tbc","",(IFERROR(EDATE(#REF!,-3),"Invalid procurement method or date entered")))</f>
        <v>Invalid procurement method or date entered</v>
      </c>
      <c r="O1110" s="514">
        <v>44368</v>
      </c>
      <c r="P1110" s="536" t="s">
        <v>60</v>
      </c>
      <c r="Q1110" s="536" t="s">
        <v>60</v>
      </c>
      <c r="R1110" s="538" t="s">
        <v>60</v>
      </c>
      <c r="S1110" s="515" t="s">
        <v>61</v>
      </c>
      <c r="T1110" s="515" t="s">
        <v>62</v>
      </c>
      <c r="U1110" s="511" t="s">
        <v>60</v>
      </c>
      <c r="V1110" s="511"/>
      <c r="W1110" s="531" t="s">
        <v>3452</v>
      </c>
    </row>
    <row r="1111" spans="1:31" ht="50">
      <c r="A1111" s="1119"/>
      <c r="B1111" s="577" t="s">
        <v>56</v>
      </c>
      <c r="C1111" s="510" t="s">
        <v>60</v>
      </c>
      <c r="D1111" s="511" t="s">
        <v>32</v>
      </c>
      <c r="E1111" s="511"/>
      <c r="F1111" s="511"/>
      <c r="G1111" s="511"/>
      <c r="H1111" s="511" t="s">
        <v>308</v>
      </c>
      <c r="I1111" s="511" t="s">
        <v>47</v>
      </c>
      <c r="J1111" s="1580" t="s">
        <v>4071</v>
      </c>
      <c r="K1111" s="533"/>
      <c r="L1111" s="511">
        <v>3</v>
      </c>
      <c r="M1111" s="514">
        <f>IF(O1111="tbc","",(IFERROR(EDATE($N1111,-3),"Invalid procurement method or date entered")))</f>
        <v>44186</v>
      </c>
      <c r="N1111" s="514">
        <f>IF(O1111="tbc","",(IFERROR(EDATE(O1111,-L1111),"Invalid procurement method or date entered")))</f>
        <v>44276</v>
      </c>
      <c r="O1111" s="534">
        <v>44368</v>
      </c>
      <c r="P1111" s="536" t="s">
        <v>60</v>
      </c>
      <c r="Q1111" s="536" t="s">
        <v>60</v>
      </c>
      <c r="R1111" s="528">
        <v>480000</v>
      </c>
      <c r="S1111" s="515" t="s">
        <v>61</v>
      </c>
      <c r="T1111" s="515" t="s">
        <v>62</v>
      </c>
      <c r="U1111" s="515" t="s">
        <v>60</v>
      </c>
      <c r="V1111" s="515"/>
      <c r="W1111" s="511" t="s">
        <v>3935</v>
      </c>
    </row>
    <row r="1112" spans="1:31" ht="87.5">
      <c r="A1112" s="1119"/>
      <c r="B1112" s="577" t="s">
        <v>56</v>
      </c>
      <c r="C1112" s="510" t="s">
        <v>3593</v>
      </c>
      <c r="D1112" s="511" t="s">
        <v>57</v>
      </c>
      <c r="E1112" s="511"/>
      <c r="F1112" s="511"/>
      <c r="G1112" s="511"/>
      <c r="H1112" s="511" t="s">
        <v>58</v>
      </c>
      <c r="I1112" s="510" t="s">
        <v>47</v>
      </c>
      <c r="J1112" s="1580" t="s">
        <v>4072</v>
      </c>
      <c r="K1112" s="533"/>
      <c r="L1112" s="511">
        <v>3</v>
      </c>
      <c r="M1112" s="514">
        <f>IF(O1112="tbc","",(IFERROR(EDATE($N1112,-3),"Invalid procurement method or date entered")))</f>
        <v>44186</v>
      </c>
      <c r="N1112" s="514">
        <f>IF(O1112="tbc","",(IFERROR(EDATE(O1112,-L1112),"Invalid procurement method or date entered")))</f>
        <v>44276</v>
      </c>
      <c r="O1112" s="534">
        <v>44368</v>
      </c>
      <c r="P1112" s="535" t="s">
        <v>60</v>
      </c>
      <c r="Q1112" s="535" t="s">
        <v>60</v>
      </c>
      <c r="R1112" s="528">
        <v>468263</v>
      </c>
      <c r="S1112" s="515" t="s">
        <v>61</v>
      </c>
      <c r="T1112" s="515" t="s">
        <v>310</v>
      </c>
      <c r="U1112" s="515" t="s">
        <v>60</v>
      </c>
      <c r="V1112" s="515"/>
      <c r="W1112" s="510" t="s">
        <v>3935</v>
      </c>
    </row>
    <row r="1113" spans="1:31" ht="62.5">
      <c r="A1113" s="1119"/>
      <c r="B1113" s="577" t="s">
        <v>56</v>
      </c>
      <c r="C1113" s="511" t="s">
        <v>60</v>
      </c>
      <c r="D1113" s="511" t="s">
        <v>57</v>
      </c>
      <c r="E1113" s="511"/>
      <c r="F1113" s="511"/>
      <c r="G1113" s="511"/>
      <c r="H1113" s="511" t="s">
        <v>58</v>
      </c>
      <c r="I1113" s="511" t="s">
        <v>47</v>
      </c>
      <c r="J1113" s="1580" t="s">
        <v>4073</v>
      </c>
      <c r="K1113" s="533"/>
      <c r="L1113" s="511">
        <v>2</v>
      </c>
      <c r="M1113" s="514">
        <f>IF(O1113="tbc","",(IFERROR(EDATE($N1113,-3),"Invalid procurement method or date entered")))</f>
        <v>44217</v>
      </c>
      <c r="N1113" s="514">
        <f>IF(O1113="tbc","",(IFERROR(EDATE(O1113,-L1113),"Invalid procurement method or date entered")))</f>
        <v>44307</v>
      </c>
      <c r="O1113" s="534">
        <v>44368</v>
      </c>
      <c r="P1113" s="536" t="s">
        <v>60</v>
      </c>
      <c r="Q1113" s="536" t="s">
        <v>60</v>
      </c>
      <c r="R1113" s="528">
        <v>60000</v>
      </c>
      <c r="S1113" s="515" t="s">
        <v>176</v>
      </c>
      <c r="T1113" s="515" t="s">
        <v>62</v>
      </c>
      <c r="U1113" s="515" t="s">
        <v>60</v>
      </c>
      <c r="V1113" s="515"/>
      <c r="W1113" s="511" t="s">
        <v>3935</v>
      </c>
    </row>
    <row r="1114" spans="1:31" ht="72.5">
      <c r="A1114" s="2756"/>
      <c r="B1114" s="2757"/>
      <c r="C1114" s="4" t="s">
        <v>3566</v>
      </c>
      <c r="D1114" s="2751" t="s">
        <v>32</v>
      </c>
      <c r="E1114" s="2751"/>
      <c r="F1114" s="2751"/>
      <c r="G1114" s="2751"/>
      <c r="H1114" s="5" t="s">
        <v>127</v>
      </c>
      <c r="I1114" s="2751" t="s">
        <v>47</v>
      </c>
      <c r="J1114" s="2752" t="s">
        <v>4074</v>
      </c>
      <c r="K1114" s="2758"/>
      <c r="L1114" s="5" t="e">
        <f>IF(OR(S1114=#REF!,S1114=#REF!,S1114=#REF!,S1114=#REF!,S1114=#REF!,S1114=#REF!,S1114=#REF!,S1114=#REF!),12,IF(OR(S1114=#REF!,S1114=#REF!,S1114=#REF!,S1114=#REF!,S1114=#REF!,S1114=#REF!,S1114=#REF!),3,IF(S1114=#REF!,1,IF(S1114=#REF!,18,IF(OR(S1114=#REF!,S1114=#REF!,S1114=#REF!,S1114=#REF!,S1114=#REF!),14,"Invalid proposed procurement method")))))</f>
        <v>#REF!</v>
      </c>
      <c r="M1114" s="199" t="str">
        <f>IFERROR(EDATE($N1114,-3),"Invalid procurement method or date entered")</f>
        <v>Invalid procurement method or date entered</v>
      </c>
      <c r="N1114" s="199" t="str">
        <f>IFERROR(EDATE(O1114,-L1114),"Invalid procurement method or date entered")</f>
        <v>Invalid procurement method or date entered</v>
      </c>
      <c r="O1114" s="2759">
        <v>44370</v>
      </c>
      <c r="P1114" s="12">
        <v>18</v>
      </c>
      <c r="Q1114" s="2751">
        <v>18</v>
      </c>
      <c r="R1114" s="18" t="s">
        <v>45</v>
      </c>
      <c r="S1114" s="199" t="s">
        <v>51</v>
      </c>
      <c r="T1114" s="11" t="s">
        <v>38</v>
      </c>
      <c r="U1114" s="14" t="s">
        <v>67</v>
      </c>
      <c r="V1114" s="14"/>
      <c r="W1114" s="5" t="s">
        <v>3831</v>
      </c>
      <c r="X1114" s="2760" t="s">
        <v>254</v>
      </c>
      <c r="Y1114" s="2760" t="s">
        <v>40</v>
      </c>
      <c r="Z1114" s="80" t="s">
        <v>87</v>
      </c>
      <c r="AA1114" s="80" t="s">
        <v>38</v>
      </c>
      <c r="AB1114" s="354" t="s">
        <v>143</v>
      </c>
      <c r="AC1114" s="2761" t="s">
        <v>4075</v>
      </c>
      <c r="AD1114" s="76" t="s">
        <v>127</v>
      </c>
      <c r="AE1114" s="339"/>
    </row>
    <row r="1115" spans="1:31" ht="37.5">
      <c r="A1115" s="1119"/>
      <c r="B1115" s="577" t="s">
        <v>56</v>
      </c>
      <c r="C1115" s="511" t="s">
        <v>4076</v>
      </c>
      <c r="D1115" s="511" t="s">
        <v>57</v>
      </c>
      <c r="E1115" s="511"/>
      <c r="F1115" s="511"/>
      <c r="G1115" s="511"/>
      <c r="H1115" s="511" t="s">
        <v>58</v>
      </c>
      <c r="I1115" s="519" t="s">
        <v>47</v>
      </c>
      <c r="J1115" s="1578" t="s">
        <v>4077</v>
      </c>
      <c r="K1115" s="512"/>
      <c r="L1115" s="511">
        <v>3</v>
      </c>
      <c r="M1115" s="514">
        <f>IF(O1115="tbc","",(IFERROR(EDATE($N1115,-3),"Invalid procurement method or date entered")))</f>
        <v>44190</v>
      </c>
      <c r="N1115" s="514">
        <f>IF(O1115="tbc","",(IFERROR(EDATE(O1115,-L1115),"Invalid procurement method or date entered")))</f>
        <v>44280</v>
      </c>
      <c r="O1115" s="515">
        <v>44372</v>
      </c>
      <c r="P1115" s="516">
        <v>2</v>
      </c>
      <c r="Q1115" s="519">
        <v>2</v>
      </c>
      <c r="R1115" s="528">
        <v>40000</v>
      </c>
      <c r="S1115" s="515" t="s">
        <v>176</v>
      </c>
      <c r="T1115" s="515" t="s">
        <v>62</v>
      </c>
      <c r="U1115" s="511" t="s">
        <v>60</v>
      </c>
      <c r="V1115" s="511"/>
      <c r="W1115" s="511"/>
    </row>
    <row r="1116" spans="1:31" ht="62.5">
      <c r="A1116" s="1119"/>
      <c r="B1116" s="577" t="s">
        <v>56</v>
      </c>
      <c r="C1116" s="510" t="s">
        <v>4078</v>
      </c>
      <c r="D1116" s="511" t="s">
        <v>57</v>
      </c>
      <c r="E1116" s="511"/>
      <c r="F1116" s="511"/>
      <c r="G1116" s="511"/>
      <c r="H1116" s="511" t="s">
        <v>58</v>
      </c>
      <c r="I1116" s="510" t="s">
        <v>47</v>
      </c>
      <c r="J1116" s="1580" t="s">
        <v>4079</v>
      </c>
      <c r="K1116" s="533"/>
      <c r="L1116" s="511">
        <v>3</v>
      </c>
      <c r="M1116" s="514">
        <f>IF(O1116="tbc","",(IFERROR(EDATE($N1116,-3),"Invalid procurement method or date entered")))</f>
        <v>44193</v>
      </c>
      <c r="N1116" s="514">
        <f>IF(O1116="tbc","",(IFERROR(EDATE(O1116,-L1116),"Invalid procurement method or date entered")))</f>
        <v>44283</v>
      </c>
      <c r="O1116" s="534">
        <v>44375</v>
      </c>
      <c r="P1116" s="535">
        <v>3</v>
      </c>
      <c r="Q1116" s="535">
        <v>3</v>
      </c>
      <c r="R1116" s="528">
        <v>788000</v>
      </c>
      <c r="S1116" s="515" t="s">
        <v>61</v>
      </c>
      <c r="T1116" s="515" t="s">
        <v>310</v>
      </c>
      <c r="U1116" s="515" t="s">
        <v>60</v>
      </c>
      <c r="V1116" s="515"/>
      <c r="W1116" s="510" t="s">
        <v>3935</v>
      </c>
    </row>
    <row r="1117" spans="1:31" ht="72.5">
      <c r="A1117" s="1185"/>
      <c r="B1117" s="2755"/>
      <c r="C1117" s="4" t="s">
        <v>45</v>
      </c>
      <c r="D1117" s="9" t="s">
        <v>32</v>
      </c>
      <c r="E1117" s="9"/>
      <c r="F1117" s="9"/>
      <c r="G1117" s="9"/>
      <c r="H1117" s="5" t="s">
        <v>33</v>
      </c>
      <c r="I1117" s="9" t="s">
        <v>34</v>
      </c>
      <c r="J1117" s="63" t="s">
        <v>4080</v>
      </c>
      <c r="K1117" s="63"/>
      <c r="L1117" s="5" t="e">
        <f>IF(OR(S1117=#REF!,S1117=#REF!,S1117=#REF!,S1117=#REF!,S1117=#REF!,S1117=#REF!,S1117=#REF!,S1117=#REF!),12,IF(OR(S1117=#REF!,S1117=#REF!,S1117=#REF!,S1117=#REF!,S1117=#REF!,S1117=#REF!,S1117=#REF!),3,IF(S1117=#REF!,1,IF(S1117=#REF!,18,IF(OR(S1117=#REF!,S1117=#REF!,S1117=#REF!,S1117=#REF!,S1117=#REF!),14,"Invalid proposed procurement method")))))</f>
        <v>#REF!</v>
      </c>
      <c r="M1117" s="199" t="str">
        <f>IFERROR(EDATE($N1117,-3),"Invalid procurement method or date entered")</f>
        <v>Invalid procurement method or date entered</v>
      </c>
      <c r="N1117" s="199" t="str">
        <f t="shared" ref="N1117:N1123" si="15">IFERROR(EDATE(O1117,-L1117),"Invalid procurement method or date entered")</f>
        <v>Invalid procurement method or date entered</v>
      </c>
      <c r="O1117" s="49">
        <v>44378</v>
      </c>
      <c r="P1117" s="15">
        <v>72</v>
      </c>
      <c r="Q1117" s="49" t="s">
        <v>4081</v>
      </c>
      <c r="R1117" s="18" t="s">
        <v>1660</v>
      </c>
      <c r="S1117" s="5" t="s">
        <v>130</v>
      </c>
      <c r="T1117" s="9" t="s">
        <v>38</v>
      </c>
      <c r="U1117" s="15" t="s">
        <v>67</v>
      </c>
      <c r="V1117" s="15"/>
      <c r="W1117" s="5" t="s">
        <v>4082</v>
      </c>
      <c r="X1117" s="80" t="s">
        <v>39</v>
      </c>
      <c r="Y1117" s="80" t="s">
        <v>40</v>
      </c>
      <c r="Z1117" s="80" t="s">
        <v>154</v>
      </c>
      <c r="AA1117" s="1077" t="s">
        <v>70</v>
      </c>
      <c r="AB1117" s="354">
        <v>44407</v>
      </c>
      <c r="AC1117" s="993" t="s">
        <v>4083</v>
      </c>
      <c r="AD1117" s="76" t="s">
        <v>127</v>
      </c>
      <c r="AE1117" s="211"/>
    </row>
    <row r="1118" spans="1:31" ht="174">
      <c r="A1118" s="1184"/>
      <c r="B1118" s="2755" t="s">
        <v>44</v>
      </c>
      <c r="C1118" s="4" t="s">
        <v>45</v>
      </c>
      <c r="D1118" s="5" t="s">
        <v>57</v>
      </c>
      <c r="E1118" s="5"/>
      <c r="F1118" s="5"/>
      <c r="G1118" s="5"/>
      <c r="H1118" s="5" t="s">
        <v>496</v>
      </c>
      <c r="I1118" s="5" t="s">
        <v>47</v>
      </c>
      <c r="J1118" s="16" t="s">
        <v>4084</v>
      </c>
      <c r="K1118" s="16"/>
      <c r="L1118" s="5" t="e">
        <f>IF(OR(S1118=#REF!,S1118=#REF!,S1118=#REF!,S1118=#REF!,S1118=#REF!,S1118=#REF!,S1118=#REF!,S1118=#REF!),12,IF(OR(S1118=#REF!,S1118=#REF!,S1118=#REF!,S1118=#REF!,S1118=#REF!,S1118=#REF!,S1118=#REF!),3,IF(S1118=#REF!,1,IF(S1118=#REF!,18,IF(OR(S1118=#REF!,S1118=#REF!,S1118=#REF!,S1118=#REF!,S1118=#REF!),14,"Invalid proposed procurement method")))))</f>
        <v>#REF!</v>
      </c>
      <c r="M1118" s="199" t="str">
        <f>IFERROR(EDATE($N1118,-3),"Invalid procurement method or date entered")</f>
        <v>Invalid procurement method or date entered</v>
      </c>
      <c r="N1118" s="199" t="str">
        <f t="shared" si="15"/>
        <v>Invalid procurement method or date entered</v>
      </c>
      <c r="O1118" s="182">
        <v>44378</v>
      </c>
      <c r="P1118" s="71">
        <v>12</v>
      </c>
      <c r="Q1118" s="71">
        <v>12</v>
      </c>
      <c r="R1118" s="2767">
        <v>25000</v>
      </c>
      <c r="S1118" s="2751" t="s">
        <v>37</v>
      </c>
      <c r="T1118" s="9" t="s">
        <v>38</v>
      </c>
      <c r="U1118" s="15" t="s">
        <v>67</v>
      </c>
      <c r="V1118" s="15"/>
      <c r="W1118" s="5" t="s">
        <v>4085</v>
      </c>
      <c r="X1118" s="80" t="s">
        <v>3955</v>
      </c>
      <c r="Y1118" s="80" t="s">
        <v>727</v>
      </c>
      <c r="Z1118" s="80" t="s">
        <v>154</v>
      </c>
      <c r="AA1118" s="80" t="s">
        <v>70</v>
      </c>
      <c r="AB1118" s="354" t="s">
        <v>88</v>
      </c>
      <c r="AC1118" s="101" t="s">
        <v>4086</v>
      </c>
      <c r="AD1118" s="76" t="s">
        <v>165</v>
      </c>
      <c r="AE1118" s="197">
        <v>9745.82</v>
      </c>
    </row>
    <row r="1119" spans="1:31" ht="43.5">
      <c r="A1119" s="1184"/>
      <c r="B1119" s="362" t="s">
        <v>100</v>
      </c>
      <c r="C1119" s="362"/>
      <c r="D1119" s="8" t="s">
        <v>193</v>
      </c>
      <c r="E1119" s="8"/>
      <c r="F1119" s="8"/>
      <c r="G1119" s="8"/>
      <c r="H1119" s="8" t="s">
        <v>103</v>
      </c>
      <c r="I1119" s="8" t="s">
        <v>34</v>
      </c>
      <c r="J1119" s="16" t="s">
        <v>247</v>
      </c>
      <c r="K1119" s="8"/>
      <c r="L1119" s="84">
        <v>14</v>
      </c>
      <c r="M1119" s="436">
        <f>IFERROR(EDATE(N1119,-3),"Invalid procurement method or date entered")</f>
        <v>43862</v>
      </c>
      <c r="N1119" s="386">
        <f t="shared" si="15"/>
        <v>43952</v>
      </c>
      <c r="O1119" s="367">
        <v>44378</v>
      </c>
      <c r="P1119" s="369">
        <v>60</v>
      </c>
      <c r="Q1119" s="369" t="s">
        <v>248</v>
      </c>
      <c r="R1119" s="159">
        <v>2300000</v>
      </c>
      <c r="S1119" s="159" t="s">
        <v>105</v>
      </c>
      <c r="T1119" s="5" t="s">
        <v>38</v>
      </c>
      <c r="U1119" s="5" t="s">
        <v>71</v>
      </c>
      <c r="V1119" s="5"/>
      <c r="W1119" s="8" t="s">
        <v>4087</v>
      </c>
      <c r="X1119" s="101" t="s">
        <v>413</v>
      </c>
      <c r="Y1119" s="101" t="s">
        <v>727</v>
      </c>
      <c r="Z1119" s="101"/>
      <c r="AA1119" s="1099" t="s">
        <v>70</v>
      </c>
      <c r="AB1119" s="432">
        <v>44180</v>
      </c>
      <c r="AC1119" s="429" t="s">
        <v>4088</v>
      </c>
      <c r="AD1119" s="429"/>
      <c r="AE1119" s="429"/>
    </row>
    <row r="1120" spans="1:31" ht="72.5">
      <c r="A1120" s="1184"/>
      <c r="B1120" s="200" t="s">
        <v>100</v>
      </c>
      <c r="C1120" s="200" t="s">
        <v>45</v>
      </c>
      <c r="D1120" s="8" t="s">
        <v>110</v>
      </c>
      <c r="E1120" s="8"/>
      <c r="F1120" s="8"/>
      <c r="G1120" s="8"/>
      <c r="H1120" s="16" t="s">
        <v>103</v>
      </c>
      <c r="I1120" s="16" t="s">
        <v>34</v>
      </c>
      <c r="J1120" s="16" t="s">
        <v>4089</v>
      </c>
      <c r="K1120" s="8"/>
      <c r="L1120" s="5">
        <v>12</v>
      </c>
      <c r="M1120" s="199">
        <f>IFERROR(EDATE(N1120,-3),"Invalid procurement method or date entered")</f>
        <v>43922</v>
      </c>
      <c r="N1120" s="149">
        <f t="shared" si="15"/>
        <v>44013</v>
      </c>
      <c r="O1120" s="367">
        <v>44378</v>
      </c>
      <c r="P1120" s="46">
        <v>60</v>
      </c>
      <c r="Q1120" s="359">
        <v>60</v>
      </c>
      <c r="R1120" s="159">
        <v>90000000</v>
      </c>
      <c r="S1120" s="159" t="s">
        <v>130</v>
      </c>
      <c r="T1120" s="365" t="s">
        <v>70</v>
      </c>
      <c r="U1120" s="365" t="s">
        <v>4090</v>
      </c>
      <c r="V1120" s="365"/>
      <c r="W1120" s="8" t="s">
        <v>4091</v>
      </c>
      <c r="X1120" s="111" t="s">
        <v>120</v>
      </c>
      <c r="Y1120" s="111" t="s">
        <v>40</v>
      </c>
      <c r="Z1120" s="111"/>
      <c r="AA1120" s="1091" t="s">
        <v>87</v>
      </c>
      <c r="AB1120" s="1101" t="s">
        <v>70</v>
      </c>
      <c r="AC1120" s="491">
        <v>44770</v>
      </c>
      <c r="AD1120" s="491"/>
      <c r="AE1120" s="491"/>
    </row>
    <row r="1121" spans="1:31" ht="72.5">
      <c r="A1121" s="1184"/>
      <c r="B1121" s="200" t="s">
        <v>100</v>
      </c>
      <c r="C1121" s="200" t="s">
        <v>45</v>
      </c>
      <c r="D1121" s="8" t="s">
        <v>110</v>
      </c>
      <c r="E1121" s="8"/>
      <c r="F1121" s="8"/>
      <c r="G1121" s="8"/>
      <c r="H1121" s="16" t="s">
        <v>103</v>
      </c>
      <c r="I1121" s="16" t="s">
        <v>34</v>
      </c>
      <c r="J1121" s="16" t="s">
        <v>4092</v>
      </c>
      <c r="K1121" s="8"/>
      <c r="L1121" s="5">
        <v>12</v>
      </c>
      <c r="M1121" s="199">
        <f>IFERROR(EDATE(N1121,-3),"Invalid procurement method or date entered")</f>
        <v>43922</v>
      </c>
      <c r="N1121" s="149">
        <f t="shared" si="15"/>
        <v>44013</v>
      </c>
      <c r="O1121" s="367">
        <v>44378</v>
      </c>
      <c r="P1121" s="46">
        <v>60</v>
      </c>
      <c r="Q1121" s="359">
        <v>60</v>
      </c>
      <c r="R1121" s="159">
        <v>18000000</v>
      </c>
      <c r="S1121" s="159" t="s">
        <v>130</v>
      </c>
      <c r="T1121" s="365" t="s">
        <v>70</v>
      </c>
      <c r="U1121" s="365" t="s">
        <v>4090</v>
      </c>
      <c r="V1121" s="365"/>
      <c r="W1121" s="8" t="s">
        <v>4093</v>
      </c>
      <c r="X1121" s="111" t="s">
        <v>120</v>
      </c>
      <c r="Y1121" s="111" t="s">
        <v>40</v>
      </c>
      <c r="Z1121" s="111"/>
      <c r="AA1121" s="1091" t="s">
        <v>87</v>
      </c>
      <c r="AB1121" s="1101" t="s">
        <v>70</v>
      </c>
      <c r="AC1121" s="491">
        <v>44770</v>
      </c>
      <c r="AD1121" s="491"/>
      <c r="AE1121" s="491"/>
    </row>
    <row r="1122" spans="1:31" ht="29">
      <c r="A1122" s="1184"/>
      <c r="B1122" s="200" t="s">
        <v>100</v>
      </c>
      <c r="C1122" s="200" t="s">
        <v>45</v>
      </c>
      <c r="D1122" s="8" t="s">
        <v>122</v>
      </c>
      <c r="E1122" s="8"/>
      <c r="F1122" s="8"/>
      <c r="G1122" s="8"/>
      <c r="H1122" s="16" t="s">
        <v>197</v>
      </c>
      <c r="I1122" s="16" t="s">
        <v>34</v>
      </c>
      <c r="J1122" s="16" t="s">
        <v>698</v>
      </c>
      <c r="K1122" s="8"/>
      <c r="L1122" s="5">
        <v>12</v>
      </c>
      <c r="M1122" s="199">
        <f>IFERROR(EDATE(N1122,-3),"Invalid procurement method or date entered")</f>
        <v>43922</v>
      </c>
      <c r="N1122" s="149">
        <f t="shared" si="15"/>
        <v>44013</v>
      </c>
      <c r="O1122" s="367">
        <v>44378</v>
      </c>
      <c r="P1122" s="369">
        <v>24</v>
      </c>
      <c r="Q1122" s="369" t="s">
        <v>523</v>
      </c>
      <c r="R1122" s="159">
        <v>64000</v>
      </c>
      <c r="S1122" s="5" t="s">
        <v>130</v>
      </c>
      <c r="T1122" s="365" t="s">
        <v>38</v>
      </c>
      <c r="U1122" s="365" t="s">
        <v>71</v>
      </c>
      <c r="V1122" s="365"/>
      <c r="W1122" s="8" t="s">
        <v>699</v>
      </c>
      <c r="X1122" s="111" t="s">
        <v>120</v>
      </c>
      <c r="Y1122" s="111" t="s">
        <v>40</v>
      </c>
      <c r="Z1122" s="111"/>
      <c r="AA1122" s="1091" t="s">
        <v>69</v>
      </c>
      <c r="AB1122" s="1101" t="s">
        <v>38</v>
      </c>
      <c r="AC1122" s="491">
        <v>44608</v>
      </c>
      <c r="AD1122" s="491"/>
      <c r="AE1122" s="491"/>
    </row>
    <row r="1123" spans="1:31" ht="43.5">
      <c r="A1123" s="1184"/>
      <c r="B1123" s="362" t="s">
        <v>100</v>
      </c>
      <c r="C1123" s="362"/>
      <c r="D1123" s="8" t="s">
        <v>110</v>
      </c>
      <c r="E1123" s="8"/>
      <c r="F1123" s="8"/>
      <c r="G1123" s="8"/>
      <c r="H1123" s="8" t="s">
        <v>103</v>
      </c>
      <c r="I1123" s="8" t="s">
        <v>47</v>
      </c>
      <c r="J1123" s="16" t="s">
        <v>4094</v>
      </c>
      <c r="K1123" s="8"/>
      <c r="L1123" s="84">
        <v>12</v>
      </c>
      <c r="M1123" s="436" t="s">
        <v>4095</v>
      </c>
      <c r="N1123" s="386">
        <f t="shared" si="15"/>
        <v>44013</v>
      </c>
      <c r="O1123" s="367">
        <v>44378</v>
      </c>
      <c r="P1123" s="71">
        <v>12</v>
      </c>
      <c r="Q1123" s="71">
        <v>12</v>
      </c>
      <c r="R1123" s="159">
        <v>40000</v>
      </c>
      <c r="S1123" s="5" t="s">
        <v>176</v>
      </c>
      <c r="T1123" s="365" t="s">
        <v>38</v>
      </c>
      <c r="U1123" s="365"/>
      <c r="V1123" s="365"/>
      <c r="W1123" s="8" t="s">
        <v>3315</v>
      </c>
      <c r="X1123" s="101" t="s">
        <v>189</v>
      </c>
      <c r="Y1123" s="101" t="s">
        <v>115</v>
      </c>
      <c r="Z1123" s="101"/>
      <c r="AA1123" s="101" t="s">
        <v>69</v>
      </c>
      <c r="AB1123" s="1099"/>
      <c r="AC1123" s="432">
        <v>44333</v>
      </c>
      <c r="AD1123" s="432"/>
      <c r="AE1123" s="432"/>
    </row>
    <row r="1124" spans="1:31" ht="62.5">
      <c r="A1124" s="1119"/>
      <c r="B1124" s="577" t="s">
        <v>56</v>
      </c>
      <c r="C1124" s="510" t="s">
        <v>60</v>
      </c>
      <c r="D1124" s="511" t="s">
        <v>122</v>
      </c>
      <c r="E1124" s="511"/>
      <c r="F1124" s="511"/>
      <c r="G1124" s="511"/>
      <c r="H1124" s="511" t="s">
        <v>308</v>
      </c>
      <c r="I1124" s="519" t="s">
        <v>47</v>
      </c>
      <c r="J1124" s="606" t="s">
        <v>4096</v>
      </c>
      <c r="K1124" s="529"/>
      <c r="L1124" s="529"/>
      <c r="M1124" s="511">
        <v>1</v>
      </c>
      <c r="N1124" s="514" t="str">
        <f>IF(O1124="tbc","",(IFERROR(EDATE(#REF!,-3),"Invalid procurement method or date entered")))</f>
        <v>Invalid procurement method or date entered</v>
      </c>
      <c r="O1124" s="514">
        <v>44378</v>
      </c>
      <c r="P1124" s="536" t="s">
        <v>60</v>
      </c>
      <c r="Q1124" s="536" t="s">
        <v>60</v>
      </c>
      <c r="R1124" s="538">
        <v>170000</v>
      </c>
      <c r="S1124" s="511" t="s">
        <v>75</v>
      </c>
      <c r="T1124" s="511" t="s">
        <v>62</v>
      </c>
      <c r="U1124" s="514" t="s">
        <v>60</v>
      </c>
      <c r="V1124" s="514"/>
      <c r="W1124" s="519" t="s">
        <v>4097</v>
      </c>
    </row>
    <row r="1125" spans="1:31" ht="50">
      <c r="A1125" s="1119"/>
      <c r="B1125" s="577" t="s">
        <v>56</v>
      </c>
      <c r="C1125" s="510" t="s">
        <v>4098</v>
      </c>
      <c r="D1125" s="511" t="s">
        <v>122</v>
      </c>
      <c r="E1125" s="511"/>
      <c r="F1125" s="511"/>
      <c r="G1125" s="511"/>
      <c r="H1125" s="511" t="s">
        <v>308</v>
      </c>
      <c r="I1125" s="519" t="s">
        <v>47</v>
      </c>
      <c r="J1125" s="1578" t="s">
        <v>4099</v>
      </c>
      <c r="K1125" s="512"/>
      <c r="L1125" s="511">
        <v>12</v>
      </c>
      <c r="M1125" s="514">
        <f t="shared" ref="M1125:M1132" si="16">IF(O1125="tbc","",(IFERROR(EDATE($N1125,-3),"Invalid procurement method or date entered")))</f>
        <v>43922</v>
      </c>
      <c r="N1125" s="514">
        <f t="shared" ref="N1125:N1132" si="17">IF(O1125="tbc","",(IFERROR(EDATE(O1125,-L1125),"Invalid procurement method or date entered")))</f>
        <v>44013</v>
      </c>
      <c r="O1125" s="515">
        <v>44378</v>
      </c>
      <c r="P1125" s="516" t="s">
        <v>60</v>
      </c>
      <c r="Q1125" s="516" t="s">
        <v>60</v>
      </c>
      <c r="R1125" s="528">
        <v>148000</v>
      </c>
      <c r="S1125" s="515" t="s">
        <v>75</v>
      </c>
      <c r="T1125" s="515" t="s">
        <v>62</v>
      </c>
      <c r="U1125" s="515" t="s">
        <v>60</v>
      </c>
      <c r="V1125" s="515"/>
      <c r="W1125" s="569" t="s">
        <v>532</v>
      </c>
    </row>
    <row r="1126" spans="1:31" ht="50">
      <c r="A1126" s="1119"/>
      <c r="B1126" s="577" t="s">
        <v>56</v>
      </c>
      <c r="C1126" s="510" t="s">
        <v>4100</v>
      </c>
      <c r="D1126" s="511" t="s">
        <v>122</v>
      </c>
      <c r="E1126" s="511"/>
      <c r="F1126" s="511"/>
      <c r="G1126" s="511"/>
      <c r="H1126" s="511" t="s">
        <v>308</v>
      </c>
      <c r="I1126" s="519" t="s">
        <v>47</v>
      </c>
      <c r="J1126" s="1578" t="s">
        <v>4101</v>
      </c>
      <c r="K1126" s="512"/>
      <c r="L1126" s="511">
        <v>12</v>
      </c>
      <c r="M1126" s="514">
        <f t="shared" si="16"/>
        <v>43922</v>
      </c>
      <c r="N1126" s="514">
        <f t="shared" si="17"/>
        <v>44013</v>
      </c>
      <c r="O1126" s="515">
        <v>44378</v>
      </c>
      <c r="P1126" s="516">
        <v>2</v>
      </c>
      <c r="Q1126" s="516">
        <v>2</v>
      </c>
      <c r="R1126" s="528">
        <v>150000</v>
      </c>
      <c r="S1126" s="515" t="s">
        <v>75</v>
      </c>
      <c r="T1126" s="515" t="s">
        <v>62</v>
      </c>
      <c r="U1126" s="515" t="s">
        <v>60</v>
      </c>
      <c r="V1126" s="515"/>
      <c r="W1126" s="569" t="s">
        <v>532</v>
      </c>
    </row>
    <row r="1127" spans="1:31" ht="50">
      <c r="A1127" s="1119"/>
      <c r="B1127" s="577" t="s">
        <v>56</v>
      </c>
      <c r="C1127" s="510" t="s">
        <v>4102</v>
      </c>
      <c r="D1127" s="511" t="s">
        <v>122</v>
      </c>
      <c r="E1127" s="511"/>
      <c r="F1127" s="511"/>
      <c r="G1127" s="511"/>
      <c r="H1127" s="511" t="s">
        <v>308</v>
      </c>
      <c r="I1127" s="519" t="s">
        <v>47</v>
      </c>
      <c r="J1127" s="606" t="s">
        <v>4103</v>
      </c>
      <c r="K1127" s="529"/>
      <c r="L1127" s="511">
        <v>1</v>
      </c>
      <c r="M1127" s="514">
        <f t="shared" si="16"/>
        <v>44256</v>
      </c>
      <c r="N1127" s="514">
        <f t="shared" si="17"/>
        <v>44348</v>
      </c>
      <c r="O1127" s="515">
        <v>44378</v>
      </c>
      <c r="P1127" s="516">
        <v>2</v>
      </c>
      <c r="Q1127" s="516">
        <v>2</v>
      </c>
      <c r="R1127" s="528">
        <v>132000</v>
      </c>
      <c r="S1127" s="515" t="s">
        <v>75</v>
      </c>
      <c r="T1127" s="515" t="s">
        <v>60</v>
      </c>
      <c r="U1127" s="515" t="s">
        <v>60</v>
      </c>
      <c r="V1127" s="515"/>
      <c r="W1127" s="569" t="s">
        <v>532</v>
      </c>
    </row>
    <row r="1128" spans="1:31" ht="50">
      <c r="A1128" s="1119"/>
      <c r="B1128" s="577" t="s">
        <v>56</v>
      </c>
      <c r="C1128" s="511" t="s">
        <v>60</v>
      </c>
      <c r="D1128" s="511" t="s">
        <v>122</v>
      </c>
      <c r="E1128" s="511"/>
      <c r="F1128" s="511"/>
      <c r="G1128" s="511"/>
      <c r="H1128" s="511" t="s">
        <v>308</v>
      </c>
      <c r="I1128" s="519" t="s">
        <v>47</v>
      </c>
      <c r="J1128" s="606" t="s">
        <v>4104</v>
      </c>
      <c r="K1128" s="529"/>
      <c r="L1128" s="511">
        <v>1</v>
      </c>
      <c r="M1128" s="514">
        <f t="shared" si="16"/>
        <v>44256</v>
      </c>
      <c r="N1128" s="514">
        <f t="shared" si="17"/>
        <v>44348</v>
      </c>
      <c r="O1128" s="514">
        <v>44378</v>
      </c>
      <c r="P1128" s="536">
        <v>2</v>
      </c>
      <c r="Q1128" s="536">
        <v>2</v>
      </c>
      <c r="R1128" s="538">
        <v>95000</v>
      </c>
      <c r="S1128" s="515" t="s">
        <v>75</v>
      </c>
      <c r="T1128" s="515" t="s">
        <v>62</v>
      </c>
      <c r="U1128" s="511" t="s">
        <v>60</v>
      </c>
      <c r="V1128" s="511"/>
      <c r="W1128" s="520"/>
    </row>
    <row r="1129" spans="1:31" ht="50">
      <c r="A1129" s="1119"/>
      <c r="B1129" s="577" t="s">
        <v>56</v>
      </c>
      <c r="C1129" s="510" t="s">
        <v>4105</v>
      </c>
      <c r="D1129" s="511" t="s">
        <v>122</v>
      </c>
      <c r="E1129" s="511"/>
      <c r="F1129" s="511"/>
      <c r="G1129" s="511"/>
      <c r="H1129" s="511" t="s">
        <v>308</v>
      </c>
      <c r="I1129" s="519" t="s">
        <v>47</v>
      </c>
      <c r="J1129" s="1578" t="s">
        <v>4106</v>
      </c>
      <c r="K1129" s="512"/>
      <c r="L1129" s="511">
        <v>1</v>
      </c>
      <c r="M1129" s="514">
        <f t="shared" si="16"/>
        <v>44256</v>
      </c>
      <c r="N1129" s="514">
        <f t="shared" si="17"/>
        <v>44348</v>
      </c>
      <c r="O1129" s="515">
        <v>44378</v>
      </c>
      <c r="P1129" s="516">
        <v>2</v>
      </c>
      <c r="Q1129" s="516">
        <v>2</v>
      </c>
      <c r="R1129" s="528">
        <v>145000</v>
      </c>
      <c r="S1129" s="515" t="s">
        <v>75</v>
      </c>
      <c r="T1129" s="515" t="s">
        <v>62</v>
      </c>
      <c r="U1129" s="515" t="s">
        <v>60</v>
      </c>
      <c r="V1129" s="515"/>
      <c r="W1129" s="569" t="s">
        <v>577</v>
      </c>
    </row>
    <row r="1130" spans="1:31" ht="50">
      <c r="A1130" s="1119"/>
      <c r="B1130" s="577" t="s">
        <v>56</v>
      </c>
      <c r="C1130" s="510" t="s">
        <v>4107</v>
      </c>
      <c r="D1130" s="511" t="s">
        <v>122</v>
      </c>
      <c r="E1130" s="511"/>
      <c r="F1130" s="511"/>
      <c r="G1130" s="511"/>
      <c r="H1130" s="511" t="s">
        <v>308</v>
      </c>
      <c r="I1130" s="519" t="s">
        <v>47</v>
      </c>
      <c r="J1130" s="606" t="s">
        <v>4108</v>
      </c>
      <c r="K1130" s="529"/>
      <c r="L1130" s="511">
        <v>12</v>
      </c>
      <c r="M1130" s="514">
        <f t="shared" si="16"/>
        <v>43922</v>
      </c>
      <c r="N1130" s="514">
        <f t="shared" si="17"/>
        <v>44013</v>
      </c>
      <c r="O1130" s="514">
        <v>44378</v>
      </c>
      <c r="P1130" s="536">
        <v>2</v>
      </c>
      <c r="Q1130" s="536">
        <v>2</v>
      </c>
      <c r="R1130" s="538">
        <v>120000</v>
      </c>
      <c r="S1130" s="515" t="s">
        <v>75</v>
      </c>
      <c r="T1130" s="511" t="s">
        <v>62</v>
      </c>
      <c r="U1130" s="514" t="s">
        <v>60</v>
      </c>
      <c r="V1130" s="514"/>
      <c r="W1130" s="569" t="s">
        <v>4109</v>
      </c>
    </row>
    <row r="1131" spans="1:31" ht="50">
      <c r="A1131" s="1119"/>
      <c r="B1131" s="577" t="s">
        <v>56</v>
      </c>
      <c r="C1131" s="510" t="s">
        <v>4110</v>
      </c>
      <c r="D1131" s="511" t="s">
        <v>57</v>
      </c>
      <c r="E1131" s="511"/>
      <c r="F1131" s="511"/>
      <c r="G1131" s="511"/>
      <c r="H1131" s="511" t="s">
        <v>58</v>
      </c>
      <c r="I1131" s="510" t="s">
        <v>47</v>
      </c>
      <c r="J1131" s="1580" t="s">
        <v>4111</v>
      </c>
      <c r="K1131" s="533"/>
      <c r="L1131" s="511">
        <v>3</v>
      </c>
      <c r="M1131" s="514">
        <f t="shared" si="16"/>
        <v>44197</v>
      </c>
      <c r="N1131" s="514">
        <f t="shared" si="17"/>
        <v>44287</v>
      </c>
      <c r="O1131" s="534">
        <v>44378</v>
      </c>
      <c r="P1131" s="535" t="s">
        <v>60</v>
      </c>
      <c r="Q1131" s="535" t="s">
        <v>60</v>
      </c>
      <c r="R1131" s="528">
        <v>407878</v>
      </c>
      <c r="S1131" s="515" t="s">
        <v>61</v>
      </c>
      <c r="T1131" s="515" t="s">
        <v>62</v>
      </c>
      <c r="U1131" s="515" t="s">
        <v>60</v>
      </c>
      <c r="V1131" s="515"/>
      <c r="W1131" s="510" t="s">
        <v>3935</v>
      </c>
    </row>
    <row r="1132" spans="1:31" ht="50">
      <c r="A1132" s="1119"/>
      <c r="B1132" s="577" t="s">
        <v>56</v>
      </c>
      <c r="C1132" s="510" t="s">
        <v>4112</v>
      </c>
      <c r="D1132" s="511" t="s">
        <v>122</v>
      </c>
      <c r="E1132" s="511"/>
      <c r="F1132" s="511"/>
      <c r="G1132" s="511"/>
      <c r="H1132" s="511" t="s">
        <v>308</v>
      </c>
      <c r="I1132" s="519" t="s">
        <v>47</v>
      </c>
      <c r="J1132" s="1578" t="s">
        <v>4113</v>
      </c>
      <c r="K1132" s="512"/>
      <c r="L1132" s="511">
        <v>12</v>
      </c>
      <c r="M1132" s="514">
        <f t="shared" si="16"/>
        <v>43922</v>
      </c>
      <c r="N1132" s="514">
        <f t="shared" si="17"/>
        <v>44013</v>
      </c>
      <c r="O1132" s="515">
        <v>44378</v>
      </c>
      <c r="P1132" s="516">
        <v>5</v>
      </c>
      <c r="Q1132" s="516">
        <v>5</v>
      </c>
      <c r="R1132" s="528">
        <v>485000</v>
      </c>
      <c r="S1132" s="515" t="s">
        <v>75</v>
      </c>
      <c r="T1132" s="515" t="s">
        <v>62</v>
      </c>
      <c r="U1132" s="515" t="s">
        <v>60</v>
      </c>
      <c r="V1132" s="515"/>
      <c r="W1132" s="569" t="s">
        <v>4109</v>
      </c>
    </row>
    <row r="1133" spans="1:31" ht="37.5">
      <c r="A1133" s="1119"/>
      <c r="B1133" s="577" t="s">
        <v>56</v>
      </c>
      <c r="C1133" s="510" t="s">
        <v>4114</v>
      </c>
      <c r="D1133" s="511" t="s">
        <v>57</v>
      </c>
      <c r="E1133" s="511"/>
      <c r="F1133" s="511"/>
      <c r="G1133" s="511"/>
      <c r="H1133" s="511" t="s">
        <v>58</v>
      </c>
      <c r="I1133" s="519" t="s">
        <v>47</v>
      </c>
      <c r="J1133" s="606" t="s">
        <v>4115</v>
      </c>
      <c r="K1133" s="529"/>
      <c r="L1133" s="529"/>
      <c r="M1133" s="529"/>
      <c r="N1133" s="529"/>
      <c r="O1133" s="514">
        <v>44378</v>
      </c>
      <c r="P1133" s="511">
        <v>3</v>
      </c>
      <c r="Q1133" s="514"/>
      <c r="R1133" s="538">
        <v>150000</v>
      </c>
      <c r="S1133" s="536" t="s">
        <v>3435</v>
      </c>
      <c r="T1133" s="536" t="s">
        <v>38</v>
      </c>
      <c r="U1133" s="529" t="s">
        <v>71</v>
      </c>
      <c r="V1133" s="529"/>
      <c r="W1133" s="519" t="s">
        <v>986</v>
      </c>
    </row>
    <row r="1134" spans="1:31" ht="50">
      <c r="A1134" s="1119"/>
      <c r="B1134" s="577" t="s">
        <v>56</v>
      </c>
      <c r="C1134" s="510" t="s">
        <v>4116</v>
      </c>
      <c r="D1134" s="511" t="s">
        <v>348</v>
      </c>
      <c r="E1134" s="511"/>
      <c r="F1134" s="511"/>
      <c r="G1134" s="511"/>
      <c r="H1134" s="511" t="s">
        <v>58</v>
      </c>
      <c r="I1134" s="510" t="s">
        <v>47</v>
      </c>
      <c r="J1134" s="1580" t="s">
        <v>4117</v>
      </c>
      <c r="K1134" s="990"/>
      <c r="L1134" s="511">
        <v>3</v>
      </c>
      <c r="M1134" s="514">
        <f>IF(O1134="tbc","",(IFERROR(EDATE($N1134,-3),"Invalid procurement method or date entered")))</f>
        <v>44197</v>
      </c>
      <c r="N1134" s="514">
        <f>IF(O1134="tbc","",(IFERROR(EDATE(O1134,-L1134),"Invalid procurement method or date entered")))</f>
        <v>44287</v>
      </c>
      <c r="O1134" s="534">
        <v>44378</v>
      </c>
      <c r="P1134" s="535">
        <v>2</v>
      </c>
      <c r="Q1134" s="535">
        <v>2</v>
      </c>
      <c r="R1134" s="528">
        <v>358000</v>
      </c>
      <c r="S1134" s="515" t="s">
        <v>61</v>
      </c>
      <c r="T1134" s="515" t="s">
        <v>310</v>
      </c>
      <c r="U1134" s="515" t="s">
        <v>60</v>
      </c>
      <c r="V1134" s="515"/>
      <c r="W1134" s="394" t="s">
        <v>70</v>
      </c>
    </row>
    <row r="1135" spans="1:31">
      <c r="A1135" s="1648">
        <v>44974</v>
      </c>
      <c r="B1135" s="1655" t="s">
        <v>1168</v>
      </c>
      <c r="C1135" s="1664" t="s">
        <v>4118</v>
      </c>
      <c r="D1135" s="1664" t="s">
        <v>2054</v>
      </c>
      <c r="E1135" s="1655" t="s">
        <v>1168</v>
      </c>
      <c r="F1135" s="1655" t="s">
        <v>1170</v>
      </c>
      <c r="G1135" s="1655" t="s">
        <v>1170</v>
      </c>
      <c r="H1135" s="1655" t="s">
        <v>1170</v>
      </c>
      <c r="I1135" s="1655" t="s">
        <v>1170</v>
      </c>
      <c r="J1135" s="1698" t="s">
        <v>4119</v>
      </c>
      <c r="K1135" s="1664" t="s">
        <v>4120</v>
      </c>
      <c r="L1135" s="1655" t="s">
        <v>1170</v>
      </c>
      <c r="M1135" s="1655" t="s">
        <v>1170</v>
      </c>
      <c r="N1135" s="1655" t="s">
        <v>1170</v>
      </c>
      <c r="O1135" s="1755">
        <v>44378</v>
      </c>
      <c r="P1135" s="1755">
        <v>44743</v>
      </c>
      <c r="Q1135" s="1664" t="s">
        <v>589</v>
      </c>
      <c r="R1135" s="1805">
        <v>4999</v>
      </c>
      <c r="S1135" s="1664" t="s">
        <v>2086</v>
      </c>
      <c r="T1135" s="1655" t="s">
        <v>1170</v>
      </c>
      <c r="U1135" s="1655" t="s">
        <v>1170</v>
      </c>
      <c r="V1135" s="1655"/>
      <c r="W1135" s="1664" t="s">
        <v>1236</v>
      </c>
      <c r="X1135" s="1723" t="s">
        <v>1175</v>
      </c>
      <c r="Y1135" s="1723" t="s">
        <v>251</v>
      </c>
      <c r="Z1135" s="1657" t="s">
        <v>1170</v>
      </c>
      <c r="AA1135" s="1657" t="s">
        <v>1170</v>
      </c>
      <c r="AB1135" s="1657" t="s">
        <v>1170</v>
      </c>
      <c r="AC1135" s="909" t="s">
        <v>4121</v>
      </c>
      <c r="AD1135" s="1657" t="s">
        <v>1170</v>
      </c>
      <c r="AE1135" s="1828">
        <v>4999</v>
      </c>
    </row>
    <row r="1136" spans="1:31">
      <c r="A1136" s="1648">
        <v>44974</v>
      </c>
      <c r="B1136" s="1655" t="s">
        <v>1168</v>
      </c>
      <c r="C1136" s="1664" t="s">
        <v>4118</v>
      </c>
      <c r="D1136" s="1664" t="s">
        <v>1192</v>
      </c>
      <c r="E1136" s="1655" t="s">
        <v>1168</v>
      </c>
      <c r="F1136" s="1655" t="s">
        <v>1170</v>
      </c>
      <c r="G1136" s="1655" t="s">
        <v>1170</v>
      </c>
      <c r="H1136" s="1655" t="s">
        <v>1170</v>
      </c>
      <c r="I1136" s="1655" t="s">
        <v>1170</v>
      </c>
      <c r="J1136" s="1698" t="s">
        <v>4119</v>
      </c>
      <c r="K1136" s="1664" t="s">
        <v>4122</v>
      </c>
      <c r="L1136" s="1655" t="s">
        <v>1170</v>
      </c>
      <c r="M1136" s="1655" t="s">
        <v>1170</v>
      </c>
      <c r="N1136" s="1655" t="s">
        <v>1170</v>
      </c>
      <c r="O1136" s="1755">
        <v>44378</v>
      </c>
      <c r="P1136" s="1755">
        <v>45108</v>
      </c>
      <c r="Q1136" s="1664" t="s">
        <v>1509</v>
      </c>
      <c r="R1136" s="1805">
        <v>9998</v>
      </c>
      <c r="S1136" s="1664" t="s">
        <v>2086</v>
      </c>
      <c r="T1136" s="1655" t="s">
        <v>1170</v>
      </c>
      <c r="U1136" s="1655" t="s">
        <v>1170</v>
      </c>
      <c r="V1136" s="1655"/>
      <c r="W1136" s="1664" t="s">
        <v>1236</v>
      </c>
      <c r="X1136" s="1723" t="s">
        <v>1175</v>
      </c>
      <c r="Y1136" s="1723" t="s">
        <v>251</v>
      </c>
      <c r="Z1136" s="1657" t="s">
        <v>1170</v>
      </c>
      <c r="AA1136" s="1657" t="s">
        <v>1170</v>
      </c>
      <c r="AB1136" s="1657" t="s">
        <v>1170</v>
      </c>
      <c r="AC1136" s="909" t="s">
        <v>4123</v>
      </c>
      <c r="AD1136" s="1657" t="s">
        <v>1170</v>
      </c>
      <c r="AE1136" s="1828">
        <v>9998</v>
      </c>
    </row>
    <row r="1137" spans="1:31" ht="72.5">
      <c r="A1137" s="1184"/>
      <c r="B1137" s="2755"/>
      <c r="C1137" s="4" t="s">
        <v>4124</v>
      </c>
      <c r="D1137" s="5" t="s">
        <v>32</v>
      </c>
      <c r="E1137" s="5"/>
      <c r="F1137" s="5"/>
      <c r="G1137" s="5"/>
      <c r="H1137" s="5" t="s">
        <v>46</v>
      </c>
      <c r="I1137" s="5" t="s">
        <v>47</v>
      </c>
      <c r="J1137" s="16" t="s">
        <v>4125</v>
      </c>
      <c r="K1137" s="8"/>
      <c r="L1137" s="5" t="e">
        <f>IF(OR(S1137=#REF!,S1137=#REF!,S1137=#REF!,S1137=#REF!,S1137=#REF!,S1137=#REF!,S1137=#REF!,S1137=#REF!),12,IF(OR(S1137=#REF!,S1137=#REF!,S1137=#REF!,S1137=#REF!,S1137=#REF!,S1137=#REF!,S1137=#REF!),3,IF(S1137=#REF!,1,IF(S1137=#REF!,18,IF(OR(S1137=#REF!,S1137=#REF!,S1137=#REF!,S1137=#REF!,S1137=#REF!),14,"Invalid proposed procurement method")))))</f>
        <v>#REF!</v>
      </c>
      <c r="M1137" s="199" t="str">
        <f>IFERROR(EDATE($N1137,-3),"Invalid procurement method or date entered")</f>
        <v>Invalid procurement method or date entered</v>
      </c>
      <c r="N1137" s="199" t="str">
        <f>IFERROR(EDATE(O1137,-L1137),"Invalid procurement method or date entered")</f>
        <v>Invalid procurement method or date entered</v>
      </c>
      <c r="O1137" s="199">
        <v>44382</v>
      </c>
      <c r="P1137" s="5">
        <v>8</v>
      </c>
      <c r="Q1137" s="5">
        <v>8</v>
      </c>
      <c r="R1137" s="41">
        <v>150000</v>
      </c>
      <c r="S1137" s="5" t="s">
        <v>84</v>
      </c>
      <c r="T1137" s="52" t="s">
        <v>70</v>
      </c>
      <c r="U1137" s="210">
        <v>44362</v>
      </c>
      <c r="V1137" s="210"/>
      <c r="W1137" s="5" t="s">
        <v>4126</v>
      </c>
      <c r="X1137" s="80" t="s">
        <v>86</v>
      </c>
      <c r="Y1137" s="80" t="s">
        <v>40</v>
      </c>
      <c r="Z1137" s="80" t="s">
        <v>69</v>
      </c>
      <c r="AA1137" s="76" t="s">
        <v>70</v>
      </c>
      <c r="AB1137" s="354" t="s">
        <v>143</v>
      </c>
      <c r="AC1137" s="1110" t="s">
        <v>89</v>
      </c>
      <c r="AD1137" s="80" t="s">
        <v>96</v>
      </c>
      <c r="AE1137" s="1145">
        <v>150000</v>
      </c>
    </row>
    <row r="1138" spans="1:31" ht="50">
      <c r="A1138" s="1119"/>
      <c r="B1138" s="577" t="s">
        <v>56</v>
      </c>
      <c r="C1138" s="510" t="s">
        <v>4127</v>
      </c>
      <c r="D1138" s="511" t="s">
        <v>122</v>
      </c>
      <c r="E1138" s="511"/>
      <c r="F1138" s="511"/>
      <c r="G1138" s="511"/>
      <c r="H1138" s="511" t="s">
        <v>308</v>
      </c>
      <c r="I1138" s="519" t="s">
        <v>47</v>
      </c>
      <c r="J1138" s="1578" t="s">
        <v>4128</v>
      </c>
      <c r="K1138" s="512"/>
      <c r="L1138" s="511">
        <v>1</v>
      </c>
      <c r="M1138" s="514">
        <f>IF(O1138="tbc","",(IFERROR(EDATE($N1138,-3),"Invalid procurement method or date entered")))</f>
        <v>44260</v>
      </c>
      <c r="N1138" s="514">
        <f>IF(O1138="tbc","",(IFERROR(EDATE(O1138,-L1138),"Invalid procurement method or date entered")))</f>
        <v>44352</v>
      </c>
      <c r="O1138" s="515">
        <v>44382</v>
      </c>
      <c r="P1138" s="516">
        <v>2</v>
      </c>
      <c r="Q1138" s="516">
        <v>2</v>
      </c>
      <c r="R1138" s="528">
        <v>137000</v>
      </c>
      <c r="S1138" s="515" t="s">
        <v>75</v>
      </c>
      <c r="T1138" s="515" t="s">
        <v>62</v>
      </c>
      <c r="U1138" s="515" t="s">
        <v>60</v>
      </c>
      <c r="V1138" s="515"/>
      <c r="W1138" s="569" t="s">
        <v>577</v>
      </c>
    </row>
    <row r="1139" spans="1:31" ht="62.5">
      <c r="A1139" s="1119"/>
      <c r="B1139" s="577" t="s">
        <v>56</v>
      </c>
      <c r="C1139" s="510" t="s">
        <v>4129</v>
      </c>
      <c r="D1139" s="511" t="s">
        <v>57</v>
      </c>
      <c r="E1139" s="511"/>
      <c r="F1139" s="511"/>
      <c r="G1139" s="511"/>
      <c r="H1139" s="511" t="s">
        <v>58</v>
      </c>
      <c r="I1139" s="519" t="s">
        <v>47</v>
      </c>
      <c r="J1139" s="1578" t="s">
        <v>4130</v>
      </c>
      <c r="K1139" s="512"/>
      <c r="L1139" s="511">
        <v>14</v>
      </c>
      <c r="M1139" s="514">
        <f>IF(O1139="tbc","",(IFERROR(EDATE($N1139,-3),"Invalid procurement method or date entered")))</f>
        <v>43866</v>
      </c>
      <c r="N1139" s="514">
        <f>IF(O1139="tbc","",(IFERROR(EDATE(O1139,-L1139),"Invalid procurement method or date entered")))</f>
        <v>43956</v>
      </c>
      <c r="O1139" s="515">
        <v>44382</v>
      </c>
      <c r="P1139" s="516">
        <v>4</v>
      </c>
      <c r="Q1139" s="516">
        <v>4</v>
      </c>
      <c r="R1139" s="528">
        <v>530000</v>
      </c>
      <c r="S1139" s="515" t="s">
        <v>182</v>
      </c>
      <c r="T1139" s="510" t="s">
        <v>474</v>
      </c>
      <c r="U1139" s="669">
        <v>44298</v>
      </c>
      <c r="V1139" s="669"/>
      <c r="W1139" s="510" t="s">
        <v>60</v>
      </c>
    </row>
    <row r="1140" spans="1:31" ht="37.5">
      <c r="A1140" s="1119"/>
      <c r="B1140" s="577" t="s">
        <v>56</v>
      </c>
      <c r="C1140" s="510" t="s">
        <v>60</v>
      </c>
      <c r="D1140" s="511" t="s">
        <v>57</v>
      </c>
      <c r="E1140" s="511"/>
      <c r="F1140" s="511"/>
      <c r="G1140" s="511"/>
      <c r="H1140" s="511" t="s">
        <v>58</v>
      </c>
      <c r="I1140" s="510" t="s">
        <v>47</v>
      </c>
      <c r="J1140" s="1580" t="s">
        <v>4131</v>
      </c>
      <c r="K1140" s="529"/>
      <c r="L1140" s="511">
        <v>3</v>
      </c>
      <c r="M1140" s="514">
        <f>IF(O1140="tbc","",(IFERROR(EDATE($N1140,-3),"Invalid procurement method or date entered")))</f>
        <v>44205</v>
      </c>
      <c r="N1140" s="514">
        <f>IF(O1140="tbc","",(IFERROR(EDATE(O1140,-L1140),"Invalid procurement method or date entered")))</f>
        <v>44295</v>
      </c>
      <c r="O1140" s="534">
        <v>44386</v>
      </c>
      <c r="P1140" s="535">
        <v>1</v>
      </c>
      <c r="Q1140" s="535">
        <v>1</v>
      </c>
      <c r="R1140" s="528">
        <v>100000</v>
      </c>
      <c r="S1140" s="515" t="s">
        <v>176</v>
      </c>
      <c r="T1140" s="515" t="s">
        <v>310</v>
      </c>
      <c r="U1140" s="515" t="s">
        <v>60</v>
      </c>
      <c r="V1140" s="515"/>
      <c r="W1140" s="635" t="s">
        <v>60</v>
      </c>
    </row>
    <row r="1141" spans="1:31" ht="87.5">
      <c r="A1141" s="1119"/>
      <c r="B1141" s="577" t="s">
        <v>56</v>
      </c>
      <c r="C1141" s="510" t="s">
        <v>4132</v>
      </c>
      <c r="D1141" s="519" t="s">
        <v>348</v>
      </c>
      <c r="E1141" s="519"/>
      <c r="F1141" s="519"/>
      <c r="G1141" s="519"/>
      <c r="H1141" s="511" t="s">
        <v>58</v>
      </c>
      <c r="I1141" s="519" t="s">
        <v>47</v>
      </c>
      <c r="J1141" s="1578" t="s">
        <v>4133</v>
      </c>
      <c r="K1141" s="992"/>
      <c r="L1141" s="511">
        <v>3</v>
      </c>
      <c r="M1141" s="513" t="s">
        <v>60</v>
      </c>
      <c r="N1141" s="514">
        <f>IF(O1141="tbc","",(IFERROR(EDATE(O1141,-L1141),"Invalid procurement method or date entered")))</f>
        <v>44295</v>
      </c>
      <c r="O1141" s="515">
        <v>44386</v>
      </c>
      <c r="P1141" s="516" t="s">
        <v>60</v>
      </c>
      <c r="Q1141" s="516" t="s">
        <v>60</v>
      </c>
      <c r="R1141" s="528">
        <f>651967+117359+264100+35650</f>
        <v>1069076</v>
      </c>
      <c r="S1141" s="515" t="s">
        <v>61</v>
      </c>
      <c r="T1141" s="515" t="s">
        <v>310</v>
      </c>
      <c r="U1141" s="520" t="s">
        <v>115</v>
      </c>
      <c r="V1141" s="520"/>
      <c r="W1141" s="521" t="s">
        <v>70</v>
      </c>
    </row>
    <row r="1142" spans="1:31" ht="62.5">
      <c r="A1142" s="1119"/>
      <c r="B1142" s="577" t="s">
        <v>56</v>
      </c>
      <c r="C1142" s="510" t="s">
        <v>60</v>
      </c>
      <c r="D1142" s="511" t="s">
        <v>57</v>
      </c>
      <c r="E1142" s="511"/>
      <c r="F1142" s="511"/>
      <c r="G1142" s="511"/>
      <c r="H1142" s="511" t="s">
        <v>58</v>
      </c>
      <c r="I1142" s="510" t="s">
        <v>47</v>
      </c>
      <c r="J1142" s="1580" t="s">
        <v>4134</v>
      </c>
      <c r="K1142" s="533"/>
      <c r="L1142" s="533"/>
      <c r="M1142" s="511">
        <v>3</v>
      </c>
      <c r="N1142" s="514" t="str">
        <f>IF(O1142="tbc","",(IFERROR(EDATE(#REF!,-3),"Invalid procurement method or date entered")))</f>
        <v>Invalid procurement method or date entered</v>
      </c>
      <c r="O1142" s="534">
        <v>44389</v>
      </c>
      <c r="P1142" s="535" t="s">
        <v>60</v>
      </c>
      <c r="Q1142" s="535" t="s">
        <v>60</v>
      </c>
      <c r="R1142" s="528">
        <v>30000</v>
      </c>
      <c r="S1142" s="515" t="s">
        <v>61</v>
      </c>
      <c r="T1142" s="515" t="s">
        <v>62</v>
      </c>
      <c r="U1142" s="515" t="s">
        <v>60</v>
      </c>
      <c r="V1142" s="515"/>
      <c r="W1142" s="510" t="s">
        <v>2252</v>
      </c>
    </row>
    <row r="1143" spans="1:31" ht="50">
      <c r="A1143" s="1119"/>
      <c r="B1143" s="577" t="s">
        <v>56</v>
      </c>
      <c r="C1143" s="511" t="s">
        <v>4135</v>
      </c>
      <c r="D1143" s="511" t="s">
        <v>122</v>
      </c>
      <c r="E1143" s="511"/>
      <c r="F1143" s="511"/>
      <c r="G1143" s="511"/>
      <c r="H1143" s="511" t="s">
        <v>308</v>
      </c>
      <c r="I1143" s="519" t="s">
        <v>47</v>
      </c>
      <c r="J1143" s="606" t="s">
        <v>4136</v>
      </c>
      <c r="K1143" s="529"/>
      <c r="L1143" s="511">
        <v>1</v>
      </c>
      <c r="M1143" s="514">
        <f>IF(O1143="tbc","",(IFERROR(EDATE($N1143,-3),"Invalid procurement method or date entered")))</f>
        <v>44267</v>
      </c>
      <c r="N1143" s="514">
        <f>IF(O1143="tbc","",(IFERROR(EDATE(O1143,-L1143),"Invalid procurement method or date entered")))</f>
        <v>44359</v>
      </c>
      <c r="O1143" s="515">
        <v>44389</v>
      </c>
      <c r="P1143" s="516">
        <v>1</v>
      </c>
      <c r="Q1143" s="516">
        <v>1</v>
      </c>
      <c r="R1143" s="528" t="s">
        <v>60</v>
      </c>
      <c r="S1143" s="515" t="s">
        <v>75</v>
      </c>
      <c r="T1143" s="515" t="s">
        <v>62</v>
      </c>
      <c r="U1143" s="511" t="s">
        <v>60</v>
      </c>
      <c r="V1143" s="511"/>
      <c r="W1143" s="520"/>
    </row>
    <row r="1144" spans="1:31">
      <c r="A1144" s="1648">
        <v>44974</v>
      </c>
      <c r="B1144" s="1655" t="s">
        <v>1168</v>
      </c>
      <c r="C1144" s="1664" t="s">
        <v>4137</v>
      </c>
      <c r="D1144" s="1664" t="s">
        <v>1178</v>
      </c>
      <c r="E1144" s="1655" t="s">
        <v>1168</v>
      </c>
      <c r="F1144" s="1655" t="s">
        <v>1170</v>
      </c>
      <c r="G1144" s="1655" t="s">
        <v>1170</v>
      </c>
      <c r="H1144" s="1655" t="s">
        <v>1170</v>
      </c>
      <c r="I1144" s="1655" t="s">
        <v>1170</v>
      </c>
      <c r="J1144" s="1698" t="s">
        <v>4138</v>
      </c>
      <c r="K1144" s="1664" t="s">
        <v>4139</v>
      </c>
      <c r="L1144" s="1655" t="s">
        <v>1170</v>
      </c>
      <c r="M1144" s="1655" t="s">
        <v>1170</v>
      </c>
      <c r="N1144" s="1655" t="s">
        <v>1170</v>
      </c>
      <c r="O1144" s="1755">
        <v>44389</v>
      </c>
      <c r="P1144" s="1755">
        <v>44469</v>
      </c>
      <c r="Q1144" s="1664" t="s">
        <v>589</v>
      </c>
      <c r="R1144" s="1805">
        <v>9500</v>
      </c>
      <c r="S1144" s="1664" t="s">
        <v>4140</v>
      </c>
      <c r="T1144" s="1655" t="s">
        <v>1170</v>
      </c>
      <c r="U1144" s="1655" t="s">
        <v>1170</v>
      </c>
      <c r="V1144" s="1655"/>
      <c r="W1144" s="1664" t="s">
        <v>1517</v>
      </c>
      <c r="X1144" s="1723" t="s">
        <v>1175</v>
      </c>
      <c r="Y1144" s="1723" t="s">
        <v>251</v>
      </c>
      <c r="Z1144" s="1657" t="s">
        <v>1170</v>
      </c>
      <c r="AA1144" s="1657" t="s">
        <v>1170</v>
      </c>
      <c r="AB1144" s="1657" t="s">
        <v>1170</v>
      </c>
      <c r="AC1144" s="909" t="s">
        <v>4141</v>
      </c>
      <c r="AD1144" s="1657" t="s">
        <v>1170</v>
      </c>
      <c r="AE1144" s="1828">
        <v>9500</v>
      </c>
    </row>
    <row r="1145" spans="1:31" ht="72.5">
      <c r="A1145" s="1119"/>
      <c r="B1145" s="4"/>
      <c r="C1145" s="4" t="s">
        <v>4142</v>
      </c>
      <c r="D1145" s="5" t="s">
        <v>32</v>
      </c>
      <c r="E1145" s="5"/>
      <c r="F1145" s="5"/>
      <c r="G1145" s="5"/>
      <c r="H1145" s="5" t="s">
        <v>33</v>
      </c>
      <c r="I1145" s="5" t="s">
        <v>47</v>
      </c>
      <c r="J1145" s="16" t="s">
        <v>4143</v>
      </c>
      <c r="K1145" s="8"/>
      <c r="L1145" s="5" t="e">
        <f>IF(OR(S1145=#REF!,S1145=#REF!,S1145=#REF!,S1145=#REF!,S1145=#REF!,S1145=#REF!,S1145=#REF!,S1145=#REF!),12,IF(OR(S1145=#REF!,S1145=#REF!,S1145=#REF!,S1145=#REF!,S1145=#REF!,S1145=#REF!,S1145=#REF!),3,IF(S1145=#REF!,1,IF(S1145=#REF!,18,IF(OR(S1145=#REF!,S1145=#REF!,S1145=#REF!,S1145=#REF!,S1145=#REF!),14,"Invalid proposed procurement method")))))</f>
        <v>#REF!</v>
      </c>
      <c r="M1145" s="199" t="str">
        <f t="shared" ref="M1145:M1151" si="18">IFERROR(EDATE($N1145,-3),"Invalid procurement method or date entered")</f>
        <v>Invalid procurement method or date entered</v>
      </c>
      <c r="N1145" s="199" t="str">
        <f t="shared" ref="N1145:N1151" si="19">IFERROR(EDATE(O1145,-L1145),"Invalid procurement method or date entered")</f>
        <v>Invalid procurement method or date entered</v>
      </c>
      <c r="O1145" s="14">
        <v>44390</v>
      </c>
      <c r="P1145" s="5">
        <v>48</v>
      </c>
      <c r="Q1145" s="5" t="s">
        <v>215</v>
      </c>
      <c r="R1145" s="85">
        <v>5000000</v>
      </c>
      <c r="S1145" s="14" t="s">
        <v>91</v>
      </c>
      <c r="T1145" s="53" t="s">
        <v>38</v>
      </c>
      <c r="U1145" s="53" t="s">
        <v>238</v>
      </c>
      <c r="V1145" s="53"/>
      <c r="W1145" s="5" t="s">
        <v>4144</v>
      </c>
      <c r="X1145" s="80" t="s">
        <v>86</v>
      </c>
      <c r="Y1145" s="80" t="s">
        <v>40</v>
      </c>
      <c r="Z1145" s="80" t="s">
        <v>87</v>
      </c>
      <c r="AA1145" s="80" t="s">
        <v>70</v>
      </c>
      <c r="AB1145" s="2772" t="s">
        <v>143</v>
      </c>
      <c r="AC1145" s="101" t="s">
        <v>3094</v>
      </c>
      <c r="AD1145" s="80" t="s">
        <v>240</v>
      </c>
      <c r="AE1145" s="339">
        <v>1250000</v>
      </c>
    </row>
    <row r="1146" spans="1:31" ht="348">
      <c r="A1146" s="1191"/>
      <c r="B1146" s="4"/>
      <c r="C1146" s="4" t="s">
        <v>45</v>
      </c>
      <c r="D1146" s="5" t="s">
        <v>32</v>
      </c>
      <c r="E1146" s="5"/>
      <c r="F1146" s="5"/>
      <c r="G1146" s="5"/>
      <c r="H1146" s="5" t="s">
        <v>127</v>
      </c>
      <c r="I1146" s="5" t="s">
        <v>34</v>
      </c>
      <c r="J1146" s="16" t="s">
        <v>4145</v>
      </c>
      <c r="K1146" s="8"/>
      <c r="L1146" s="5" t="e">
        <f>IF(OR(S1146=#REF!,S1146=#REF!,S1146=#REF!,S1146=#REF!,S1146=#REF!,S1146=#REF!,S1146=#REF!,S1146=#REF!),12,IF(OR(S1146=#REF!,S1146=#REF!,S1146=#REF!,S1146=#REF!,S1146=#REF!,S1146=#REF!,S1146=#REF!),3,IF(S1146=#REF!,1,IF(S1146=#REF!,18,IF(OR(S1146=#REF!,S1146=#REF!,S1146=#REF!,S1146=#REF!,S1146=#REF!),14,"Invalid proposed procurement method")))))</f>
        <v>#REF!</v>
      </c>
      <c r="M1146" s="199" t="str">
        <f t="shared" si="18"/>
        <v>Invalid procurement method or date entered</v>
      </c>
      <c r="N1146" s="199" t="str">
        <f t="shared" si="19"/>
        <v>Invalid procurement method or date entered</v>
      </c>
      <c r="O1146" s="199">
        <v>44393</v>
      </c>
      <c r="P1146" s="12" t="s">
        <v>45</v>
      </c>
      <c r="Q1146" s="12"/>
      <c r="R1146" s="112">
        <v>280000</v>
      </c>
      <c r="S1146" s="5" t="s">
        <v>84</v>
      </c>
      <c r="T1146" s="14" t="s">
        <v>38</v>
      </c>
      <c r="U1146" s="14" t="s">
        <v>67</v>
      </c>
      <c r="V1146" s="14"/>
      <c r="W1146" s="5" t="s">
        <v>137</v>
      </c>
      <c r="X1146" s="80" t="s">
        <v>39</v>
      </c>
      <c r="Y1146" s="80" t="s">
        <v>40</v>
      </c>
      <c r="Z1146" s="80" t="s">
        <v>87</v>
      </c>
      <c r="AA1146" s="80" t="s">
        <v>70</v>
      </c>
      <c r="AB1146" s="354">
        <v>44340</v>
      </c>
      <c r="AC1146" s="101" t="s">
        <v>4146</v>
      </c>
      <c r="AD1146" s="76" t="s">
        <v>127</v>
      </c>
      <c r="AE1146" s="211">
        <v>80000</v>
      </c>
    </row>
    <row r="1147" spans="1:31" ht="145">
      <c r="A1147" s="1119"/>
      <c r="B1147" s="338"/>
      <c r="C1147" s="2770" t="s">
        <v>314</v>
      </c>
      <c r="D1147" s="9" t="s">
        <v>32</v>
      </c>
      <c r="E1147" s="9"/>
      <c r="F1147" s="9"/>
      <c r="G1147" s="9"/>
      <c r="H1147" s="5" t="s">
        <v>33</v>
      </c>
      <c r="I1147" s="5" t="s">
        <v>34</v>
      </c>
      <c r="J1147" s="16" t="s">
        <v>315</v>
      </c>
      <c r="K1147" s="8"/>
      <c r="L1147" s="5" t="e">
        <f>IF(OR(S1147=#REF!,S1147=#REF!,S1147=#REF!,S1147=#REF!,S1147=#REF!,S1147=#REF!,S1147=#REF!,S1147=#REF!),12,IF(OR(S1147=#REF!,S1147=#REF!,S1147=#REF!,S1147=#REF!,S1147=#REF!,S1147=#REF!,S1147=#REF!),3,IF(S1147=#REF!,1,IF(S1147=#REF!,18,IF(OR(S1147=#REF!,S1147=#REF!,S1147=#REF!,S1147=#REF!,S1147=#REF!),14,"Invalid proposed procurement method")))))</f>
        <v>#REF!</v>
      </c>
      <c r="M1147" s="199" t="str">
        <f t="shared" si="18"/>
        <v>Invalid procurement method or date entered</v>
      </c>
      <c r="N1147" s="199" t="str">
        <f t="shared" si="19"/>
        <v>Invalid procurement method or date entered</v>
      </c>
      <c r="O1147" s="199">
        <v>44393</v>
      </c>
      <c r="P1147" s="12">
        <v>48</v>
      </c>
      <c r="Q1147" s="5" t="s">
        <v>4147</v>
      </c>
      <c r="R1147" s="18">
        <v>15696</v>
      </c>
      <c r="S1147" s="5" t="s">
        <v>130</v>
      </c>
      <c r="T1147" s="11" t="s">
        <v>38</v>
      </c>
      <c r="U1147" s="15" t="s">
        <v>67</v>
      </c>
      <c r="V1147" s="15"/>
      <c r="W1147" s="5" t="s">
        <v>1667</v>
      </c>
      <c r="X1147" s="80" t="s">
        <v>39</v>
      </c>
      <c r="Y1147" s="80" t="s">
        <v>115</v>
      </c>
      <c r="Z1147" s="80" t="s">
        <v>87</v>
      </c>
      <c r="AA1147" s="80" t="s">
        <v>70</v>
      </c>
      <c r="AB1147" s="354">
        <v>44354</v>
      </c>
      <c r="AC1147" s="1111" t="s">
        <v>4148</v>
      </c>
      <c r="AD1147" s="80" t="s">
        <v>164</v>
      </c>
      <c r="AE1147" s="1131">
        <v>3924</v>
      </c>
    </row>
    <row r="1148" spans="1:31" ht="43.5">
      <c r="A1148" s="2754"/>
      <c r="B1148" s="4"/>
      <c r="C1148" s="4" t="s">
        <v>45</v>
      </c>
      <c r="D1148" s="9" t="s">
        <v>32</v>
      </c>
      <c r="E1148" s="9"/>
      <c r="F1148" s="9"/>
      <c r="G1148" s="9"/>
      <c r="H1148" s="5" t="s">
        <v>33</v>
      </c>
      <c r="I1148" s="5" t="s">
        <v>47</v>
      </c>
      <c r="J1148" s="1590" t="s">
        <v>512</v>
      </c>
      <c r="K1148" s="64"/>
      <c r="L1148" s="5">
        <v>6</v>
      </c>
      <c r="M1148" s="199">
        <f t="shared" si="18"/>
        <v>44120</v>
      </c>
      <c r="N1148" s="199">
        <f t="shared" si="19"/>
        <v>44212</v>
      </c>
      <c r="O1148" s="182">
        <v>44393</v>
      </c>
      <c r="P1148" s="12">
        <v>12</v>
      </c>
      <c r="Q1148" s="12">
        <v>12</v>
      </c>
      <c r="R1148" s="18">
        <v>15810</v>
      </c>
      <c r="S1148" s="5" t="s">
        <v>37</v>
      </c>
      <c r="T1148" s="52" t="s">
        <v>38</v>
      </c>
      <c r="U1148" s="48" t="s">
        <v>67</v>
      </c>
      <c r="V1148" s="48"/>
      <c r="W1148" s="12" t="s">
        <v>262</v>
      </c>
      <c r="X1148" s="1076" t="s">
        <v>289</v>
      </c>
      <c r="Y1148" s="80" t="s">
        <v>727</v>
      </c>
      <c r="Z1148" s="80" t="s">
        <v>154</v>
      </c>
      <c r="AA1148" s="80" t="s">
        <v>38</v>
      </c>
      <c r="AB1148" s="354" t="s">
        <v>271</v>
      </c>
      <c r="AC1148" s="1111"/>
      <c r="AD1148" s="80" t="s">
        <v>264</v>
      </c>
      <c r="AE1148" s="2903">
        <v>15810</v>
      </c>
    </row>
    <row r="1149" spans="1:31" ht="72.5">
      <c r="A1149" s="1119"/>
      <c r="B1149" s="2755"/>
      <c r="C1149" s="4" t="s">
        <v>4149</v>
      </c>
      <c r="D1149" s="5" t="s">
        <v>32</v>
      </c>
      <c r="E1149" s="5"/>
      <c r="F1149" s="5"/>
      <c r="G1149" s="5"/>
      <c r="H1149" s="5" t="s">
        <v>33</v>
      </c>
      <c r="I1149" s="5" t="s">
        <v>47</v>
      </c>
      <c r="J1149" s="16" t="s">
        <v>4150</v>
      </c>
      <c r="K1149" s="16"/>
      <c r="L1149" s="5" t="e">
        <f>IF(OR(S1149=#REF!,S1149=#REF!,S1149=#REF!,S1149=#REF!,S1149=#REF!,S1149=#REF!,S1149=#REF!,S1149=#REF!),12,IF(OR(S1149=#REF!,S1149=#REF!,S1149=#REF!,S1149=#REF!,S1149=#REF!,S1149=#REF!,S1149=#REF!),3,IF(S1149=#REF!,1,IF(S1149=#REF!,18,IF(OR(S1149=#REF!,S1149=#REF!,S1149=#REF!,S1149=#REF!,S1149=#REF!),14,"Invalid proposed procurement method")))))</f>
        <v>#REF!</v>
      </c>
      <c r="M1149" s="199" t="str">
        <f t="shared" si="18"/>
        <v>Invalid procurement method or date entered</v>
      </c>
      <c r="N1149" s="199" t="str">
        <f t="shared" si="19"/>
        <v>Invalid procurement method or date entered</v>
      </c>
      <c r="O1149" s="182">
        <v>44396</v>
      </c>
      <c r="P1149" s="12">
        <v>60</v>
      </c>
      <c r="Q1149" s="7" t="s">
        <v>171</v>
      </c>
      <c r="R1149" s="18">
        <v>221600</v>
      </c>
      <c r="S1149" s="18" t="s">
        <v>91</v>
      </c>
      <c r="T1149" s="5" t="s">
        <v>62</v>
      </c>
      <c r="U1149" s="12" t="s">
        <v>67</v>
      </c>
      <c r="V1149" s="12"/>
      <c r="W1149" s="5" t="s">
        <v>2960</v>
      </c>
      <c r="X1149" s="80" t="s">
        <v>86</v>
      </c>
      <c r="Y1149" s="80" t="s">
        <v>40</v>
      </c>
      <c r="Z1149" s="80" t="s">
        <v>87</v>
      </c>
      <c r="AA1149" s="80" t="s">
        <v>70</v>
      </c>
      <c r="AB1149" s="354" t="s">
        <v>143</v>
      </c>
      <c r="AC1149" s="101" t="s">
        <v>89</v>
      </c>
      <c r="AD1149" s="80" t="s">
        <v>220</v>
      </c>
      <c r="AE1149" s="2904">
        <v>62000</v>
      </c>
    </row>
    <row r="1150" spans="1:31" ht="72.5">
      <c r="A1150" s="1185"/>
      <c r="B1150" s="2755"/>
      <c r="C1150" s="4" t="s">
        <v>660</v>
      </c>
      <c r="D1150" s="5" t="s">
        <v>32</v>
      </c>
      <c r="E1150" s="5"/>
      <c r="F1150" s="5"/>
      <c r="G1150" s="5"/>
      <c r="H1150" s="5" t="s">
        <v>2353</v>
      </c>
      <c r="I1150" s="5" t="s">
        <v>47</v>
      </c>
      <c r="J1150" s="16" t="s">
        <v>4151</v>
      </c>
      <c r="K1150" s="8"/>
      <c r="L1150" s="5" t="e">
        <f>IF(OR(S1150=#REF!,S1150=#REF!,S1150=#REF!,S1150=#REF!,S1150=#REF!,S1150=#REF!,S1150=#REF!,S1150=#REF!),12,IF(OR(S1150=#REF!,S1150=#REF!,S1150=#REF!,S1150=#REF!,S1150=#REF!,S1150=#REF!,S1150=#REF!),3,IF(S1150=#REF!,1,IF(S1150=#REF!,18,IF(OR(S1150=#REF!,S1150=#REF!,S1150=#REF!,S1150=#REF!,S1150=#REF!),14,"Invalid proposed procurement method")))))</f>
        <v>#REF!</v>
      </c>
      <c r="M1150" s="199" t="str">
        <f t="shared" si="18"/>
        <v>Invalid procurement method or date entered</v>
      </c>
      <c r="N1150" s="199" t="str">
        <f t="shared" si="19"/>
        <v>Invalid procurement method or date entered</v>
      </c>
      <c r="O1150" s="14">
        <v>44396</v>
      </c>
      <c r="P1150" s="12">
        <v>48</v>
      </c>
      <c r="Q1150" s="5" t="s">
        <v>258</v>
      </c>
      <c r="R1150" s="18">
        <v>280000</v>
      </c>
      <c r="S1150" s="5" t="s">
        <v>84</v>
      </c>
      <c r="T1150" s="5" t="s">
        <v>62</v>
      </c>
      <c r="U1150" s="12" t="s">
        <v>67</v>
      </c>
      <c r="V1150" s="12"/>
      <c r="W1150" s="5" t="s">
        <v>4152</v>
      </c>
      <c r="X1150" s="80" t="s">
        <v>86</v>
      </c>
      <c r="Y1150" s="80" t="s">
        <v>40</v>
      </c>
      <c r="Z1150" s="80" t="s">
        <v>69</v>
      </c>
      <c r="AA1150" s="80" t="s">
        <v>70</v>
      </c>
      <c r="AB1150" s="1187" t="s">
        <v>143</v>
      </c>
      <c r="AC1150" s="101" t="s">
        <v>89</v>
      </c>
      <c r="AD1150" s="80" t="s">
        <v>285</v>
      </c>
      <c r="AE1150" s="339">
        <v>70000</v>
      </c>
    </row>
    <row r="1151" spans="1:31" ht="72.5">
      <c r="A1151" s="1184"/>
      <c r="B1151" s="2757"/>
      <c r="C1151" s="4" t="s">
        <v>813</v>
      </c>
      <c r="D1151" s="9" t="s">
        <v>32</v>
      </c>
      <c r="E1151" s="9"/>
      <c r="F1151" s="9"/>
      <c r="G1151" s="9"/>
      <c r="H1151" s="5" t="s">
        <v>80</v>
      </c>
      <c r="I1151" s="5" t="s">
        <v>47</v>
      </c>
      <c r="J1151" s="16" t="s">
        <v>814</v>
      </c>
      <c r="K1151" s="8"/>
      <c r="L1151" s="5" t="e">
        <f>IF(OR(S1151=#REF!,S1151=#REF!,S1151=#REF!,S1151=#REF!,S1151=#REF!,S1151=#REF!,S1151=#REF!,S1151=#REF!),12,IF(OR(S1151=#REF!,S1151=#REF!,S1151=#REF!,S1151=#REF!,S1151=#REF!,S1151=#REF!,S1151=#REF!),3,IF(S1151=#REF!,1,IF(S1151=#REF!,18,IF(OR(S1151=#REF!,S1151=#REF!,S1151=#REF!,S1151=#REF!,S1151=#REF!),14,"Invalid proposed procurement method")))))</f>
        <v>#REF!</v>
      </c>
      <c r="M1151" s="199" t="str">
        <f t="shared" si="18"/>
        <v>Invalid procurement method or date entered</v>
      </c>
      <c r="N1151" s="199" t="str">
        <f t="shared" si="19"/>
        <v>Invalid procurement method or date entered</v>
      </c>
      <c r="O1151" s="14">
        <v>44396</v>
      </c>
      <c r="P1151" s="5">
        <v>36</v>
      </c>
      <c r="Q1151" s="5" t="s">
        <v>160</v>
      </c>
      <c r="R1151" s="59">
        <v>30000</v>
      </c>
      <c r="S1151" s="5" t="s">
        <v>176</v>
      </c>
      <c r="T1151" s="5" t="s">
        <v>38</v>
      </c>
      <c r="U1151" s="12" t="s">
        <v>67</v>
      </c>
      <c r="V1151" s="12"/>
      <c r="W1151" s="5" t="s">
        <v>817</v>
      </c>
      <c r="X1151" s="1076" t="s">
        <v>94</v>
      </c>
      <c r="Y1151" s="80" t="s">
        <v>115</v>
      </c>
      <c r="Z1151" s="80" t="s">
        <v>154</v>
      </c>
      <c r="AA1151" s="80" t="s">
        <v>70</v>
      </c>
      <c r="AB1151" s="354" t="s">
        <v>143</v>
      </c>
      <c r="AC1151" s="101" t="s">
        <v>4046</v>
      </c>
      <c r="AD1151" s="76" t="s">
        <v>80</v>
      </c>
      <c r="AE1151" s="197">
        <v>10000</v>
      </c>
    </row>
    <row r="1152" spans="1:31" ht="37.5">
      <c r="A1152" s="1119"/>
      <c r="B1152" s="577" t="s">
        <v>56</v>
      </c>
      <c r="C1152" s="638" t="s">
        <v>4153</v>
      </c>
      <c r="D1152" s="511" t="s">
        <v>32</v>
      </c>
      <c r="E1152" s="511"/>
      <c r="F1152" s="511"/>
      <c r="G1152" s="511"/>
      <c r="H1152" s="511" t="s">
        <v>308</v>
      </c>
      <c r="I1152" s="519" t="s">
        <v>47</v>
      </c>
      <c r="J1152" s="608" t="s">
        <v>4154</v>
      </c>
      <c r="K1152" s="638"/>
      <c r="L1152" s="638"/>
      <c r="M1152" s="638"/>
      <c r="N1152" s="638"/>
      <c r="O1152" s="640">
        <v>44396</v>
      </c>
      <c r="P1152" s="638">
        <v>1</v>
      </c>
      <c r="Q1152" s="638">
        <v>1</v>
      </c>
      <c r="R1152" s="638">
        <v>340000</v>
      </c>
      <c r="S1152" s="638" t="s">
        <v>2110</v>
      </c>
      <c r="T1152" s="638" t="s">
        <v>2455</v>
      </c>
      <c r="U1152" s="638" t="s">
        <v>71</v>
      </c>
      <c r="V1152" s="638"/>
      <c r="W1152" s="638"/>
    </row>
    <row r="1153" spans="1:31" ht="43.5">
      <c r="A1153" s="2754"/>
      <c r="B1153" s="4"/>
      <c r="C1153" s="4" t="s">
        <v>45</v>
      </c>
      <c r="D1153" s="9" t="s">
        <v>32</v>
      </c>
      <c r="E1153" s="9"/>
      <c r="F1153" s="9"/>
      <c r="G1153" s="9"/>
      <c r="H1153" s="5" t="s">
        <v>33</v>
      </c>
      <c r="I1153" s="5" t="s">
        <v>47</v>
      </c>
      <c r="J1153" s="1590" t="s">
        <v>519</v>
      </c>
      <c r="K1153" s="64"/>
      <c r="L1153" s="5">
        <v>6</v>
      </c>
      <c r="M1153" s="199">
        <f>IFERROR(EDATE($N1153,-3),"Invalid procurement method or date entered")</f>
        <v>44124</v>
      </c>
      <c r="N1153" s="199">
        <f>IFERROR(EDATE(O1153,-L1153),"Invalid procurement method or date entered")</f>
        <v>44216</v>
      </c>
      <c r="O1153" s="182">
        <v>44397</v>
      </c>
      <c r="P1153" s="12">
        <v>12</v>
      </c>
      <c r="Q1153" s="12">
        <v>12</v>
      </c>
      <c r="R1153" s="18">
        <v>349</v>
      </c>
      <c r="S1153" s="5" t="s">
        <v>37</v>
      </c>
      <c r="T1153" s="52" t="s">
        <v>38</v>
      </c>
      <c r="U1153" s="48" t="s">
        <v>67</v>
      </c>
      <c r="V1153" s="48"/>
      <c r="W1153" s="12" t="s">
        <v>262</v>
      </c>
      <c r="X1153" s="1076" t="s">
        <v>289</v>
      </c>
      <c r="Y1153" s="80" t="s">
        <v>727</v>
      </c>
      <c r="Z1153" s="80" t="s">
        <v>154</v>
      </c>
      <c r="AA1153" s="80" t="s">
        <v>38</v>
      </c>
      <c r="AB1153" s="354" t="s">
        <v>271</v>
      </c>
      <c r="AC1153" s="1111"/>
      <c r="AD1153" s="80" t="s">
        <v>264</v>
      </c>
      <c r="AE1153" s="339">
        <v>349</v>
      </c>
    </row>
    <row r="1154" spans="1:31" ht="25">
      <c r="A1154" s="1119"/>
      <c r="B1154" s="577" t="s">
        <v>56</v>
      </c>
      <c r="C1154" s="510" t="s">
        <v>60</v>
      </c>
      <c r="D1154" s="510" t="s">
        <v>56</v>
      </c>
      <c r="E1154" s="510"/>
      <c r="F1154" s="510"/>
      <c r="G1154" s="510"/>
      <c r="H1154" s="511" t="s">
        <v>122</v>
      </c>
      <c r="I1154" s="529"/>
      <c r="J1154" s="1594" t="s">
        <v>4155</v>
      </c>
      <c r="K1154" s="671"/>
      <c r="L1154" s="511">
        <v>3</v>
      </c>
      <c r="M1154" s="514">
        <f>IF(O1154="tbc","",(IFERROR(EDATE($N1154,-3),"Invalid procurement method or date entered")))</f>
        <v>44217</v>
      </c>
      <c r="N1154" s="514">
        <f>IF(O1154="tbc","",(IFERROR(EDATE(O1154,-L1154),"Invalid procurement method or date entered")))</f>
        <v>44307</v>
      </c>
      <c r="O1154" s="534">
        <v>44398</v>
      </c>
      <c r="P1154" s="535" t="s">
        <v>60</v>
      </c>
      <c r="Q1154" s="535" t="s">
        <v>60</v>
      </c>
      <c r="R1154" s="528">
        <f>5517000+5002000</f>
        <v>10519000</v>
      </c>
      <c r="S1154" s="515" t="s">
        <v>60</v>
      </c>
      <c r="T1154" s="515" t="s">
        <v>310</v>
      </c>
      <c r="U1154" s="515" t="s">
        <v>60</v>
      </c>
      <c r="V1154" s="515"/>
      <c r="W1154" s="635"/>
    </row>
    <row r="1155" spans="1:31" ht="72.5">
      <c r="A1155" s="1184"/>
      <c r="B1155" s="2755"/>
      <c r="C1155" s="4"/>
      <c r="D1155" s="9" t="s">
        <v>57</v>
      </c>
      <c r="E1155" s="9"/>
      <c r="F1155" s="9"/>
      <c r="G1155" s="9"/>
      <c r="H1155" s="5" t="s">
        <v>33</v>
      </c>
      <c r="I1155" s="5" t="s">
        <v>47</v>
      </c>
      <c r="J1155" s="16" t="s">
        <v>4156</v>
      </c>
      <c r="K1155" s="16"/>
      <c r="L1155" s="5" t="e">
        <f>IF(OR(S1155=#REF!,S1155=#REF!,S1155=#REF!,S1155=#REF!,S1155=#REF!,S1155=#REF!,S1155=#REF!,S1155=#REF!),12,IF(OR(S1155=#REF!,S1155=#REF!,S1155=#REF!,S1155=#REF!,S1155=#REF!,S1155=#REF!,S1155=#REF!),3,IF(S1155=#REF!,1,IF(S1155=#REF!,18,IF(OR(S1155=#REF!,S1155=#REF!,S1155=#REF!,S1155=#REF!,S1155=#REF!),14,"Invalid proposed procurement method")))))</f>
        <v>#REF!</v>
      </c>
      <c r="M1155" s="199" t="str">
        <f>IFERROR(EDATE($N1155,-3),"Invalid procurement method or date entered")</f>
        <v>Invalid procurement method or date entered</v>
      </c>
      <c r="N1155" s="199" t="str">
        <f>IFERROR(EDATE(O1155,-L1155),"Invalid procurement method or date entered")</f>
        <v>Invalid procurement method or date entered</v>
      </c>
      <c r="O1155" s="199">
        <v>44399</v>
      </c>
      <c r="P1155" s="12">
        <v>36</v>
      </c>
      <c r="Q1155" s="12">
        <v>36</v>
      </c>
      <c r="R1155" s="18">
        <v>74766</v>
      </c>
      <c r="S1155" s="5" t="s">
        <v>51</v>
      </c>
      <c r="T1155" s="9" t="s">
        <v>38</v>
      </c>
      <c r="U1155" s="15" t="s">
        <v>67</v>
      </c>
      <c r="V1155" s="15"/>
      <c r="W1155" s="5" t="s">
        <v>340</v>
      </c>
      <c r="X1155" s="80" t="s">
        <v>162</v>
      </c>
      <c r="Y1155" s="80" t="s">
        <v>40</v>
      </c>
      <c r="Z1155" s="80"/>
      <c r="AA1155" s="80" t="s">
        <v>38</v>
      </c>
      <c r="AB1155" s="354" t="s">
        <v>143</v>
      </c>
      <c r="AC1155" s="101" t="s">
        <v>4157</v>
      </c>
      <c r="AD1155" s="80" t="s">
        <v>96</v>
      </c>
      <c r="AE1155" s="1132">
        <v>24922</v>
      </c>
    </row>
    <row r="1156" spans="1:31" ht="72.5">
      <c r="A1156" s="1185"/>
      <c r="B1156" s="2757"/>
      <c r="C1156" s="218" t="s">
        <v>4158</v>
      </c>
      <c r="D1156" s="92" t="s">
        <v>32</v>
      </c>
      <c r="E1156" s="92"/>
      <c r="F1156" s="92"/>
      <c r="G1156" s="92"/>
      <c r="H1156" s="92" t="s">
        <v>33</v>
      </c>
      <c r="I1156" s="92" t="s">
        <v>47</v>
      </c>
      <c r="J1156" s="103" t="s">
        <v>4159</v>
      </c>
      <c r="K1156" s="89"/>
      <c r="L1156" s="92" t="e">
        <f>IF(OR(S1156=#REF!,S1156=#REF!,S1156=#REF!,S1156=#REF!,S1156=#REF!,S1156=#REF!,S1156=#REF!,S1156=#REF!),12,IF(OR(S1156=#REF!,S1156=#REF!,S1156=#REF!,S1156=#REF!,S1156=#REF!,S1156=#REF!,S1156=#REF!),3,IF(S1156=#REF!,1,IF(S1156=#REF!,18,IF(OR(S1156=#REF!,S1156=#REF!,S1156=#REF!,S1156=#REF!,S1156=#REF!),14,"Invalid proposed procurement method")))))</f>
        <v>#REF!</v>
      </c>
      <c r="M1156" s="220" t="str">
        <f>IFERROR(EDATE($N1156,-3),"Invalid procurement method or date entered")</f>
        <v>Invalid procurement method or date entered</v>
      </c>
      <c r="N1156" s="220" t="str">
        <f>IFERROR(EDATE(O1156,-L1156),"Invalid procurement method or date entered")</f>
        <v>Invalid procurement method or date entered</v>
      </c>
      <c r="O1156" s="220">
        <v>44403</v>
      </c>
      <c r="P1156" s="92">
        <v>48</v>
      </c>
      <c r="Q1156" s="92" t="s">
        <v>4160</v>
      </c>
      <c r="R1156" s="243">
        <v>40000</v>
      </c>
      <c r="S1156" s="92" t="s">
        <v>84</v>
      </c>
      <c r="T1156" s="244" t="s">
        <v>38</v>
      </c>
      <c r="U1156" s="91" t="s">
        <v>67</v>
      </c>
      <c r="V1156" s="91"/>
      <c r="W1156" s="92" t="s">
        <v>440</v>
      </c>
      <c r="X1156" s="1084" t="s">
        <v>543</v>
      </c>
      <c r="Y1156" s="1084" t="s">
        <v>40</v>
      </c>
      <c r="Z1156" s="1084"/>
      <c r="AA1156" s="1084"/>
      <c r="AB1156" s="1100" t="s">
        <v>143</v>
      </c>
      <c r="AC1156" s="1120" t="s">
        <v>4161</v>
      </c>
      <c r="AD1156" s="1084" t="s">
        <v>806</v>
      </c>
      <c r="AE1156" s="1148"/>
    </row>
    <row r="1157" spans="1:31" ht="50">
      <c r="A1157" s="1119"/>
      <c r="B1157" s="577" t="s">
        <v>56</v>
      </c>
      <c r="C1157" s="510" t="s">
        <v>4162</v>
      </c>
      <c r="D1157" s="511" t="s">
        <v>122</v>
      </c>
      <c r="E1157" s="511"/>
      <c r="F1157" s="511"/>
      <c r="G1157" s="511"/>
      <c r="H1157" s="511" t="s">
        <v>308</v>
      </c>
      <c r="I1157" s="519" t="s">
        <v>47</v>
      </c>
      <c r="J1157" s="1578" t="s">
        <v>4163</v>
      </c>
      <c r="K1157" s="512"/>
      <c r="L1157" s="511">
        <v>12</v>
      </c>
      <c r="M1157" s="514">
        <f>IF(O1157="tbc","",(IFERROR(EDATE($N1157,-3),"Invalid procurement method or date entered")))</f>
        <v>43947</v>
      </c>
      <c r="N1157" s="514">
        <f>IF(O1157="tbc","",(IFERROR(EDATE(O1157,-L1157),"Invalid procurement method or date entered")))</f>
        <v>44038</v>
      </c>
      <c r="O1157" s="515">
        <v>44403</v>
      </c>
      <c r="P1157" s="516">
        <v>2</v>
      </c>
      <c r="Q1157" s="516">
        <v>2</v>
      </c>
      <c r="R1157" s="528">
        <v>144000</v>
      </c>
      <c r="S1157" s="515" t="s">
        <v>75</v>
      </c>
      <c r="T1157" s="515" t="s">
        <v>62</v>
      </c>
      <c r="U1157" s="515" t="s">
        <v>60</v>
      </c>
      <c r="V1157" s="515"/>
      <c r="W1157" s="569" t="s">
        <v>577</v>
      </c>
    </row>
    <row r="1158" spans="1:31" ht="75">
      <c r="A1158" s="1119"/>
      <c r="B1158" s="577" t="s">
        <v>56</v>
      </c>
      <c r="C1158" s="510" t="s">
        <v>4164</v>
      </c>
      <c r="D1158" s="511" t="s">
        <v>32</v>
      </c>
      <c r="E1158" s="511"/>
      <c r="F1158" s="511"/>
      <c r="G1158" s="511"/>
      <c r="H1158" s="511" t="s">
        <v>308</v>
      </c>
      <c r="I1158" s="511" t="s">
        <v>47</v>
      </c>
      <c r="J1158" s="1580" t="s">
        <v>4165</v>
      </c>
      <c r="K1158" s="533"/>
      <c r="L1158" s="511">
        <v>12</v>
      </c>
      <c r="M1158" s="514">
        <f>IF(O1158="tbc","",(IFERROR(EDATE($N1158,-3),"Invalid procurement method or date entered")))</f>
        <v>43947</v>
      </c>
      <c r="N1158" s="514">
        <f>IF(O1158="tbc","",(IFERROR(EDATE(O1158,-L1158),"Invalid procurement method or date entered")))</f>
        <v>44038</v>
      </c>
      <c r="O1158" s="534">
        <v>44403</v>
      </c>
      <c r="P1158" s="536">
        <v>2</v>
      </c>
      <c r="Q1158" s="536">
        <v>2</v>
      </c>
      <c r="R1158" s="528">
        <v>250000</v>
      </c>
      <c r="S1158" s="515" t="s">
        <v>75</v>
      </c>
      <c r="T1158" s="515" t="s">
        <v>310</v>
      </c>
      <c r="U1158" s="515" t="s">
        <v>60</v>
      </c>
      <c r="V1158" s="515"/>
      <c r="W1158" s="511" t="s">
        <v>3935</v>
      </c>
    </row>
    <row r="1159" spans="1:31" ht="62.5">
      <c r="A1159" s="1119"/>
      <c r="B1159" s="577" t="s">
        <v>56</v>
      </c>
      <c r="C1159" s="510" t="s">
        <v>4166</v>
      </c>
      <c r="D1159" s="511" t="s">
        <v>348</v>
      </c>
      <c r="E1159" s="511"/>
      <c r="F1159" s="511"/>
      <c r="G1159" s="511"/>
      <c r="H1159" s="511" t="s">
        <v>58</v>
      </c>
      <c r="I1159" s="510" t="s">
        <v>4167</v>
      </c>
      <c r="J1159" s="1580" t="s">
        <v>4168</v>
      </c>
      <c r="K1159" s="990"/>
      <c r="L1159" s="511">
        <v>3</v>
      </c>
      <c r="M1159" s="513" t="s">
        <v>60</v>
      </c>
      <c r="N1159" s="514">
        <f>IF(O1159="tbc","",(IFERROR(EDATE(O1159,-L1159),"Invalid procurement method or date entered")))</f>
        <v>44312</v>
      </c>
      <c r="O1159" s="534">
        <v>44403</v>
      </c>
      <c r="P1159" s="535" t="s">
        <v>60</v>
      </c>
      <c r="Q1159" s="535" t="s">
        <v>60</v>
      </c>
      <c r="R1159" s="528">
        <v>330000</v>
      </c>
      <c r="S1159" s="515" t="s">
        <v>61</v>
      </c>
      <c r="T1159" s="515" t="s">
        <v>62</v>
      </c>
      <c r="U1159" s="520" t="s">
        <v>1110</v>
      </c>
      <c r="V1159" s="520"/>
      <c r="W1159" s="521" t="s">
        <v>70</v>
      </c>
    </row>
    <row r="1160" spans="1:31" ht="87.5">
      <c r="A1160" s="1119"/>
      <c r="B1160" s="577" t="s">
        <v>56</v>
      </c>
      <c r="C1160" s="510" t="s">
        <v>4169</v>
      </c>
      <c r="D1160" s="511" t="s">
        <v>32</v>
      </c>
      <c r="E1160" s="511"/>
      <c r="F1160" s="511"/>
      <c r="G1160" s="511"/>
      <c r="H1160" s="511" t="s">
        <v>308</v>
      </c>
      <c r="I1160" s="511" t="s">
        <v>47</v>
      </c>
      <c r="J1160" s="1580" t="s">
        <v>4170</v>
      </c>
      <c r="K1160" s="533"/>
      <c r="L1160" s="511">
        <v>12</v>
      </c>
      <c r="M1160" s="514">
        <f>IF(O1160="tbc","",(IFERROR(EDATE($N1160,-3),"Invalid procurement method or date entered")))</f>
        <v>43948</v>
      </c>
      <c r="N1160" s="514">
        <f>IF(O1160="tbc","",(IFERROR(EDATE(O1160,-L1160),"Invalid procurement method or date entered")))</f>
        <v>44039</v>
      </c>
      <c r="O1160" s="534">
        <v>44404</v>
      </c>
      <c r="P1160" s="536">
        <v>2</v>
      </c>
      <c r="Q1160" s="536">
        <v>2</v>
      </c>
      <c r="R1160" s="528">
        <v>250000</v>
      </c>
      <c r="S1160" s="515" t="s">
        <v>75</v>
      </c>
      <c r="T1160" s="515" t="s">
        <v>310</v>
      </c>
      <c r="U1160" s="515" t="s">
        <v>60</v>
      </c>
      <c r="V1160" s="515"/>
      <c r="W1160" s="511" t="s">
        <v>3935</v>
      </c>
    </row>
    <row r="1161" spans="1:31" ht="50">
      <c r="A1161" s="1119"/>
      <c r="B1161" s="577" t="s">
        <v>56</v>
      </c>
      <c r="C1161" s="510" t="s">
        <v>4171</v>
      </c>
      <c r="D1161" s="511" t="s">
        <v>122</v>
      </c>
      <c r="E1161" s="511"/>
      <c r="F1161" s="511"/>
      <c r="G1161" s="511"/>
      <c r="H1161" s="511" t="s">
        <v>308</v>
      </c>
      <c r="I1161" s="519" t="s">
        <v>47</v>
      </c>
      <c r="J1161" s="1578" t="s">
        <v>4172</v>
      </c>
      <c r="K1161" s="512"/>
      <c r="L1161" s="511">
        <v>12</v>
      </c>
      <c r="M1161" s="514">
        <f>IF(O1161="tbc","",(IFERROR(EDATE($N1161,-3),"Invalid procurement method or date entered")))</f>
        <v>43951</v>
      </c>
      <c r="N1161" s="514">
        <f>IF(O1161="tbc","",(IFERROR(EDATE(O1161,-L1161),"Invalid procurement method or date entered")))</f>
        <v>44043</v>
      </c>
      <c r="O1161" s="515">
        <v>44408</v>
      </c>
      <c r="P1161" s="516">
        <v>2</v>
      </c>
      <c r="Q1161" s="516">
        <v>2</v>
      </c>
      <c r="R1161" s="528">
        <v>391000</v>
      </c>
      <c r="S1161" s="515" t="s">
        <v>75</v>
      </c>
      <c r="T1161" s="515" t="s">
        <v>474</v>
      </c>
      <c r="U1161" s="515" t="s">
        <v>60</v>
      </c>
      <c r="V1161" s="515"/>
      <c r="W1161" s="569" t="s">
        <v>532</v>
      </c>
    </row>
    <row r="1162" spans="1:31" ht="72.5">
      <c r="A1162" s="1185"/>
      <c r="B1162" s="2755"/>
      <c r="C1162" s="2770" t="s">
        <v>318</v>
      </c>
      <c r="D1162" s="9" t="s">
        <v>32</v>
      </c>
      <c r="E1162" s="9"/>
      <c r="F1162" s="9"/>
      <c r="G1162" s="9"/>
      <c r="H1162" s="5" t="s">
        <v>33</v>
      </c>
      <c r="I1162" s="5" t="s">
        <v>34</v>
      </c>
      <c r="J1162" s="16" t="s">
        <v>319</v>
      </c>
      <c r="K1162" s="8"/>
      <c r="L1162" s="5" t="e">
        <f>IF(OR(S1162=#REF!,S1162=#REF!,S1162=#REF!,S1162=#REF!,S1162=#REF!,S1162=#REF!,S1162=#REF!,S1162=#REF!),12,IF(OR(S1162=#REF!,S1162=#REF!,S1162=#REF!,S1162=#REF!,S1162=#REF!,S1162=#REF!,S1162=#REF!),3,IF(S1162=#REF!,1,IF(S1162=#REF!,18,IF(OR(S1162=#REF!,S1162=#REF!,S1162=#REF!,S1162=#REF!,S1162=#REF!),14,"Invalid proposed procurement method")))))</f>
        <v>#REF!</v>
      </c>
      <c r="M1162" s="199" t="str">
        <f t="shared" ref="M1162:M1168" si="20">IFERROR(EDATE($N1162,-3),"Invalid procurement method or date entered")</f>
        <v>Invalid procurement method or date entered</v>
      </c>
      <c r="N1162" s="199" t="str">
        <f t="shared" ref="N1162:N1168" si="21">IFERROR(EDATE(O1162,-L1162),"Invalid procurement method or date entered")</f>
        <v>Invalid procurement method or date entered</v>
      </c>
      <c r="O1162" s="199">
        <v>44409</v>
      </c>
      <c r="P1162" s="5">
        <v>48</v>
      </c>
      <c r="Q1162" s="7" t="s">
        <v>656</v>
      </c>
      <c r="R1162" s="18">
        <v>67000</v>
      </c>
      <c r="S1162" s="5" t="s">
        <v>130</v>
      </c>
      <c r="T1162" s="52" t="s">
        <v>62</v>
      </c>
      <c r="U1162" s="48" t="s">
        <v>67</v>
      </c>
      <c r="V1162" s="48"/>
      <c r="W1162" s="5" t="s">
        <v>320</v>
      </c>
      <c r="X1162" s="493" t="s">
        <v>39</v>
      </c>
      <c r="Y1162" s="80" t="s">
        <v>115</v>
      </c>
      <c r="Z1162" s="80" t="s">
        <v>87</v>
      </c>
      <c r="AA1162" s="80" t="s">
        <v>70</v>
      </c>
      <c r="AB1162" s="354" t="s">
        <v>143</v>
      </c>
      <c r="AC1162" s="101" t="s">
        <v>4173</v>
      </c>
      <c r="AD1162" s="80" t="s">
        <v>220</v>
      </c>
      <c r="AE1162" s="211">
        <v>16750</v>
      </c>
    </row>
    <row r="1163" spans="1:31" ht="72.5">
      <c r="A1163" s="1184"/>
      <c r="B1163" s="2757"/>
      <c r="C1163" s="4" t="s">
        <v>322</v>
      </c>
      <c r="D1163" s="5" t="s">
        <v>32</v>
      </c>
      <c r="E1163" s="5"/>
      <c r="F1163" s="5"/>
      <c r="G1163" s="5"/>
      <c r="H1163" s="5" t="s">
        <v>323</v>
      </c>
      <c r="I1163" s="5" t="s">
        <v>34</v>
      </c>
      <c r="J1163" s="16" t="s">
        <v>324</v>
      </c>
      <c r="K1163" s="8"/>
      <c r="L1163" s="5" t="e">
        <f>IF(OR(S1163=#REF!,S1163=#REF!,S1163=#REF!,S1163=#REF!,S1163=#REF!,S1163=#REF!,S1163=#REF!,S1163=#REF!),12,IF(OR(S1163=#REF!,S1163=#REF!,S1163=#REF!,S1163=#REF!,S1163=#REF!,S1163=#REF!,S1163=#REF!),3,IF(S1163=#REF!,1,IF(S1163=#REF!,18,IF(OR(S1163=#REF!,S1163=#REF!,S1163=#REF!,S1163=#REF!,S1163=#REF!),14,"Invalid proposed procurement method")))))</f>
        <v>#REF!</v>
      </c>
      <c r="M1163" s="199" t="str">
        <f t="shared" si="20"/>
        <v>Invalid procurement method or date entered</v>
      </c>
      <c r="N1163" s="199" t="str">
        <f t="shared" si="21"/>
        <v>Invalid procurement method or date entered</v>
      </c>
      <c r="O1163" s="199">
        <v>44409</v>
      </c>
      <c r="P1163" s="5">
        <v>48</v>
      </c>
      <c r="Q1163" s="5" t="s">
        <v>4174</v>
      </c>
      <c r="R1163" s="85">
        <v>360000</v>
      </c>
      <c r="S1163" s="5" t="s">
        <v>130</v>
      </c>
      <c r="T1163" s="11" t="s">
        <v>38</v>
      </c>
      <c r="U1163" s="12" t="s">
        <v>67</v>
      </c>
      <c r="V1163" s="12"/>
      <c r="W1163" s="5" t="s">
        <v>4175</v>
      </c>
      <c r="X1163" s="80" t="s">
        <v>283</v>
      </c>
      <c r="Y1163" s="80" t="s">
        <v>40</v>
      </c>
      <c r="Z1163" s="80" t="s">
        <v>154</v>
      </c>
      <c r="AA1163" s="80" t="s">
        <v>70</v>
      </c>
      <c r="AB1163" s="354" t="s">
        <v>143</v>
      </c>
      <c r="AC1163" s="1110" t="s">
        <v>4176</v>
      </c>
      <c r="AD1163" s="80" t="s">
        <v>285</v>
      </c>
      <c r="AE1163" s="211">
        <v>90000</v>
      </c>
    </row>
    <row r="1164" spans="1:31" ht="72.5">
      <c r="A1164" s="1185"/>
      <c r="B1164" s="2755"/>
      <c r="C1164" s="2770" t="s">
        <v>4177</v>
      </c>
      <c r="D1164" s="5" t="s">
        <v>32</v>
      </c>
      <c r="E1164" s="5"/>
      <c r="F1164" s="5"/>
      <c r="G1164" s="5"/>
      <c r="H1164" s="5" t="s">
        <v>33</v>
      </c>
      <c r="I1164" s="5" t="s">
        <v>34</v>
      </c>
      <c r="J1164" s="16" t="s">
        <v>333</v>
      </c>
      <c r="K1164" s="16"/>
      <c r="L1164" s="5" t="e">
        <f>IF(OR(S1164=#REF!,S1164=#REF!,S1164=#REF!,S1164=#REF!,S1164=#REF!,S1164=#REF!,S1164=#REF!,S1164=#REF!),12,IF(OR(S1164=#REF!,S1164=#REF!,S1164=#REF!,S1164=#REF!,S1164=#REF!,S1164=#REF!,S1164=#REF!),3,IF(S1164=#REF!,1,IF(S1164=#REF!,18,IF(OR(S1164=#REF!,S1164=#REF!,S1164=#REF!,S1164=#REF!,S1164=#REF!),14,"Invalid proposed procurement method")))))</f>
        <v>#REF!</v>
      </c>
      <c r="M1164" s="199" t="str">
        <f t="shared" si="20"/>
        <v>Invalid procurement method or date entered</v>
      </c>
      <c r="N1164" s="199" t="str">
        <f t="shared" si="21"/>
        <v>Invalid procurement method or date entered</v>
      </c>
      <c r="O1164" s="182">
        <v>44409</v>
      </c>
      <c r="P1164" s="12">
        <v>48</v>
      </c>
      <c r="Q1164" s="13" t="s">
        <v>141</v>
      </c>
      <c r="R1164" s="18">
        <v>170000</v>
      </c>
      <c r="S1164" s="5" t="s">
        <v>130</v>
      </c>
      <c r="T1164" s="5" t="s">
        <v>62</v>
      </c>
      <c r="U1164" s="12" t="s">
        <v>67</v>
      </c>
      <c r="V1164" s="12"/>
      <c r="W1164" s="5" t="s">
        <v>142</v>
      </c>
      <c r="X1164" s="80" t="s">
        <v>39</v>
      </c>
      <c r="Y1164" s="80" t="s">
        <v>40</v>
      </c>
      <c r="Z1164" s="80" t="s">
        <v>87</v>
      </c>
      <c r="AA1164" s="80" t="s">
        <v>70</v>
      </c>
      <c r="AB1164" s="1100" t="s">
        <v>143</v>
      </c>
      <c r="AC1164" s="1110" t="s">
        <v>4178</v>
      </c>
      <c r="AD1164" s="80" t="s">
        <v>145</v>
      </c>
      <c r="AE1164" s="1133">
        <v>42500</v>
      </c>
    </row>
    <row r="1165" spans="1:31" ht="72.5">
      <c r="A1165" s="1185"/>
      <c r="B1165" s="2755"/>
      <c r="C1165" s="4" t="s">
        <v>4179</v>
      </c>
      <c r="D1165" s="9" t="s">
        <v>32</v>
      </c>
      <c r="E1165" s="9"/>
      <c r="F1165" s="9"/>
      <c r="G1165" s="9"/>
      <c r="H1165" s="5" t="s">
        <v>1595</v>
      </c>
      <c r="I1165" s="12" t="s">
        <v>34</v>
      </c>
      <c r="J1165" s="16" t="s">
        <v>4180</v>
      </c>
      <c r="K1165" s="16"/>
      <c r="L1165" s="5" t="e">
        <f>IF(OR(S1165=#REF!,S1165=#REF!,S1165=#REF!,S1165=#REF!,S1165=#REF!,S1165=#REF!,S1165=#REF!,S1165=#REF!),12,IF(OR(S1165=#REF!,S1165=#REF!,S1165=#REF!,S1165=#REF!,S1165=#REF!,S1165=#REF!,S1165=#REF!),3,IF(S1165=#REF!,1,IF(S1165=#REF!,18,IF(OR(S1165=#REF!,S1165=#REF!,S1165=#REF!,S1165=#REF!,S1165=#REF!),14,"Invalid proposed procurement method")))))</f>
        <v>#REF!</v>
      </c>
      <c r="M1165" s="199" t="str">
        <f t="shared" si="20"/>
        <v>Invalid procurement method or date entered</v>
      </c>
      <c r="N1165" s="199" t="str">
        <f t="shared" si="21"/>
        <v>Invalid procurement method or date entered</v>
      </c>
      <c r="O1165" s="199">
        <v>44409</v>
      </c>
      <c r="P1165" s="12">
        <v>36</v>
      </c>
      <c r="Q1165" s="7" t="s">
        <v>4181</v>
      </c>
      <c r="R1165" s="18">
        <v>3850000</v>
      </c>
      <c r="S1165" s="5" t="s">
        <v>84</v>
      </c>
      <c r="T1165" s="52" t="s">
        <v>70</v>
      </c>
      <c r="U1165" s="210">
        <v>44404</v>
      </c>
      <c r="V1165" s="210"/>
      <c r="W1165" s="5" t="s">
        <v>4182</v>
      </c>
      <c r="X1165" s="80" t="s">
        <v>283</v>
      </c>
      <c r="Y1165" s="80" t="s">
        <v>40</v>
      </c>
      <c r="Z1165" s="80" t="s">
        <v>87</v>
      </c>
      <c r="AA1165" s="80" t="s">
        <v>70</v>
      </c>
      <c r="AB1165" s="354">
        <v>44427</v>
      </c>
      <c r="AC1165" s="101" t="s">
        <v>4183</v>
      </c>
      <c r="AD1165" s="80" t="s">
        <v>285</v>
      </c>
      <c r="AE1165" s="211">
        <v>500000</v>
      </c>
    </row>
    <row r="1166" spans="1:31" ht="72.5">
      <c r="A1166" s="1119"/>
      <c r="B1166" s="2755" t="s">
        <v>44</v>
      </c>
      <c r="C1166" s="4" t="s">
        <v>980</v>
      </c>
      <c r="D1166" s="9" t="s">
        <v>32</v>
      </c>
      <c r="E1166" s="9"/>
      <c r="F1166" s="9"/>
      <c r="G1166" s="9"/>
      <c r="H1166" s="5" t="s">
        <v>33</v>
      </c>
      <c r="I1166" s="5" t="s">
        <v>47</v>
      </c>
      <c r="J1166" s="16" t="s">
        <v>319</v>
      </c>
      <c r="K1166" s="8"/>
      <c r="L1166" s="5" t="e">
        <f>IF(OR(S1166=#REF!,S1166=#REF!,S1166=#REF!,S1166=#REF!,S1166=#REF!,S1166=#REF!,S1166=#REF!,S1166=#REF!),12,IF(OR(S1166=#REF!,S1166=#REF!,S1166=#REF!,S1166=#REF!,S1166=#REF!,S1166=#REF!,S1166=#REF!),3,IF(S1166=#REF!,1,IF(S1166=#REF!,18,IF(OR(S1166=#REF!,S1166=#REF!,S1166=#REF!,S1166=#REF!,S1166=#REF!),14,"Invalid proposed procurement method")))))</f>
        <v>#REF!</v>
      </c>
      <c r="M1166" s="199" t="str">
        <f t="shared" si="20"/>
        <v>Invalid procurement method or date entered</v>
      </c>
      <c r="N1166" s="199" t="str">
        <f t="shared" si="21"/>
        <v>Invalid procurement method or date entered</v>
      </c>
      <c r="O1166" s="14">
        <v>44409</v>
      </c>
      <c r="P1166" s="5">
        <v>48</v>
      </c>
      <c r="Q1166" s="5" t="s">
        <v>215</v>
      </c>
      <c r="R1166" s="61">
        <v>34622</v>
      </c>
      <c r="S1166" s="5" t="s">
        <v>84</v>
      </c>
      <c r="T1166" s="9" t="s">
        <v>38</v>
      </c>
      <c r="U1166" s="15" t="s">
        <v>67</v>
      </c>
      <c r="V1166" s="15"/>
      <c r="W1166" s="5" t="s">
        <v>320</v>
      </c>
      <c r="X1166" s="80" t="s">
        <v>86</v>
      </c>
      <c r="Y1166" s="80" t="s">
        <v>40</v>
      </c>
      <c r="Z1166" s="80" t="s">
        <v>154</v>
      </c>
      <c r="AA1166" s="80" t="s">
        <v>70</v>
      </c>
      <c r="AB1166" s="354" t="s">
        <v>224</v>
      </c>
      <c r="AC1166" s="1111" t="s">
        <v>89</v>
      </c>
      <c r="AD1166" s="80" t="s">
        <v>220</v>
      </c>
      <c r="AE1166" s="211"/>
    </row>
    <row r="1167" spans="1:31" ht="72.5">
      <c r="A1167" s="1119"/>
      <c r="B1167" s="2755" t="s">
        <v>44</v>
      </c>
      <c r="C1167" s="10">
        <v>51302</v>
      </c>
      <c r="D1167" s="5" t="s">
        <v>32</v>
      </c>
      <c r="E1167" s="5"/>
      <c r="F1167" s="5"/>
      <c r="G1167" s="5"/>
      <c r="H1167" s="5" t="s">
        <v>127</v>
      </c>
      <c r="I1167" s="5" t="s">
        <v>47</v>
      </c>
      <c r="J1167" s="16" t="s">
        <v>2746</v>
      </c>
      <c r="K1167" s="8"/>
      <c r="L1167" s="5" t="e">
        <f>IF(OR(S1167=#REF!,S1167=#REF!,S1167=#REF!,S1167=#REF!,S1167=#REF!,S1167=#REF!,S1167=#REF!,S1167=#REF!),12,IF(OR(S1167=#REF!,S1167=#REF!,S1167=#REF!,S1167=#REF!,S1167=#REF!,S1167=#REF!,S1167=#REF!),3,IF(S1167=#REF!,1,IF(S1167=#REF!,18,IF(OR(S1167=#REF!,S1167=#REF!,S1167=#REF!,S1167=#REF!,S1167=#REF!),14,"Invalid proposed procurement method")))))</f>
        <v>#REF!</v>
      </c>
      <c r="M1167" s="199" t="str">
        <f t="shared" si="20"/>
        <v>Invalid procurement method or date entered</v>
      </c>
      <c r="N1167" s="199" t="str">
        <f t="shared" si="21"/>
        <v>Invalid procurement method or date entered</v>
      </c>
      <c r="O1167" s="199">
        <v>44409</v>
      </c>
      <c r="P1167" s="5">
        <v>36</v>
      </c>
      <c r="Q1167" s="5">
        <v>36</v>
      </c>
      <c r="R1167" s="41">
        <v>0</v>
      </c>
      <c r="S1167" s="5" t="s">
        <v>84</v>
      </c>
      <c r="T1167" s="11" t="s">
        <v>38</v>
      </c>
      <c r="U1167" s="11" t="s">
        <v>67</v>
      </c>
      <c r="V1167" s="11"/>
      <c r="W1167" s="12" t="s">
        <v>2747</v>
      </c>
      <c r="X1167" s="80" t="s">
        <v>254</v>
      </c>
      <c r="Y1167" s="80" t="s">
        <v>40</v>
      </c>
      <c r="Z1167" s="80" t="s">
        <v>154</v>
      </c>
      <c r="AA1167" s="80" t="s">
        <v>70</v>
      </c>
      <c r="AB1167" s="354" t="s">
        <v>88</v>
      </c>
      <c r="AC1167" s="1110" t="s">
        <v>4184</v>
      </c>
      <c r="AD1167" s="76" t="s">
        <v>127</v>
      </c>
      <c r="AE1167" s="211">
        <v>0</v>
      </c>
    </row>
    <row r="1168" spans="1:31" ht="72.5">
      <c r="A1168" s="2754"/>
      <c r="B1168" s="2755" t="s">
        <v>44</v>
      </c>
      <c r="C1168" s="4" t="s">
        <v>1073</v>
      </c>
      <c r="D1168" s="5" t="s">
        <v>32</v>
      </c>
      <c r="E1168" s="5"/>
      <c r="F1168" s="5"/>
      <c r="G1168" s="5"/>
      <c r="H1168" s="5" t="s">
        <v>862</v>
      </c>
      <c r="I1168" s="5" t="s">
        <v>47</v>
      </c>
      <c r="J1168" s="16" t="s">
        <v>1074</v>
      </c>
      <c r="K1168" s="16"/>
      <c r="L1168" s="5" t="e">
        <f>IF(OR(S1168=#REF!,S1168=#REF!,S1168=#REF!,S1168=#REF!,S1168=#REF!,S1168=#REF!,S1168=#REF!,S1168=#REF!),12,IF(OR(S1168=#REF!,S1168=#REF!,S1168=#REF!,S1168=#REF!,S1168=#REF!,S1168=#REF!,S1168=#REF!),3,IF(S1168=#REF!,1,IF(S1168=#REF!,18,IF(OR(S1168=#REF!,S1168=#REF!,S1168=#REF!,S1168=#REF!,S1168=#REF!),14,"Invalid proposed procurement method")))))</f>
        <v>#REF!</v>
      </c>
      <c r="M1168" s="199" t="str">
        <f t="shared" si="20"/>
        <v>Invalid procurement method or date entered</v>
      </c>
      <c r="N1168" s="199" t="str">
        <f t="shared" si="21"/>
        <v>Invalid procurement method or date entered</v>
      </c>
      <c r="O1168" s="182">
        <v>44409</v>
      </c>
      <c r="P1168" s="12">
        <v>48</v>
      </c>
      <c r="Q1168" s="12" t="s">
        <v>215</v>
      </c>
      <c r="R1168" s="95">
        <v>60000</v>
      </c>
      <c r="S1168" s="199" t="s">
        <v>75</v>
      </c>
      <c r="T1168" s="5" t="s">
        <v>38</v>
      </c>
      <c r="U1168" s="11" t="s">
        <v>67</v>
      </c>
      <c r="V1168" s="11"/>
      <c r="W1168" s="12" t="s">
        <v>1076</v>
      </c>
      <c r="X1168" s="80" t="s">
        <v>254</v>
      </c>
      <c r="Y1168" s="80" t="s">
        <v>40</v>
      </c>
      <c r="Z1168" s="80" t="s">
        <v>69</v>
      </c>
      <c r="AA1168" s="80" t="s">
        <v>70</v>
      </c>
      <c r="AB1168" s="354" t="s">
        <v>88</v>
      </c>
      <c r="AC1168" s="101" t="s">
        <v>4185</v>
      </c>
      <c r="AD1168" s="80" t="s">
        <v>285</v>
      </c>
      <c r="AE1168" s="339"/>
    </row>
    <row r="1169" spans="1:32" ht="72.5">
      <c r="A1169" s="1184"/>
      <c r="B1169" s="4" t="s">
        <v>44</v>
      </c>
      <c r="C1169" s="148" t="s">
        <v>322</v>
      </c>
      <c r="D1169" s="9" t="s">
        <v>32</v>
      </c>
      <c r="E1169" s="9"/>
      <c r="F1169" s="9"/>
      <c r="G1169" s="9"/>
      <c r="H1169" s="9" t="s">
        <v>323</v>
      </c>
      <c r="I1169" s="9" t="s">
        <v>34</v>
      </c>
      <c r="J1169" s="63" t="s">
        <v>324</v>
      </c>
      <c r="K1169" s="6"/>
      <c r="L1169" s="6"/>
      <c r="M1169" s="183">
        <v>44197</v>
      </c>
      <c r="N1169" s="183"/>
      <c r="O1169" s="183">
        <v>44409</v>
      </c>
      <c r="P1169" s="9">
        <v>48</v>
      </c>
      <c r="Q1169" s="269" t="s">
        <v>656</v>
      </c>
      <c r="R1169" s="61">
        <v>252000</v>
      </c>
      <c r="S1169" s="9" t="s">
        <v>91</v>
      </c>
      <c r="T1169" s="217" t="s">
        <v>38</v>
      </c>
      <c r="U1169" s="2905"/>
      <c r="V1169" s="2905"/>
      <c r="W1169" s="9" t="s">
        <v>2736</v>
      </c>
      <c r="X1169" s="1076" t="s">
        <v>1633</v>
      </c>
      <c r="Y1169" s="80" t="s">
        <v>40</v>
      </c>
      <c r="Z1169" s="80"/>
      <c r="AA1169" s="1076"/>
      <c r="AB1169" s="1105">
        <v>43712</v>
      </c>
      <c r="AC1169" s="1111" t="s">
        <v>4186</v>
      </c>
      <c r="AD1169" s="2890"/>
      <c r="AE1169" s="1132">
        <v>63000</v>
      </c>
    </row>
    <row r="1170" spans="1:32" ht="72.5">
      <c r="A1170" s="1184"/>
      <c r="B1170" s="175"/>
      <c r="C1170" s="175" t="s">
        <v>3175</v>
      </c>
      <c r="D1170" s="1538" t="s">
        <v>32</v>
      </c>
      <c r="E1170" s="1538"/>
      <c r="F1170" s="1538"/>
      <c r="G1170" s="1538"/>
      <c r="H1170" s="1538" t="s">
        <v>33</v>
      </c>
      <c r="I1170" s="1538" t="s">
        <v>268</v>
      </c>
      <c r="J1170" s="1538" t="s">
        <v>4187</v>
      </c>
      <c r="K1170" s="1538"/>
      <c r="L1170" s="1538" t="e">
        <f>IF(OR(S1170=#REF!,S1170=#REF!,S1170=#REF!,S1170=#REF!,S1170=#REF!,S1170=#REF!,S1170=#REF!,S1170=#REF!),12,IF(OR(S1170=#REF!,S1170=#REF!,S1170=#REF!,S1170=#REF!,S1170=#REF!,S1170=#REF!,S1170=#REF!),3,IF(S1170=#REF!,1,IF(S1170=#REF!,18,IF(OR(S1170=#REF!,S1170=#REF!,S1170=#REF!,S1170=#REF!,S1170=#REF!),14,"Invalid proposed procurement method")))))</f>
        <v>#REF!</v>
      </c>
      <c r="M1170" s="1539" t="str">
        <f>IFERROR(EDATE($N1170,-3),"Invalid procurement method or date entered")</f>
        <v>Invalid procurement method or date entered</v>
      </c>
      <c r="N1170" s="1539" t="str">
        <f>IFERROR(EDATE(O1170,-L1170),"Invalid procurement method or date entered")</f>
        <v>Invalid procurement method or date entered</v>
      </c>
      <c r="O1170" s="1539">
        <v>44409</v>
      </c>
      <c r="P1170" s="1538">
        <v>22</v>
      </c>
      <c r="Q1170" s="1538" t="s">
        <v>4188</v>
      </c>
      <c r="R1170" s="1540">
        <v>23000</v>
      </c>
      <c r="S1170" s="1538" t="s">
        <v>270</v>
      </c>
      <c r="T1170" s="1541" t="s">
        <v>38</v>
      </c>
      <c r="U1170" s="175" t="s">
        <v>67</v>
      </c>
      <c r="V1170" s="175"/>
      <c r="W1170" s="1538" t="s">
        <v>4189</v>
      </c>
      <c r="X1170" s="1542" t="s">
        <v>94</v>
      </c>
      <c r="Y1170" s="1542" t="s">
        <v>40</v>
      </c>
      <c r="Z1170" s="1542" t="s">
        <v>154</v>
      </c>
      <c r="AA1170" s="1542" t="s">
        <v>38</v>
      </c>
      <c r="AB1170" s="1543" t="s">
        <v>143</v>
      </c>
      <c r="AC1170" s="1544" t="s">
        <v>4190</v>
      </c>
      <c r="AD1170" s="1542" t="s">
        <v>145</v>
      </c>
      <c r="AE1170" s="1545">
        <v>5000</v>
      </c>
    </row>
    <row r="1171" spans="1:32" ht="37.5">
      <c r="A1171" s="1119"/>
      <c r="B1171" s="577" t="s">
        <v>56</v>
      </c>
      <c r="C1171" s="510" t="s">
        <v>60</v>
      </c>
      <c r="D1171" s="511" t="s">
        <v>57</v>
      </c>
      <c r="E1171" s="511"/>
      <c r="F1171" s="511"/>
      <c r="G1171" s="511"/>
      <c r="H1171" s="511" t="s">
        <v>58</v>
      </c>
      <c r="I1171" s="519" t="s">
        <v>34</v>
      </c>
      <c r="J1171" s="1578" t="s">
        <v>4191</v>
      </c>
      <c r="K1171" s="512"/>
      <c r="L1171" s="511">
        <v>12</v>
      </c>
      <c r="M1171" s="514">
        <f t="shared" ref="M1171:M1177" si="22">IF(O1171="tbc","",(IFERROR(EDATE($N1171,-3),"Invalid procurement method or date entered")))</f>
        <v>43952</v>
      </c>
      <c r="N1171" s="514">
        <f t="shared" ref="N1171:N1178" si="23">IF(O1171="tbc","",(IFERROR(EDATE(O1171,-L1171),"Invalid procurement method or date entered")))</f>
        <v>44044</v>
      </c>
      <c r="O1171" s="515">
        <v>44409</v>
      </c>
      <c r="P1171" s="516">
        <v>36</v>
      </c>
      <c r="Q1171" s="516">
        <v>36</v>
      </c>
      <c r="R1171" s="528">
        <f>SUM(AVERAGE(487693.25,440762.85,296504.37))*3</f>
        <v>1224960.47</v>
      </c>
      <c r="S1171" s="515" t="s">
        <v>130</v>
      </c>
      <c r="T1171" s="515" t="s">
        <v>310</v>
      </c>
      <c r="U1171" s="515" t="s">
        <v>60</v>
      </c>
      <c r="V1171" s="515"/>
      <c r="W1171" s="569" t="s">
        <v>3252</v>
      </c>
    </row>
    <row r="1172" spans="1:32" ht="50">
      <c r="A1172" s="1119"/>
      <c r="B1172" s="577" t="s">
        <v>56</v>
      </c>
      <c r="C1172" s="510" t="s">
        <v>4192</v>
      </c>
      <c r="D1172" s="558" t="s">
        <v>348</v>
      </c>
      <c r="E1172" s="558"/>
      <c r="F1172" s="558"/>
      <c r="G1172" s="558"/>
      <c r="H1172" s="511" t="s">
        <v>58</v>
      </c>
      <c r="I1172" s="510" t="s">
        <v>47</v>
      </c>
      <c r="J1172" s="1580" t="s">
        <v>4193</v>
      </c>
      <c r="K1172" s="533"/>
      <c r="L1172" s="511">
        <v>3</v>
      </c>
      <c r="M1172" s="514">
        <f t="shared" si="22"/>
        <v>44228</v>
      </c>
      <c r="N1172" s="514">
        <f t="shared" si="23"/>
        <v>44317</v>
      </c>
      <c r="O1172" s="534">
        <v>44409</v>
      </c>
      <c r="P1172" s="535">
        <v>2</v>
      </c>
      <c r="Q1172" s="535">
        <v>2</v>
      </c>
      <c r="R1172" s="528">
        <v>290000</v>
      </c>
      <c r="S1172" s="515" t="s">
        <v>61</v>
      </c>
      <c r="T1172" s="515" t="s">
        <v>62</v>
      </c>
      <c r="U1172" s="515" t="s">
        <v>60</v>
      </c>
      <c r="V1172" s="515"/>
      <c r="W1172" s="510" t="s">
        <v>3935</v>
      </c>
    </row>
    <row r="1173" spans="1:32" ht="50">
      <c r="A1173" s="1119"/>
      <c r="B1173" s="577" t="s">
        <v>56</v>
      </c>
      <c r="C1173" s="510" t="s">
        <v>4194</v>
      </c>
      <c r="D1173" s="510" t="s">
        <v>56</v>
      </c>
      <c r="E1173" s="510"/>
      <c r="F1173" s="510"/>
      <c r="G1173" s="510"/>
      <c r="H1173" s="558" t="s">
        <v>348</v>
      </c>
      <c r="I1173" s="510" t="s">
        <v>47</v>
      </c>
      <c r="J1173" s="1580" t="s">
        <v>4195</v>
      </c>
      <c r="K1173" s="990"/>
      <c r="L1173" s="511">
        <v>3</v>
      </c>
      <c r="M1173" s="514">
        <f t="shared" si="22"/>
        <v>44228</v>
      </c>
      <c r="N1173" s="514">
        <f t="shared" si="23"/>
        <v>44317</v>
      </c>
      <c r="O1173" s="534">
        <v>44409</v>
      </c>
      <c r="P1173" s="535">
        <v>1</v>
      </c>
      <c r="Q1173" s="535">
        <v>1</v>
      </c>
      <c r="R1173" s="528">
        <v>505378</v>
      </c>
      <c r="S1173" s="515" t="s">
        <v>61</v>
      </c>
      <c r="T1173" s="515" t="s">
        <v>4196</v>
      </c>
      <c r="U1173" s="515" t="s">
        <v>60</v>
      </c>
      <c r="V1173" s="515"/>
      <c r="W1173" s="510" t="s">
        <v>3935</v>
      </c>
    </row>
    <row r="1174" spans="1:32" ht="50">
      <c r="A1174" s="1119"/>
      <c r="B1174" s="577" t="s">
        <v>56</v>
      </c>
      <c r="C1174" s="511" t="s">
        <v>4197</v>
      </c>
      <c r="D1174" s="511" t="s">
        <v>57</v>
      </c>
      <c r="E1174" s="511"/>
      <c r="F1174" s="511"/>
      <c r="G1174" s="511"/>
      <c r="H1174" s="511" t="s">
        <v>58</v>
      </c>
      <c r="I1174" s="519" t="s">
        <v>47</v>
      </c>
      <c r="J1174" s="1578" t="s">
        <v>4198</v>
      </c>
      <c r="K1174" s="990"/>
      <c r="L1174" s="511">
        <v>3</v>
      </c>
      <c r="M1174" s="514">
        <f t="shared" si="22"/>
        <v>44228</v>
      </c>
      <c r="N1174" s="514">
        <f t="shared" si="23"/>
        <v>44317</v>
      </c>
      <c r="O1174" s="515">
        <v>44409</v>
      </c>
      <c r="P1174" s="516" t="s">
        <v>60</v>
      </c>
      <c r="Q1174" s="519" t="s">
        <v>60</v>
      </c>
      <c r="R1174" s="528">
        <v>250000</v>
      </c>
      <c r="S1174" s="515" t="s">
        <v>61</v>
      </c>
      <c r="T1174" s="515" t="s">
        <v>62</v>
      </c>
      <c r="U1174" s="511" t="s">
        <v>60</v>
      </c>
      <c r="V1174" s="511"/>
      <c r="W1174" s="511"/>
    </row>
    <row r="1175" spans="1:32" ht="50">
      <c r="A1175" s="1119"/>
      <c r="B1175" s="577" t="s">
        <v>56</v>
      </c>
      <c r="C1175" s="511" t="s">
        <v>4199</v>
      </c>
      <c r="D1175" s="511" t="s">
        <v>57</v>
      </c>
      <c r="E1175" s="511"/>
      <c r="F1175" s="511"/>
      <c r="G1175" s="511"/>
      <c r="H1175" s="511" t="s">
        <v>58</v>
      </c>
      <c r="I1175" s="519" t="s">
        <v>47</v>
      </c>
      <c r="J1175" s="1578" t="s">
        <v>4200</v>
      </c>
      <c r="K1175" s="990"/>
      <c r="L1175" s="511">
        <v>3</v>
      </c>
      <c r="M1175" s="514">
        <f t="shared" si="22"/>
        <v>44228</v>
      </c>
      <c r="N1175" s="514">
        <f t="shared" si="23"/>
        <v>44317</v>
      </c>
      <c r="O1175" s="515">
        <v>44409</v>
      </c>
      <c r="P1175" s="516">
        <v>2</v>
      </c>
      <c r="Q1175" s="527">
        <v>2</v>
      </c>
      <c r="R1175" s="528">
        <v>80000</v>
      </c>
      <c r="S1175" s="515" t="s">
        <v>61</v>
      </c>
      <c r="T1175" s="515" t="s">
        <v>62</v>
      </c>
      <c r="U1175" s="511" t="s">
        <v>60</v>
      </c>
      <c r="V1175" s="511"/>
      <c r="W1175" s="510"/>
    </row>
    <row r="1176" spans="1:32" ht="37.5">
      <c r="A1176" s="1119"/>
      <c r="B1176" s="577" t="s">
        <v>56</v>
      </c>
      <c r="C1176" s="511" t="s">
        <v>4201</v>
      </c>
      <c r="D1176" s="511" t="s">
        <v>348</v>
      </c>
      <c r="E1176" s="511"/>
      <c r="F1176" s="511"/>
      <c r="G1176" s="511"/>
      <c r="H1176" s="511" t="s">
        <v>58</v>
      </c>
      <c r="I1176" s="519" t="s">
        <v>47</v>
      </c>
      <c r="J1176" s="606" t="s">
        <v>4202</v>
      </c>
      <c r="K1176" s="990"/>
      <c r="L1176" s="511">
        <v>2</v>
      </c>
      <c r="M1176" s="514">
        <f t="shared" si="22"/>
        <v>44256</v>
      </c>
      <c r="N1176" s="514">
        <f t="shared" si="23"/>
        <v>44348</v>
      </c>
      <c r="O1176" s="514">
        <v>44409</v>
      </c>
      <c r="P1176" s="536">
        <v>1</v>
      </c>
      <c r="Q1176" s="536">
        <v>1</v>
      </c>
      <c r="R1176" s="538">
        <v>200000</v>
      </c>
      <c r="S1176" s="515" t="s">
        <v>84</v>
      </c>
      <c r="T1176" s="515" t="s">
        <v>62</v>
      </c>
      <c r="U1176" s="511" t="s">
        <v>60</v>
      </c>
      <c r="V1176" s="511"/>
      <c r="W1176" s="394" t="s">
        <v>70</v>
      </c>
    </row>
    <row r="1177" spans="1:32" ht="25">
      <c r="A1177" s="1119"/>
      <c r="B1177" s="577" t="s">
        <v>56</v>
      </c>
      <c r="C1177" s="510" t="s">
        <v>60</v>
      </c>
      <c r="D1177" s="511" t="s">
        <v>110</v>
      </c>
      <c r="E1177" s="511"/>
      <c r="F1177" s="511"/>
      <c r="G1177" s="511"/>
      <c r="H1177" s="511" t="s">
        <v>308</v>
      </c>
      <c r="I1177" s="510" t="s">
        <v>47</v>
      </c>
      <c r="J1177" s="1580" t="s">
        <v>4203</v>
      </c>
      <c r="K1177" s="601"/>
      <c r="L1177" s="511">
        <v>12</v>
      </c>
      <c r="M1177" s="514">
        <f t="shared" si="22"/>
        <v>43952</v>
      </c>
      <c r="N1177" s="514">
        <f t="shared" si="23"/>
        <v>44044</v>
      </c>
      <c r="O1177" s="534">
        <v>44409</v>
      </c>
      <c r="P1177" s="535">
        <v>10</v>
      </c>
      <c r="Q1177" s="535">
        <v>10</v>
      </c>
      <c r="R1177" s="528">
        <f>120*3750</f>
        <v>450000</v>
      </c>
      <c r="S1177" s="515" t="s">
        <v>84</v>
      </c>
      <c r="T1177" s="515" t="s">
        <v>62</v>
      </c>
      <c r="U1177" s="515" t="s">
        <v>60</v>
      </c>
      <c r="V1177" s="515"/>
      <c r="W1177" s="394" t="s">
        <v>70</v>
      </c>
    </row>
    <row r="1178" spans="1:32" ht="50">
      <c r="A1178" s="1119"/>
      <c r="B1178" s="577" t="s">
        <v>56</v>
      </c>
      <c r="C1178" s="510" t="s">
        <v>60</v>
      </c>
      <c r="D1178" s="511" t="s">
        <v>57</v>
      </c>
      <c r="E1178" s="511"/>
      <c r="F1178" s="511"/>
      <c r="G1178" s="511"/>
      <c r="H1178" s="511" t="s">
        <v>58</v>
      </c>
      <c r="I1178" s="511" t="s">
        <v>47</v>
      </c>
      <c r="J1178" s="1580" t="s">
        <v>4204</v>
      </c>
      <c r="K1178" s="990"/>
      <c r="L1178" s="511">
        <v>12</v>
      </c>
      <c r="M1178" s="513" t="s">
        <v>60</v>
      </c>
      <c r="N1178" s="514">
        <f t="shared" si="23"/>
        <v>44044</v>
      </c>
      <c r="O1178" s="534">
        <v>44409</v>
      </c>
      <c r="P1178" s="536" t="s">
        <v>60</v>
      </c>
      <c r="Q1178" s="536" t="s">
        <v>60</v>
      </c>
      <c r="R1178" s="528">
        <v>50000</v>
      </c>
      <c r="S1178" s="515" t="s">
        <v>75</v>
      </c>
      <c r="T1178" s="515" t="s">
        <v>62</v>
      </c>
      <c r="U1178" s="520" t="s">
        <v>115</v>
      </c>
      <c r="V1178" s="520"/>
      <c r="W1178" s="521" t="s">
        <v>70</v>
      </c>
    </row>
    <row r="1179" spans="1:32" ht="78">
      <c r="A1179" s="889" t="s">
        <v>71</v>
      </c>
      <c r="B1179" s="707" t="s">
        <v>100</v>
      </c>
      <c r="C1179" s="707" t="s">
        <v>45</v>
      </c>
      <c r="D1179" s="710" t="s">
        <v>32</v>
      </c>
      <c r="E1179" s="710"/>
      <c r="F1179" s="710"/>
      <c r="G1179" s="710"/>
      <c r="H1179" s="710" t="s">
        <v>103</v>
      </c>
      <c r="I1179" s="710" t="s">
        <v>47</v>
      </c>
      <c r="J1179" s="1608" t="s">
        <v>4205</v>
      </c>
      <c r="K1179" s="710" t="s">
        <v>4206</v>
      </c>
      <c r="L1179" s="710">
        <v>2</v>
      </c>
      <c r="M1179" s="804">
        <f>IFERROR(EDATE(N1179,-3),"Invalid procurement method or date entered")</f>
        <v>44256</v>
      </c>
      <c r="N1179" s="712">
        <f>IFERROR(EDATE(O1179,-L1179),"Invalid procurement method or date entered")</f>
        <v>44348</v>
      </c>
      <c r="O1179" s="713">
        <v>44409</v>
      </c>
      <c r="P1179" s="777">
        <v>12</v>
      </c>
      <c r="Q1179" s="777">
        <v>12</v>
      </c>
      <c r="R1179" s="772">
        <v>199000</v>
      </c>
      <c r="S1179" s="758" t="s">
        <v>45</v>
      </c>
      <c r="T1179" s="710" t="s">
        <v>70</v>
      </c>
      <c r="U1179" s="711" t="s">
        <v>4207</v>
      </c>
      <c r="V1179" s="711"/>
      <c r="W1179" s="710" t="s">
        <v>3312</v>
      </c>
      <c r="X1179" s="843" t="s">
        <v>108</v>
      </c>
      <c r="Y1179" s="843" t="s">
        <v>40</v>
      </c>
      <c r="Z1179" s="843" t="s">
        <v>69</v>
      </c>
      <c r="AA1179" s="1092" t="s">
        <v>70</v>
      </c>
      <c r="AB1179" s="1499">
        <v>44875</v>
      </c>
      <c r="AC1179" s="1115" t="s">
        <v>4208</v>
      </c>
      <c r="AD1179" s="922"/>
      <c r="AE1179" s="922"/>
      <c r="AF1179" s="906"/>
    </row>
    <row r="1180" spans="1:32" ht="37.5">
      <c r="A1180" s="1119"/>
      <c r="B1180" s="577" t="s">
        <v>56</v>
      </c>
      <c r="C1180" s="511" t="s">
        <v>4209</v>
      </c>
      <c r="D1180" s="511" t="s">
        <v>57</v>
      </c>
      <c r="E1180" s="511"/>
      <c r="F1180" s="511"/>
      <c r="G1180" s="511"/>
      <c r="H1180" s="511" t="s">
        <v>58</v>
      </c>
      <c r="I1180" s="519" t="s">
        <v>47</v>
      </c>
      <c r="J1180" s="1578" t="s">
        <v>4210</v>
      </c>
      <c r="K1180" s="512"/>
      <c r="L1180" s="511">
        <v>3</v>
      </c>
      <c r="M1180" s="514">
        <f>IF(O1180="tbc","",(IFERROR(EDATE($N1180,-3),"Invalid procurement method or date entered")))</f>
        <v>44229</v>
      </c>
      <c r="N1180" s="514">
        <f>IF(O1180="tbc","",(IFERROR(EDATE(O1180,-L1180),"Invalid procurement method or date entered")))</f>
        <v>44318</v>
      </c>
      <c r="O1180" s="515">
        <v>44410</v>
      </c>
      <c r="P1180" s="516">
        <v>1</v>
      </c>
      <c r="Q1180" s="519">
        <v>1</v>
      </c>
      <c r="R1180" s="528">
        <v>40000</v>
      </c>
      <c r="S1180" s="515" t="s">
        <v>176</v>
      </c>
      <c r="T1180" s="515" t="s">
        <v>62</v>
      </c>
      <c r="U1180" s="511" t="s">
        <v>60</v>
      </c>
      <c r="V1180" s="511"/>
      <c r="W1180" s="511"/>
    </row>
    <row r="1181" spans="1:32" ht="37.5">
      <c r="A1181" s="1119"/>
      <c r="B1181" s="577" t="s">
        <v>56</v>
      </c>
      <c r="C1181" s="510" t="s">
        <v>4211</v>
      </c>
      <c r="D1181" s="511" t="s">
        <v>57</v>
      </c>
      <c r="E1181" s="511"/>
      <c r="F1181" s="511"/>
      <c r="G1181" s="511"/>
      <c r="H1181" s="511" t="s">
        <v>58</v>
      </c>
      <c r="I1181" s="519" t="s">
        <v>47</v>
      </c>
      <c r="J1181" s="1578" t="s">
        <v>4212</v>
      </c>
      <c r="K1181" s="512"/>
      <c r="L1181" s="511">
        <v>12</v>
      </c>
      <c r="M1181" s="514">
        <f>IF(O1181="tbc","",(IFERROR(EDATE($N1181,-3),"Invalid procurement method or date entered")))</f>
        <v>43953</v>
      </c>
      <c r="N1181" s="514">
        <f>IF(O1181="tbc","",(IFERROR(EDATE(O1181,-L1181),"Invalid procurement method or date entered")))</f>
        <v>44045</v>
      </c>
      <c r="O1181" s="515">
        <v>44410</v>
      </c>
      <c r="P1181" s="516">
        <v>48</v>
      </c>
      <c r="Q1181" s="516">
        <v>48</v>
      </c>
      <c r="R1181" s="528">
        <v>300000000</v>
      </c>
      <c r="S1181" s="515" t="s">
        <v>91</v>
      </c>
      <c r="T1181" s="515" t="s">
        <v>310</v>
      </c>
      <c r="U1181" s="515" t="s">
        <v>60</v>
      </c>
      <c r="V1181" s="515"/>
      <c r="W1181" s="670"/>
    </row>
    <row r="1182" spans="1:32">
      <c r="A1182" s="1648">
        <v>44974</v>
      </c>
      <c r="B1182" s="1655" t="s">
        <v>1168</v>
      </c>
      <c r="C1182" s="1664" t="s">
        <v>4213</v>
      </c>
      <c r="D1182" s="1664" t="s">
        <v>1254</v>
      </c>
      <c r="E1182" s="1655" t="s">
        <v>1168</v>
      </c>
      <c r="F1182" s="1655" t="s">
        <v>1170</v>
      </c>
      <c r="G1182" s="1655" t="s">
        <v>1170</v>
      </c>
      <c r="H1182" s="1655" t="s">
        <v>1170</v>
      </c>
      <c r="I1182" s="1655" t="s">
        <v>1170</v>
      </c>
      <c r="J1182" s="1698" t="s">
        <v>4214</v>
      </c>
      <c r="K1182" s="1664" t="s">
        <v>4215</v>
      </c>
      <c r="L1182" s="1655" t="s">
        <v>1170</v>
      </c>
      <c r="M1182" s="1655" t="s">
        <v>1170</v>
      </c>
      <c r="N1182" s="1655" t="s">
        <v>1170</v>
      </c>
      <c r="O1182" s="1755">
        <v>44410</v>
      </c>
      <c r="P1182" s="1755">
        <v>44501</v>
      </c>
      <c r="Q1182" s="1664" t="s">
        <v>589</v>
      </c>
      <c r="R1182" s="1805">
        <v>19333</v>
      </c>
      <c r="S1182" s="1664" t="s">
        <v>1189</v>
      </c>
      <c r="T1182" s="1655" t="s">
        <v>1170</v>
      </c>
      <c r="U1182" s="1655" t="s">
        <v>1170</v>
      </c>
      <c r="V1182" s="1655"/>
      <c r="W1182" s="1664" t="s">
        <v>4216</v>
      </c>
      <c r="X1182" s="1723" t="s">
        <v>1175</v>
      </c>
      <c r="Y1182" s="1723" t="s">
        <v>251</v>
      </c>
      <c r="Z1182" s="1657" t="s">
        <v>1170</v>
      </c>
      <c r="AA1182" s="1657" t="s">
        <v>1170</v>
      </c>
      <c r="AB1182" s="1657" t="s">
        <v>1170</v>
      </c>
      <c r="AC1182" s="909" t="s">
        <v>4217</v>
      </c>
      <c r="AD1182" s="1657" t="s">
        <v>1170</v>
      </c>
      <c r="AE1182" s="1828">
        <v>19333</v>
      </c>
    </row>
    <row r="1183" spans="1:32" ht="275.5">
      <c r="A1183" s="2754"/>
      <c r="B1183" s="120"/>
      <c r="C1183" s="4" t="s">
        <v>2842</v>
      </c>
      <c r="D1183" s="9" t="s">
        <v>32</v>
      </c>
      <c r="E1183" s="9"/>
      <c r="F1183" s="9"/>
      <c r="G1183" s="9"/>
      <c r="H1183" s="5" t="s">
        <v>33</v>
      </c>
      <c r="I1183" s="5" t="s">
        <v>34</v>
      </c>
      <c r="J1183" s="16" t="s">
        <v>2209</v>
      </c>
      <c r="K1183" s="16"/>
      <c r="L1183" s="16"/>
      <c r="M1183" s="182">
        <v>44136</v>
      </c>
      <c r="N1183" s="182"/>
      <c r="O1183" s="182">
        <v>44414</v>
      </c>
      <c r="P1183" s="12">
        <v>60</v>
      </c>
      <c r="Q1183" s="7" t="s">
        <v>4218</v>
      </c>
      <c r="R1183" s="18">
        <v>993867</v>
      </c>
      <c r="S1183" s="5" t="s">
        <v>130</v>
      </c>
      <c r="T1183" s="52" t="s">
        <v>70</v>
      </c>
      <c r="U1183" s="48" t="s">
        <v>45</v>
      </c>
      <c r="V1183" s="48"/>
      <c r="W1183" s="5" t="s">
        <v>2211</v>
      </c>
      <c r="X1183" s="2760" t="s">
        <v>39</v>
      </c>
      <c r="Y1183" s="80" t="s">
        <v>40</v>
      </c>
      <c r="Z1183" s="80"/>
      <c r="AA1183" s="80"/>
      <c r="AB1183" s="354" t="s">
        <v>3016</v>
      </c>
      <c r="AC1183" s="1111" t="s">
        <v>4219</v>
      </c>
      <c r="AD1183" s="76" t="s">
        <v>43</v>
      </c>
      <c r="AE1183" s="339">
        <v>331289</v>
      </c>
    </row>
    <row r="1184" spans="1:32" ht="72.5">
      <c r="A1184" s="2754"/>
      <c r="B1184" s="4"/>
      <c r="C1184" s="4" t="s">
        <v>4220</v>
      </c>
      <c r="D1184" s="5" t="s">
        <v>32</v>
      </c>
      <c r="E1184" s="5"/>
      <c r="F1184" s="5"/>
      <c r="G1184" s="5"/>
      <c r="H1184" s="5" t="s">
        <v>33</v>
      </c>
      <c r="I1184" s="272" t="s">
        <v>47</v>
      </c>
      <c r="J1184" s="16" t="s">
        <v>4221</v>
      </c>
      <c r="K1184" s="8"/>
      <c r="L1184" s="5" t="e">
        <f>IF(OR(S1184=#REF!,S1184=#REF!,S1184=#REF!,S1184=#REF!,S1184=#REF!,S1184=#REF!,S1184=#REF!,S1184=#REF!),12,IF(OR(S1184=#REF!,S1184=#REF!,S1184=#REF!,S1184=#REF!,S1184=#REF!,S1184=#REF!,S1184=#REF!),3,IF(S1184=#REF!,1,IF(S1184=#REF!,18,IF(OR(S1184=#REF!,S1184=#REF!,S1184=#REF!,S1184=#REF!,S1184=#REF!),14,"Invalid proposed procurement method")))))</f>
        <v>#REF!</v>
      </c>
      <c r="M1184" s="199" t="str">
        <f>IFERROR(EDATE($N1184,-3),"Invalid procurement method or date entered")</f>
        <v>Invalid procurement method or date entered</v>
      </c>
      <c r="N1184" s="199" t="str">
        <f>IFERROR(EDATE(O1184,-L1184),"Invalid procurement method or date entered")</f>
        <v>Invalid procurement method or date entered</v>
      </c>
      <c r="O1184" s="199">
        <v>44414</v>
      </c>
      <c r="P1184" s="5">
        <v>20</v>
      </c>
      <c r="Q1184" s="5">
        <v>20</v>
      </c>
      <c r="R1184" s="41">
        <v>160000</v>
      </c>
      <c r="S1184" s="5" t="s">
        <v>75</v>
      </c>
      <c r="T1184" s="52" t="s">
        <v>70</v>
      </c>
      <c r="U1184" s="210">
        <v>44362</v>
      </c>
      <c r="V1184" s="210"/>
      <c r="W1184" s="5" t="s">
        <v>4126</v>
      </c>
      <c r="X1184" s="80" t="s">
        <v>86</v>
      </c>
      <c r="Y1184" s="80" t="s">
        <v>40</v>
      </c>
      <c r="Z1184" s="80" t="s">
        <v>69</v>
      </c>
      <c r="AA1184" s="76" t="s">
        <v>70</v>
      </c>
      <c r="AB1184" s="354" t="s">
        <v>143</v>
      </c>
      <c r="AC1184" s="1110" t="s">
        <v>89</v>
      </c>
      <c r="AD1184" s="80" t="s">
        <v>96</v>
      </c>
      <c r="AE1184" s="1145">
        <v>150000</v>
      </c>
    </row>
    <row r="1185" spans="1:31" ht="37.5">
      <c r="A1185" s="1119"/>
      <c r="B1185" s="577" t="s">
        <v>56</v>
      </c>
      <c r="C1185" s="511" t="s">
        <v>4222</v>
      </c>
      <c r="D1185" s="510" t="s">
        <v>56</v>
      </c>
      <c r="E1185" s="510"/>
      <c r="F1185" s="510"/>
      <c r="G1185" s="510"/>
      <c r="H1185" s="511" t="s">
        <v>57</v>
      </c>
      <c r="I1185" s="511"/>
      <c r="J1185" s="1578" t="s">
        <v>4223</v>
      </c>
      <c r="K1185" s="512"/>
      <c r="L1185" s="511">
        <v>3</v>
      </c>
      <c r="M1185" s="514">
        <f>IF(O1185="tbc","",(IFERROR(EDATE($N1185,-3),"Invalid procurement method or date entered")))</f>
        <v>44234</v>
      </c>
      <c r="N1185" s="514">
        <f>IF(O1185="tbc","",(IFERROR(EDATE(O1185,-L1185),"Invalid procurement method or date entered")))</f>
        <v>44323</v>
      </c>
      <c r="O1185" s="515">
        <v>44415</v>
      </c>
      <c r="P1185" s="516" t="s">
        <v>60</v>
      </c>
      <c r="Q1185" s="519" t="s">
        <v>60</v>
      </c>
      <c r="R1185" s="528">
        <v>30000</v>
      </c>
      <c r="S1185" s="515" t="s">
        <v>176</v>
      </c>
      <c r="T1185" s="515" t="s">
        <v>62</v>
      </c>
      <c r="U1185" s="511" t="s">
        <v>60</v>
      </c>
      <c r="V1185" s="511"/>
      <c r="W1185" s="511" t="s">
        <v>3935</v>
      </c>
    </row>
    <row r="1186" spans="1:31" ht="72.5">
      <c r="A1186" s="1184"/>
      <c r="B1186" s="2757"/>
      <c r="C1186" s="4" t="s">
        <v>4224</v>
      </c>
      <c r="D1186" s="5" t="s">
        <v>32</v>
      </c>
      <c r="E1186" s="5"/>
      <c r="F1186" s="5"/>
      <c r="G1186" s="5"/>
      <c r="H1186" s="5" t="s">
        <v>710</v>
      </c>
      <c r="I1186" s="5" t="s">
        <v>47</v>
      </c>
      <c r="J1186" s="16" t="s">
        <v>4225</v>
      </c>
      <c r="K1186" s="8"/>
      <c r="L1186" s="5" t="e">
        <f>IF(OR(S1186=#REF!,S1186=#REF!,S1186=#REF!,S1186=#REF!,S1186=#REF!,S1186=#REF!,S1186=#REF!,S1186=#REF!),12,IF(OR(S1186=#REF!,S1186=#REF!,S1186=#REF!,S1186=#REF!,S1186=#REF!,S1186=#REF!,S1186=#REF!),3,IF(S1186=#REF!,1,IF(S1186=#REF!,18,IF(OR(S1186=#REF!,S1186=#REF!,S1186=#REF!,S1186=#REF!,S1186=#REF!),14,"Invalid proposed procurement method")))))</f>
        <v>#REF!</v>
      </c>
      <c r="M1186" s="199">
        <v>44378</v>
      </c>
      <c r="N1186" s="199" t="str">
        <f>IFERROR(EDATE(O1186,-L1186),"Invalid procurement method or date entered")</f>
        <v>Invalid procurement method or date entered</v>
      </c>
      <c r="O1186" s="199">
        <v>44417</v>
      </c>
      <c r="P1186" s="5">
        <v>48</v>
      </c>
      <c r="Q1186" s="5" t="s">
        <v>215</v>
      </c>
      <c r="R1186" s="1546">
        <v>580000</v>
      </c>
      <c r="S1186" s="5" t="s">
        <v>84</v>
      </c>
      <c r="T1186" s="11" t="s">
        <v>310</v>
      </c>
      <c r="U1186" s="12">
        <v>44406</v>
      </c>
      <c r="V1186" s="12"/>
      <c r="W1186" s="5" t="s">
        <v>1076</v>
      </c>
      <c r="X1186" s="80" t="s">
        <v>94</v>
      </c>
      <c r="Y1186" s="80" t="s">
        <v>40</v>
      </c>
      <c r="Z1186" s="80"/>
      <c r="AA1186" s="80" t="s">
        <v>38</v>
      </c>
      <c r="AB1186" s="354" t="s">
        <v>143</v>
      </c>
      <c r="AC1186" s="1110" t="s">
        <v>4226</v>
      </c>
      <c r="AD1186" s="80" t="s">
        <v>710</v>
      </c>
      <c r="AE1186">
        <v>145000</v>
      </c>
    </row>
    <row r="1187" spans="1:31" ht="25">
      <c r="A1187" s="1119"/>
      <c r="B1187" s="577" t="s">
        <v>56</v>
      </c>
      <c r="C1187" s="510" t="s">
        <v>4227</v>
      </c>
      <c r="D1187" s="510" t="s">
        <v>56</v>
      </c>
      <c r="E1187" s="510"/>
      <c r="F1187" s="510"/>
      <c r="G1187" s="510"/>
      <c r="H1187" s="511" t="s">
        <v>57</v>
      </c>
      <c r="I1187" s="511"/>
      <c r="J1187" s="1580" t="s">
        <v>4228</v>
      </c>
      <c r="K1187" s="533"/>
      <c r="L1187" s="511">
        <v>1</v>
      </c>
      <c r="M1187" s="514">
        <f>IF(O1187="tbc","",(IFERROR(EDATE($N1187,-3),"Invalid procurement method or date entered")))</f>
        <v>44295</v>
      </c>
      <c r="N1187" s="514">
        <f>IF(O1187="tbc","",(IFERROR(EDATE(O1187,-L1187),"Invalid procurement method or date entered")))</f>
        <v>44386</v>
      </c>
      <c r="O1187" s="534">
        <v>44417</v>
      </c>
      <c r="P1187" s="535">
        <v>1</v>
      </c>
      <c r="Q1187" s="535">
        <v>1</v>
      </c>
      <c r="R1187" s="528">
        <v>30000</v>
      </c>
      <c r="S1187" s="515" t="s">
        <v>176</v>
      </c>
      <c r="T1187" s="515" t="s">
        <v>62</v>
      </c>
      <c r="U1187" s="515" t="s">
        <v>60</v>
      </c>
      <c r="V1187" s="515"/>
      <c r="W1187" s="510" t="s">
        <v>3935</v>
      </c>
    </row>
    <row r="1188" spans="1:31" ht="37.5">
      <c r="A1188" s="1119"/>
      <c r="B1188" s="577" t="s">
        <v>56</v>
      </c>
      <c r="C1188" s="510" t="s">
        <v>60</v>
      </c>
      <c r="D1188" s="511" t="s">
        <v>57</v>
      </c>
      <c r="E1188" s="511"/>
      <c r="F1188" s="511"/>
      <c r="G1188" s="511"/>
      <c r="H1188" s="511" t="s">
        <v>58</v>
      </c>
      <c r="I1188" s="510" t="s">
        <v>47</v>
      </c>
      <c r="J1188" s="1580" t="s">
        <v>4229</v>
      </c>
      <c r="K1188" s="529"/>
      <c r="L1188" s="511">
        <v>3</v>
      </c>
      <c r="M1188" s="514">
        <f>IF(O1188="tbc","",(IFERROR(EDATE($N1188,-3),"Invalid procurement method or date entered")))</f>
        <v>44239</v>
      </c>
      <c r="N1188" s="514">
        <f>IF(O1188="tbc","",(IFERROR(EDATE(O1188,-L1188),"Invalid procurement method or date entered")))</f>
        <v>44328</v>
      </c>
      <c r="O1188" s="534">
        <v>44420</v>
      </c>
      <c r="P1188" s="535">
        <v>1</v>
      </c>
      <c r="Q1188" s="535">
        <v>1</v>
      </c>
      <c r="R1188" s="528">
        <v>25000</v>
      </c>
      <c r="S1188" s="515" t="s">
        <v>176</v>
      </c>
      <c r="T1188" s="515" t="s">
        <v>62</v>
      </c>
      <c r="U1188" s="515" t="s">
        <v>60</v>
      </c>
      <c r="V1188" s="515"/>
      <c r="W1188" s="510" t="s">
        <v>3935</v>
      </c>
    </row>
    <row r="1189" spans="1:31" ht="37.5">
      <c r="A1189" s="1119"/>
      <c r="B1189" s="577" t="s">
        <v>56</v>
      </c>
      <c r="C1189" s="511" t="s">
        <v>4230</v>
      </c>
      <c r="D1189" s="511" t="s">
        <v>57</v>
      </c>
      <c r="E1189" s="511"/>
      <c r="F1189" s="511"/>
      <c r="G1189" s="511"/>
      <c r="H1189" s="511" t="s">
        <v>58</v>
      </c>
      <c r="I1189" s="519" t="s">
        <v>47</v>
      </c>
      <c r="J1189" s="1578" t="s">
        <v>4231</v>
      </c>
      <c r="K1189" s="512"/>
      <c r="L1189" s="511">
        <v>3</v>
      </c>
      <c r="M1189" s="514">
        <f>IF(O1189="tbc","",(IFERROR(EDATE($N1189,-3),"Invalid procurement method or date entered")))</f>
        <v>44241</v>
      </c>
      <c r="N1189" s="514">
        <f>IF(O1189="tbc","",(IFERROR(EDATE(O1189,-L1189),"Invalid procurement method or date entered")))</f>
        <v>44330</v>
      </c>
      <c r="O1189" s="515">
        <v>44422</v>
      </c>
      <c r="P1189" s="516">
        <v>2</v>
      </c>
      <c r="Q1189" s="527">
        <v>2</v>
      </c>
      <c r="R1189" s="528">
        <v>30000</v>
      </c>
      <c r="S1189" s="515" t="s">
        <v>176</v>
      </c>
      <c r="T1189" s="515" t="s">
        <v>62</v>
      </c>
      <c r="U1189" s="511" t="s">
        <v>60</v>
      </c>
      <c r="V1189" s="511"/>
      <c r="W1189" s="510"/>
    </row>
    <row r="1190" spans="1:31" ht="37.5">
      <c r="A1190" s="1119"/>
      <c r="B1190" s="577" t="s">
        <v>56</v>
      </c>
      <c r="C1190" s="510" t="s">
        <v>4232</v>
      </c>
      <c r="D1190" s="510" t="s">
        <v>56</v>
      </c>
      <c r="E1190" s="510"/>
      <c r="F1190" s="510"/>
      <c r="G1190" s="510"/>
      <c r="H1190" s="511" t="s">
        <v>57</v>
      </c>
      <c r="I1190" s="511"/>
      <c r="J1190" s="606" t="s">
        <v>4233</v>
      </c>
      <c r="K1190" s="529"/>
      <c r="L1190" s="511">
        <v>3</v>
      </c>
      <c r="M1190" s="514">
        <f>IF(O1190="tbc","",(IFERROR(EDATE($N1190,-3),"Invalid procurement method or date entered")))</f>
        <v>44241</v>
      </c>
      <c r="N1190" s="514">
        <f>IF(O1190="tbc","",(IFERROR(EDATE(O1190,-L1190),"Invalid procurement method or date entered")))</f>
        <v>44330</v>
      </c>
      <c r="O1190" s="514">
        <v>44422</v>
      </c>
      <c r="P1190" s="536">
        <v>1</v>
      </c>
      <c r="Q1190" s="536">
        <v>1</v>
      </c>
      <c r="R1190" s="538">
        <v>30000</v>
      </c>
      <c r="S1190" s="515" t="s">
        <v>176</v>
      </c>
      <c r="T1190" s="536" t="s">
        <v>2455</v>
      </c>
      <c r="U1190" s="514" t="s">
        <v>71</v>
      </c>
      <c r="V1190" s="514"/>
      <c r="W1190" s="511" t="s">
        <v>3935</v>
      </c>
    </row>
    <row r="1191" spans="1:31" ht="43.5">
      <c r="A1191" s="2754"/>
      <c r="B1191" s="2755"/>
      <c r="C1191" s="4" t="s">
        <v>45</v>
      </c>
      <c r="D1191" s="9" t="s">
        <v>32</v>
      </c>
      <c r="E1191" s="9"/>
      <c r="F1191" s="9"/>
      <c r="G1191" s="9"/>
      <c r="H1191" s="5" t="s">
        <v>33</v>
      </c>
      <c r="I1191" s="5" t="s">
        <v>47</v>
      </c>
      <c r="J1191" s="16" t="s">
        <v>4234</v>
      </c>
      <c r="K1191" s="16"/>
      <c r="L1191" s="5">
        <v>3</v>
      </c>
      <c r="M1191" s="199">
        <f>IFERROR(EDATE($N1191,-3),"Invalid procurement method or date entered")</f>
        <v>44247</v>
      </c>
      <c r="N1191" s="199">
        <f>IFERROR(EDATE(O1191,-L1191),"Invalid procurement method or date entered")</f>
        <v>44336</v>
      </c>
      <c r="O1191" s="182">
        <v>44428</v>
      </c>
      <c r="P1191" s="12" t="s">
        <v>45</v>
      </c>
      <c r="Q1191" s="5" t="s">
        <v>45</v>
      </c>
      <c r="R1191" s="18">
        <v>19134.96</v>
      </c>
      <c r="S1191" s="5" t="s">
        <v>37</v>
      </c>
      <c r="T1191" s="5" t="s">
        <v>612</v>
      </c>
      <c r="U1191" s="12" t="s">
        <v>67</v>
      </c>
      <c r="V1191" s="12"/>
      <c r="W1191" s="5" t="s">
        <v>383</v>
      </c>
      <c r="X1191" s="493" t="s">
        <v>289</v>
      </c>
      <c r="Y1191" s="80" t="s">
        <v>115</v>
      </c>
      <c r="Z1191" s="80" t="s">
        <v>154</v>
      </c>
      <c r="AA1191" s="80" t="s">
        <v>70</v>
      </c>
      <c r="AB1191" s="354" t="s">
        <v>271</v>
      </c>
      <c r="AC1191" s="101" t="s">
        <v>4235</v>
      </c>
      <c r="AD1191" s="80" t="s">
        <v>385</v>
      </c>
      <c r="AE1191" s="211">
        <v>19135</v>
      </c>
    </row>
    <row r="1192" spans="1:31" ht="25">
      <c r="A1192" s="1119"/>
      <c r="B1192" s="577" t="s">
        <v>56</v>
      </c>
      <c r="C1192" s="510" t="s">
        <v>4236</v>
      </c>
      <c r="D1192" s="511" t="s">
        <v>122</v>
      </c>
      <c r="E1192" s="511"/>
      <c r="F1192" s="511"/>
      <c r="G1192" s="511"/>
      <c r="H1192" s="511" t="s">
        <v>308</v>
      </c>
      <c r="I1192" s="510" t="s">
        <v>47</v>
      </c>
      <c r="J1192" s="1580" t="s">
        <v>4237</v>
      </c>
      <c r="K1192" s="533"/>
      <c r="L1192" s="511">
        <v>12</v>
      </c>
      <c r="M1192" s="514">
        <f>IF(O1192="tbc","",(IFERROR(EDATE($N1192,-3),"Invalid procurement method or date entered")))</f>
        <v>43972</v>
      </c>
      <c r="N1192" s="514">
        <f>IF(O1192="tbc","",(IFERROR(EDATE(O1192,-L1192),"Invalid procurement method or date entered")))</f>
        <v>44064</v>
      </c>
      <c r="O1192" s="534">
        <v>44429</v>
      </c>
      <c r="P1192" s="535">
        <v>1</v>
      </c>
      <c r="Q1192" s="535">
        <v>1</v>
      </c>
      <c r="R1192" s="528">
        <v>50000</v>
      </c>
      <c r="S1192" s="515" t="s">
        <v>84</v>
      </c>
      <c r="T1192" s="515" t="s">
        <v>62</v>
      </c>
      <c r="U1192" s="515" t="s">
        <v>60</v>
      </c>
      <c r="V1192" s="515"/>
      <c r="W1192" s="635"/>
    </row>
    <row r="1193" spans="1:31" ht="50">
      <c r="A1193" s="1119"/>
      <c r="B1193" s="577" t="s">
        <v>56</v>
      </c>
      <c r="C1193" s="510" t="s">
        <v>4238</v>
      </c>
      <c r="D1193" s="511" t="s">
        <v>32</v>
      </c>
      <c r="E1193" s="511"/>
      <c r="F1193" s="511"/>
      <c r="G1193" s="511"/>
      <c r="H1193" s="511" t="s">
        <v>308</v>
      </c>
      <c r="I1193" s="511" t="s">
        <v>47</v>
      </c>
      <c r="J1193" s="1580" t="s">
        <v>4239</v>
      </c>
      <c r="K1193" s="533"/>
      <c r="L1193" s="511">
        <v>12</v>
      </c>
      <c r="M1193" s="514">
        <f>IF(O1193="tbc","",(IFERROR(EDATE($N1193,-3),"Invalid procurement method or date entered")))</f>
        <v>43974</v>
      </c>
      <c r="N1193" s="514">
        <f>IF(O1193="tbc","",(IFERROR(EDATE(O1193,-L1193),"Invalid procurement method or date entered")))</f>
        <v>44066</v>
      </c>
      <c r="O1193" s="534">
        <v>44431</v>
      </c>
      <c r="P1193" s="536" t="s">
        <v>60</v>
      </c>
      <c r="Q1193" s="536" t="s">
        <v>60</v>
      </c>
      <c r="R1193" s="528">
        <v>250000</v>
      </c>
      <c r="S1193" s="515" t="s">
        <v>75</v>
      </c>
      <c r="T1193" s="515" t="s">
        <v>310</v>
      </c>
      <c r="U1193" s="515" t="s">
        <v>60</v>
      </c>
      <c r="V1193" s="515"/>
      <c r="W1193" s="511" t="s">
        <v>3935</v>
      </c>
    </row>
    <row r="1194" spans="1:31" ht="50">
      <c r="A1194" s="1119"/>
      <c r="B1194" s="577" t="s">
        <v>56</v>
      </c>
      <c r="C1194" s="510" t="s">
        <v>4240</v>
      </c>
      <c r="D1194" s="511" t="s">
        <v>32</v>
      </c>
      <c r="E1194" s="511"/>
      <c r="F1194" s="511"/>
      <c r="G1194" s="511"/>
      <c r="H1194" s="511" t="s">
        <v>308</v>
      </c>
      <c r="I1194" s="511" t="s">
        <v>47</v>
      </c>
      <c r="J1194" s="1580" t="s">
        <v>4241</v>
      </c>
      <c r="K1194" s="529"/>
      <c r="L1194" s="511">
        <v>12</v>
      </c>
      <c r="M1194" s="514">
        <f>IF(O1194="tbc","",(IFERROR(EDATE($N1194,-3),"Invalid procurement method or date entered")))</f>
        <v>43974</v>
      </c>
      <c r="N1194" s="514">
        <f>IF(O1194="tbc","",(IFERROR(EDATE(O1194,-L1194),"Invalid procurement method or date entered")))</f>
        <v>44066</v>
      </c>
      <c r="O1194" s="534">
        <v>44431</v>
      </c>
      <c r="P1194" s="536" t="s">
        <v>60</v>
      </c>
      <c r="Q1194" s="536" t="s">
        <v>60</v>
      </c>
      <c r="R1194" s="528">
        <v>255000</v>
      </c>
      <c r="S1194" s="515" t="s">
        <v>75</v>
      </c>
      <c r="T1194" s="515" t="s">
        <v>310</v>
      </c>
      <c r="U1194" s="515" t="s">
        <v>60</v>
      </c>
      <c r="V1194" s="515"/>
      <c r="W1194" s="511" t="s">
        <v>3935</v>
      </c>
    </row>
    <row r="1195" spans="1:31" ht="50">
      <c r="A1195" s="1119"/>
      <c r="B1195" s="577" t="s">
        <v>56</v>
      </c>
      <c r="C1195" s="510" t="s">
        <v>4242</v>
      </c>
      <c r="D1195" s="511" t="s">
        <v>348</v>
      </c>
      <c r="E1195" s="511"/>
      <c r="F1195" s="511"/>
      <c r="G1195" s="511"/>
      <c r="H1195" s="511" t="s">
        <v>58</v>
      </c>
      <c r="I1195" s="510" t="s">
        <v>47</v>
      </c>
      <c r="J1195" s="1595" t="s">
        <v>4243</v>
      </c>
      <c r="K1195" s="991"/>
      <c r="L1195" s="511">
        <v>2</v>
      </c>
      <c r="M1195" s="570">
        <f>IF(O1195="tbc","",(IFERROR(EDATE($N1195,-3),"Invalid procurement method or date entered")))</f>
        <v>44278</v>
      </c>
      <c r="N1195" s="514">
        <f>IF(O1195="tbc","",(IFERROR(EDATE(O1195,-L1195),"Invalid procurement method or date entered")))</f>
        <v>44370</v>
      </c>
      <c r="O1195" s="572">
        <v>44431</v>
      </c>
      <c r="P1195" s="535" t="s">
        <v>60</v>
      </c>
      <c r="Q1195" s="535" t="s">
        <v>60</v>
      </c>
      <c r="R1195" s="574">
        <v>190000</v>
      </c>
      <c r="S1195" s="515" t="s">
        <v>61</v>
      </c>
      <c r="T1195" s="515" t="s">
        <v>62</v>
      </c>
      <c r="U1195" s="515" t="s">
        <v>60</v>
      </c>
      <c r="V1195" s="515"/>
      <c r="W1195" s="521" t="s">
        <v>70</v>
      </c>
    </row>
    <row r="1196" spans="1:31" ht="75">
      <c r="A1196" s="1119"/>
      <c r="B1196" s="577" t="s">
        <v>56</v>
      </c>
      <c r="C1196" s="510" t="s">
        <v>45</v>
      </c>
      <c r="D1196" s="510" t="s">
        <v>56</v>
      </c>
      <c r="E1196" s="510"/>
      <c r="F1196" s="510"/>
      <c r="G1196" s="510"/>
      <c r="H1196" s="511" t="s">
        <v>57</v>
      </c>
      <c r="I1196" s="519" t="s">
        <v>47</v>
      </c>
      <c r="J1196" s="606" t="s">
        <v>4244</v>
      </c>
      <c r="K1196" s="529"/>
      <c r="L1196" s="511">
        <v>1</v>
      </c>
      <c r="M1196" s="514">
        <f>IF(O1196="tbc","",(IFERROR(EDATE($N1196,-3),"Invalid procurement method or date entered")))</f>
        <v>44314</v>
      </c>
      <c r="N1196" s="514">
        <f>IF(O1196="tbc","",(IFERROR(EDATE(O1196,-L1196),"Invalid procurement method or date entered")))</f>
        <v>44405</v>
      </c>
      <c r="O1196" s="515">
        <v>44436</v>
      </c>
      <c r="P1196" s="536">
        <v>1</v>
      </c>
      <c r="Q1196" s="536">
        <v>1</v>
      </c>
      <c r="R1196" s="538">
        <v>456655</v>
      </c>
      <c r="S1196" s="536" t="s">
        <v>176</v>
      </c>
      <c r="T1196" s="536" t="s">
        <v>310</v>
      </c>
      <c r="U1196" s="514">
        <v>43700</v>
      </c>
      <c r="V1196" s="514"/>
      <c r="W1196" s="569" t="s">
        <v>577</v>
      </c>
    </row>
    <row r="1197" spans="1:31" ht="72.5">
      <c r="A1197" s="1184"/>
      <c r="B1197" s="2755" t="s">
        <v>44</v>
      </c>
      <c r="C1197" s="16" t="s">
        <v>800</v>
      </c>
      <c r="D1197" s="9" t="s">
        <v>32</v>
      </c>
      <c r="E1197" s="9"/>
      <c r="F1197" s="9"/>
      <c r="G1197" s="9"/>
      <c r="H1197" s="9" t="s">
        <v>33</v>
      </c>
      <c r="I1197" s="9" t="s">
        <v>47</v>
      </c>
      <c r="J1197" s="16" t="s">
        <v>801</v>
      </c>
      <c r="K1197" s="16"/>
      <c r="L1197" s="5" t="e">
        <f>IF(OR(S1197=#REF!,S1197=#REF!,S1197=#REF!,S1197=#REF!,S1197=#REF!,S1197=#REF!,S1197=#REF!,S1197=#REF!),12,IF(OR(S1197=#REF!,S1197=#REF!,S1197=#REF!,S1197=#REF!,S1197=#REF!,S1197=#REF!,S1197=#REF!),3,IF(S1197=#REF!,1,IF(S1197=#REF!,18,IF(OR(S1197=#REF!,S1197=#REF!,S1197=#REF!,S1197=#REF!,S1197=#REF!),14,"Invalid proposed procurement method")))))</f>
        <v>#REF!</v>
      </c>
      <c r="M1197" s="199" t="str">
        <f>IFERROR(EDATE($N1197,-3),"Invalid procurement method or date entered")</f>
        <v>Invalid procurement method or date entered</v>
      </c>
      <c r="N1197" s="199" t="str">
        <f>IFERROR(EDATE(O1197,-L1197),"Invalid procurement method or date entered")</f>
        <v>Invalid procurement method or date entered</v>
      </c>
      <c r="O1197" s="49">
        <v>44439</v>
      </c>
      <c r="P1197" s="5">
        <v>37</v>
      </c>
      <c r="Q1197" s="199" t="s">
        <v>1408</v>
      </c>
      <c r="R1197" s="18">
        <v>81165</v>
      </c>
      <c r="S1197" s="183" t="s">
        <v>84</v>
      </c>
      <c r="T1197" s="2789" t="s">
        <v>38</v>
      </c>
      <c r="U1197" s="12" t="s">
        <v>67</v>
      </c>
      <c r="V1197" s="12"/>
      <c r="W1197" s="12" t="s">
        <v>440</v>
      </c>
      <c r="X1197" s="80" t="s">
        <v>54</v>
      </c>
      <c r="Y1197" s="80" t="s">
        <v>40</v>
      </c>
      <c r="Z1197" s="80" t="s">
        <v>87</v>
      </c>
      <c r="AA1197" s="1077" t="s">
        <v>38</v>
      </c>
      <c r="AB1197" s="354" t="s">
        <v>88</v>
      </c>
      <c r="AC1197" s="993" t="s">
        <v>4245</v>
      </c>
      <c r="AD1197" s="80" t="s">
        <v>806</v>
      </c>
      <c r="AE1197" s="339"/>
    </row>
    <row r="1198" spans="1:31" ht="101.5">
      <c r="A1198" s="2772"/>
      <c r="B1198" s="2755" t="s">
        <v>44</v>
      </c>
      <c r="C1198" s="4" t="s">
        <v>4246</v>
      </c>
      <c r="D1198" s="9" t="s">
        <v>32</v>
      </c>
      <c r="E1198" s="9"/>
      <c r="F1198" s="9"/>
      <c r="G1198" s="9"/>
      <c r="H1198" s="5" t="s">
        <v>33</v>
      </c>
      <c r="I1198" s="5" t="s">
        <v>34</v>
      </c>
      <c r="J1198" s="16" t="s">
        <v>2188</v>
      </c>
      <c r="K1198" s="16"/>
      <c r="L1198" s="5" t="e">
        <f>IF(OR(S1198=#REF!,S1198=#REF!,S1198=#REF!,S1198=#REF!,S1198=#REF!,S1198=#REF!,S1198=#REF!,S1198=#REF!),12,IF(OR(S1198=#REF!,S1198=#REF!,S1198=#REF!,S1198=#REF!,S1198=#REF!,S1198=#REF!,S1198=#REF!),3,IF(S1198=#REF!,1,IF(S1198=#REF!,18,IF(OR(S1198=#REF!,S1198=#REF!,S1198=#REF!,S1198=#REF!,S1198=#REF!),14,"Invalid proposed procurement method")))))</f>
        <v>#REF!</v>
      </c>
      <c r="M1198" s="199">
        <v>44074</v>
      </c>
      <c r="N1198" s="199">
        <v>44439</v>
      </c>
      <c r="O1198" s="182">
        <v>44439</v>
      </c>
      <c r="P1198" s="12">
        <v>60</v>
      </c>
      <c r="Q1198" s="7" t="s">
        <v>4036</v>
      </c>
      <c r="R1198" s="18">
        <v>7347666.2000000002</v>
      </c>
      <c r="S1198" s="5" t="s">
        <v>158</v>
      </c>
      <c r="T1198" s="52" t="s">
        <v>70</v>
      </c>
      <c r="U1198" s="48" t="s">
        <v>45</v>
      </c>
      <c r="V1198" s="48"/>
      <c r="W1198" s="5" t="s">
        <v>2190</v>
      </c>
      <c r="X1198" s="80" t="s">
        <v>39</v>
      </c>
      <c r="Y1198" s="80" t="s">
        <v>40</v>
      </c>
      <c r="Z1198" s="80" t="s">
        <v>87</v>
      </c>
      <c r="AA1198" s="80" t="s">
        <v>70</v>
      </c>
      <c r="AB1198" s="354" t="s">
        <v>224</v>
      </c>
      <c r="AC1198" s="101" t="s">
        <v>4247</v>
      </c>
      <c r="AD1198" s="80" t="s">
        <v>96</v>
      </c>
      <c r="AE1198" s="211">
        <v>1469533</v>
      </c>
    </row>
    <row r="1199" spans="1:31" ht="29">
      <c r="A1199" s="2754"/>
      <c r="B1199" s="120"/>
      <c r="C1199" s="4" t="s">
        <v>526</v>
      </c>
      <c r="D1199" s="9" t="s">
        <v>32</v>
      </c>
      <c r="E1199" s="9"/>
      <c r="F1199" s="9"/>
      <c r="G1199" s="9"/>
      <c r="H1199" s="12" t="s">
        <v>33</v>
      </c>
      <c r="I1199" s="12" t="s">
        <v>34</v>
      </c>
      <c r="J1199" s="16" t="s">
        <v>527</v>
      </c>
      <c r="K1199" s="16"/>
      <c r="L1199" s="5" t="e">
        <f>IF(OR(S1199=#REF!,S1199=#REF!,S1199=#REF!,S1199=#REF!,S1199=#REF!,S1199=#REF!,S1199=#REF!,S1199=#REF!),12,IF(OR(S1199=#REF!,S1199=#REF!,S1199=#REF!,S1199=#REF!,S1199=#REF!,S1199=#REF!,S1199=#REF!),3,IF(S1199=#REF!,1,IF(S1199=#REF!,18,IF(OR(S1199=#REF!,S1199=#REF!,S1199=#REF!,S1199=#REF!,S1199=#REF!),14,"Invalid proposed procurement method")))))</f>
        <v>#REF!</v>
      </c>
      <c r="M1199" s="199">
        <v>44197</v>
      </c>
      <c r="N1199" s="199">
        <v>44439</v>
      </c>
      <c r="O1199" s="182">
        <v>44439</v>
      </c>
      <c r="P1199" s="12">
        <v>84</v>
      </c>
      <c r="Q1199" s="12" t="s">
        <v>4248</v>
      </c>
      <c r="R1199" s="41">
        <v>34993</v>
      </c>
      <c r="S1199" s="5" t="s">
        <v>130</v>
      </c>
      <c r="T1199" s="5" t="s">
        <v>38</v>
      </c>
      <c r="U1199" s="12" t="s">
        <v>67</v>
      </c>
      <c r="V1199" s="12"/>
      <c r="W1199" s="12" t="s">
        <v>142</v>
      </c>
      <c r="X1199" s="80" t="s">
        <v>39</v>
      </c>
      <c r="Y1199" s="80" t="s">
        <v>40</v>
      </c>
      <c r="Z1199" s="80" t="s">
        <v>154</v>
      </c>
      <c r="AA1199" s="80" t="s">
        <v>70</v>
      </c>
      <c r="AB1199" s="354" t="s">
        <v>143</v>
      </c>
      <c r="AC1199" s="1110" t="s">
        <v>4249</v>
      </c>
      <c r="AD1199" s="80" t="s">
        <v>145</v>
      </c>
      <c r="AE1199" s="197">
        <v>4999</v>
      </c>
    </row>
    <row r="1200" spans="1:31" ht="29">
      <c r="A1200" s="2754"/>
      <c r="B1200" s="2757"/>
      <c r="C1200" s="218" t="s">
        <v>526</v>
      </c>
      <c r="D1200" s="92" t="s">
        <v>32</v>
      </c>
      <c r="E1200" s="92"/>
      <c r="F1200" s="92"/>
      <c r="G1200" s="92"/>
      <c r="H1200" s="92" t="s">
        <v>33</v>
      </c>
      <c r="I1200" s="92" t="s">
        <v>34</v>
      </c>
      <c r="J1200" s="103" t="s">
        <v>527</v>
      </c>
      <c r="K1200" s="89"/>
      <c r="L1200" s="92" t="e">
        <f>IF(OR(S1200=#REF!,S1200=#REF!,S1200=#REF!,S1200=#REF!,S1200=#REF!,S1200=#REF!,S1200=#REF!,S1200=#REF!),12,IF(OR(S1200=#REF!,S1200=#REF!,S1200=#REF!,S1200=#REF!,S1200=#REF!,S1200=#REF!,S1200=#REF!),3,IF(S1200=#REF!,1,IF(S1200=#REF!,18,IF(OR(S1200=#REF!,S1200=#REF!,S1200=#REF!,S1200=#REF!,S1200=#REF!),14,"Invalid proposed procurement method")))))</f>
        <v>#REF!</v>
      </c>
      <c r="M1200" s="220">
        <v>44197</v>
      </c>
      <c r="N1200" s="220">
        <v>44439</v>
      </c>
      <c r="O1200" s="220">
        <v>44439</v>
      </c>
      <c r="P1200" s="92">
        <v>84</v>
      </c>
      <c r="Q1200" s="92" t="s">
        <v>4248</v>
      </c>
      <c r="R1200" s="243">
        <v>34993</v>
      </c>
      <c r="S1200" s="92" t="s">
        <v>130</v>
      </c>
      <c r="T1200" s="244" t="s">
        <v>38</v>
      </c>
      <c r="U1200" s="91" t="s">
        <v>67</v>
      </c>
      <c r="V1200" s="91"/>
      <c r="W1200" s="92" t="s">
        <v>142</v>
      </c>
      <c r="X1200" s="1084" t="s">
        <v>39</v>
      </c>
      <c r="Y1200" s="1084" t="s">
        <v>40</v>
      </c>
      <c r="Z1200" s="1084" t="s">
        <v>154</v>
      </c>
      <c r="AA1200" s="1084" t="s">
        <v>70</v>
      </c>
      <c r="AB1200" s="1100" t="s">
        <v>143</v>
      </c>
      <c r="AC1200" s="1120" t="s">
        <v>4249</v>
      </c>
      <c r="AD1200" s="1084" t="s">
        <v>145</v>
      </c>
      <c r="AE1200">
        <v>4999</v>
      </c>
    </row>
    <row r="1201" spans="1:31" ht="188.5">
      <c r="A1201" s="1185"/>
      <c r="B1201" s="120"/>
      <c r="C1201" s="4" t="s">
        <v>4246</v>
      </c>
      <c r="D1201" s="9" t="s">
        <v>32</v>
      </c>
      <c r="E1201" s="9"/>
      <c r="F1201" s="9"/>
      <c r="G1201" s="9"/>
      <c r="H1201" s="5" t="s">
        <v>33</v>
      </c>
      <c r="I1201" s="5" t="s">
        <v>34</v>
      </c>
      <c r="J1201" s="16" t="s">
        <v>2188</v>
      </c>
      <c r="K1201" s="16"/>
      <c r="L1201" s="16"/>
      <c r="M1201" s="182">
        <v>43739</v>
      </c>
      <c r="N1201" s="182"/>
      <c r="O1201" s="182">
        <v>44440</v>
      </c>
      <c r="P1201" s="12">
        <v>60</v>
      </c>
      <c r="Q1201" s="7" t="s">
        <v>4250</v>
      </c>
      <c r="R1201" s="18">
        <v>7347666.2000000002</v>
      </c>
      <c r="S1201" s="5" t="s">
        <v>2110</v>
      </c>
      <c r="T1201" s="52" t="s">
        <v>70</v>
      </c>
      <c r="U1201" s="51" t="s">
        <v>45</v>
      </c>
      <c r="V1201" s="51"/>
      <c r="W1201" s="5" t="s">
        <v>2190</v>
      </c>
      <c r="X1201" s="80" t="s">
        <v>39</v>
      </c>
      <c r="Y1201" s="80" t="s">
        <v>4251</v>
      </c>
      <c r="Z1201" s="80"/>
      <c r="AA1201" s="101"/>
      <c r="AB1201" s="354" t="s">
        <v>41</v>
      </c>
      <c r="AC1201" s="101" t="s">
        <v>4252</v>
      </c>
      <c r="AD1201" s="76" t="s">
        <v>4253</v>
      </c>
      <c r="AE1201" s="339">
        <v>1469533.24</v>
      </c>
    </row>
    <row r="1202" spans="1:31" ht="101.5">
      <c r="A1202" s="1119"/>
      <c r="B1202" s="338"/>
      <c r="C1202" s="4"/>
      <c r="D1202" s="9" t="s">
        <v>57</v>
      </c>
      <c r="E1202" s="9"/>
      <c r="F1202" s="9"/>
      <c r="G1202" s="9"/>
      <c r="H1202" s="2751" t="s">
        <v>165</v>
      </c>
      <c r="I1202" s="2763" t="s">
        <v>34</v>
      </c>
      <c r="J1202" s="16" t="s">
        <v>4254</v>
      </c>
      <c r="K1202" s="8"/>
      <c r="L1202" s="8"/>
      <c r="M1202" s="14">
        <v>44013</v>
      </c>
      <c r="N1202" s="14"/>
      <c r="O1202" s="14">
        <v>44440</v>
      </c>
      <c r="P1202" s="12">
        <v>48</v>
      </c>
      <c r="Q1202" s="12" t="s">
        <v>4255</v>
      </c>
      <c r="R1202" s="41">
        <v>9222514.5</v>
      </c>
      <c r="S1202" s="5" t="s">
        <v>130</v>
      </c>
      <c r="T1202" s="2892" t="s">
        <v>70</v>
      </c>
      <c r="U1202" s="2892" t="s">
        <v>45</v>
      </c>
      <c r="V1202" s="2892"/>
      <c r="W1202" s="2763" t="s">
        <v>167</v>
      </c>
      <c r="X1202" s="1076" t="s">
        <v>543</v>
      </c>
      <c r="Y1202" s="80" t="s">
        <v>40</v>
      </c>
      <c r="Z1202" s="80"/>
      <c r="AA1202" s="2765"/>
      <c r="AB1202" s="354" t="s">
        <v>3016</v>
      </c>
      <c r="AC1202" s="1112" t="s">
        <v>3459</v>
      </c>
      <c r="AD1202" s="76" t="s">
        <v>165</v>
      </c>
      <c r="AE1202" s="1101">
        <v>1844502.9</v>
      </c>
    </row>
    <row r="1203" spans="1:31" ht="72.5">
      <c r="A1203" s="2756"/>
      <c r="B1203" s="120"/>
      <c r="C1203" s="4" t="s">
        <v>4256</v>
      </c>
      <c r="D1203" s="5" t="s">
        <v>32</v>
      </c>
      <c r="E1203" s="5"/>
      <c r="F1203" s="5"/>
      <c r="G1203" s="5"/>
      <c r="H1203" s="5" t="s">
        <v>1670</v>
      </c>
      <c r="I1203" s="5" t="s">
        <v>47</v>
      </c>
      <c r="J1203" s="16" t="s">
        <v>3046</v>
      </c>
      <c r="K1203" s="16"/>
      <c r="L1203" s="5" t="e">
        <f>IF(OR(S1203=#REF!,S1203=#REF!,S1203=#REF!,S1203=#REF!,S1203=#REF!,S1203=#REF!,S1203=#REF!,S1203=#REF!),12,IF(OR(S1203=#REF!,S1203=#REF!,S1203=#REF!,S1203=#REF!,S1203=#REF!,S1203=#REF!,S1203=#REF!),3,IF(S1203=#REF!,1,IF(S1203=#REF!,18,IF(OR(S1203=#REF!,S1203=#REF!,S1203=#REF!,S1203=#REF!,S1203=#REF!),14,"Invalid proposed procurement method")))))</f>
        <v>#REF!</v>
      </c>
      <c r="M1203" s="199" t="str">
        <f>IFERROR(EDATE($N1203,-3),"Invalid procurement method or date entered")</f>
        <v>Invalid procurement method or date entered</v>
      </c>
      <c r="N1203" s="199" t="str">
        <f t="shared" ref="N1203:N1208" si="24">IFERROR(EDATE(O1203,-L1203),"Invalid procurement method or date entered")</f>
        <v>Invalid procurement method or date entered</v>
      </c>
      <c r="O1203" s="182">
        <v>44440</v>
      </c>
      <c r="P1203" s="2763">
        <v>60</v>
      </c>
      <c r="Q1203" s="12" t="s">
        <v>171</v>
      </c>
      <c r="R1203" s="41">
        <v>230000</v>
      </c>
      <c r="S1203" s="199" t="s">
        <v>51</v>
      </c>
      <c r="T1203" s="53" t="s">
        <v>38</v>
      </c>
      <c r="U1203" s="53" t="s">
        <v>67</v>
      </c>
      <c r="V1203" s="53"/>
      <c r="W1203" s="5" t="s">
        <v>977</v>
      </c>
      <c r="X1203" s="80" t="s">
        <v>254</v>
      </c>
      <c r="Y1203" s="80" t="s">
        <v>40</v>
      </c>
      <c r="Z1203" s="80"/>
      <c r="AA1203" s="80"/>
      <c r="AB1203" s="354" t="s">
        <v>271</v>
      </c>
      <c r="AC1203" s="2900" t="s">
        <v>3047</v>
      </c>
      <c r="AD1203" s="76" t="s">
        <v>979</v>
      </c>
      <c r="AE1203" s="339"/>
    </row>
    <row r="1204" spans="1:31" ht="58">
      <c r="A1204" s="2756"/>
      <c r="B1204" s="2755" t="s">
        <v>44</v>
      </c>
      <c r="C1204" s="4" t="s">
        <v>4257</v>
      </c>
      <c r="D1204" s="5" t="s">
        <v>57</v>
      </c>
      <c r="E1204" s="5"/>
      <c r="F1204" s="5"/>
      <c r="G1204" s="5"/>
      <c r="H1204" s="5" t="s">
        <v>496</v>
      </c>
      <c r="I1204" s="5" t="s">
        <v>47</v>
      </c>
      <c r="J1204" s="16" t="s">
        <v>4258</v>
      </c>
      <c r="K1204" s="8"/>
      <c r="L1204" s="5">
        <v>12</v>
      </c>
      <c r="M1204" s="199">
        <v>44378</v>
      </c>
      <c r="N1204" s="199">
        <f t="shared" si="24"/>
        <v>44075</v>
      </c>
      <c r="O1204" s="199">
        <v>44440</v>
      </c>
      <c r="P1204" s="5">
        <v>60</v>
      </c>
      <c r="Q1204" s="5">
        <v>60</v>
      </c>
      <c r="R1204" s="18">
        <v>395000</v>
      </c>
      <c r="S1204" s="5" t="s">
        <v>158</v>
      </c>
      <c r="T1204" s="5" t="s">
        <v>38</v>
      </c>
      <c r="U1204" s="12" t="s">
        <v>67</v>
      </c>
      <c r="V1204" s="12"/>
      <c r="W1204" s="5" t="s">
        <v>798</v>
      </c>
      <c r="X1204" s="2760" t="s">
        <v>254</v>
      </c>
      <c r="Y1204" s="80" t="s">
        <v>40</v>
      </c>
      <c r="Z1204" s="80"/>
      <c r="AA1204" s="80" t="s">
        <v>70</v>
      </c>
      <c r="AB1204" s="354" t="s">
        <v>88</v>
      </c>
      <c r="AC1204" s="1110" t="s">
        <v>4259</v>
      </c>
      <c r="AD1204" s="76" t="s">
        <v>165</v>
      </c>
      <c r="AE1204" s="211"/>
    </row>
    <row r="1205" spans="1:31" ht="72.5">
      <c r="A1205" s="1184"/>
      <c r="B1205" s="362" t="s">
        <v>100</v>
      </c>
      <c r="C1205" s="391"/>
      <c r="D1205" s="6" t="s">
        <v>110</v>
      </c>
      <c r="E1205" s="6"/>
      <c r="F1205" s="6"/>
      <c r="G1205" s="6"/>
      <c r="H1205" s="6" t="s">
        <v>103</v>
      </c>
      <c r="I1205" s="6" t="s">
        <v>47</v>
      </c>
      <c r="J1205" s="63" t="s">
        <v>4260</v>
      </c>
      <c r="K1205" s="6"/>
      <c r="L1205" s="84">
        <v>14</v>
      </c>
      <c r="M1205" s="436">
        <f>IFERROR(EDATE(N1205,-3),"Invalid procurement method or date entered")</f>
        <v>43922</v>
      </c>
      <c r="N1205" s="386">
        <f t="shared" si="24"/>
        <v>44013</v>
      </c>
      <c r="O1205" s="370">
        <v>44440</v>
      </c>
      <c r="P1205" s="254"/>
      <c r="Q1205" s="254"/>
      <c r="R1205" s="457"/>
      <c r="S1205" s="396" t="s">
        <v>105</v>
      </c>
      <c r="T1205" s="365" t="s">
        <v>70</v>
      </c>
      <c r="U1205" s="365" t="s">
        <v>4261</v>
      </c>
      <c r="V1205" s="365"/>
      <c r="W1205" s="6" t="s">
        <v>4262</v>
      </c>
      <c r="X1205" s="993" t="s">
        <v>125</v>
      </c>
      <c r="Y1205" s="993" t="s">
        <v>727</v>
      </c>
      <c r="Z1205" s="993"/>
      <c r="AA1205" s="411" t="s">
        <v>45</v>
      </c>
      <c r="AB1205" s="1099" t="s">
        <v>70</v>
      </c>
      <c r="AC1205" s="492">
        <v>44243</v>
      </c>
      <c r="AD1205" s="492"/>
      <c r="AE1205" s="492"/>
    </row>
    <row r="1206" spans="1:31" ht="29">
      <c r="A1206" s="1184"/>
      <c r="B1206" s="362" t="s">
        <v>100</v>
      </c>
      <c r="C1206" s="362"/>
      <c r="D1206" s="8" t="s">
        <v>122</v>
      </c>
      <c r="E1206" s="8"/>
      <c r="F1206" s="8"/>
      <c r="G1206" s="8"/>
      <c r="H1206" s="8" t="s">
        <v>103</v>
      </c>
      <c r="I1206" s="8" t="s">
        <v>246</v>
      </c>
      <c r="J1206" s="16" t="s">
        <v>4263</v>
      </c>
      <c r="K1206" s="8"/>
      <c r="L1206" s="456">
        <v>2</v>
      </c>
      <c r="M1206" s="436">
        <f>IFERROR(EDATE(N1206,-3),"Invalid procurement method or date entered")</f>
        <v>44287</v>
      </c>
      <c r="N1206" s="386">
        <f t="shared" si="24"/>
        <v>44378</v>
      </c>
      <c r="O1206" s="367">
        <v>44440</v>
      </c>
      <c r="P1206" s="71" t="s">
        <v>45</v>
      </c>
      <c r="Q1206" s="71" t="s">
        <v>45</v>
      </c>
      <c r="R1206" s="159">
        <v>55000</v>
      </c>
      <c r="S1206" s="159" t="s">
        <v>176</v>
      </c>
      <c r="T1206" s="357" t="s">
        <v>45</v>
      </c>
      <c r="U1206" s="357" t="s">
        <v>45</v>
      </c>
      <c r="V1206" s="357"/>
      <c r="W1206" s="8" t="s">
        <v>2802</v>
      </c>
      <c r="X1206" s="101" t="s">
        <v>189</v>
      </c>
      <c r="Y1206" s="101"/>
      <c r="Z1206" s="101"/>
      <c r="AA1206" s="1090"/>
      <c r="AB1206" s="1099"/>
      <c r="AC1206" s="432">
        <v>44323</v>
      </c>
      <c r="AD1206" s="432"/>
      <c r="AE1206" s="432"/>
    </row>
    <row r="1207" spans="1:31" ht="29">
      <c r="A1207" s="1184"/>
      <c r="B1207" s="200" t="s">
        <v>100</v>
      </c>
      <c r="C1207" s="200" t="s">
        <v>3351</v>
      </c>
      <c r="D1207" s="8" t="s">
        <v>122</v>
      </c>
      <c r="E1207" s="8"/>
      <c r="F1207" s="8"/>
      <c r="G1207" s="8"/>
      <c r="H1207" s="16" t="s">
        <v>197</v>
      </c>
      <c r="I1207" s="16" t="s">
        <v>34</v>
      </c>
      <c r="J1207" s="16" t="s">
        <v>467</v>
      </c>
      <c r="K1207" s="8"/>
      <c r="L1207" s="5">
        <v>12</v>
      </c>
      <c r="M1207" s="461">
        <v>44440</v>
      </c>
      <c r="N1207" s="149">
        <f t="shared" si="24"/>
        <v>44075</v>
      </c>
      <c r="O1207" s="367">
        <v>44440</v>
      </c>
      <c r="P1207" s="369">
        <v>24</v>
      </c>
      <c r="Q1207" s="369" t="s">
        <v>1345</v>
      </c>
      <c r="R1207" s="159">
        <v>30000</v>
      </c>
      <c r="S1207" s="159" t="s">
        <v>176</v>
      </c>
      <c r="T1207" s="365" t="s">
        <v>38</v>
      </c>
      <c r="U1207" s="365" t="s">
        <v>71</v>
      </c>
      <c r="V1207" s="365"/>
      <c r="W1207" s="8" t="s">
        <v>3352</v>
      </c>
      <c r="X1207" s="111" t="s">
        <v>120</v>
      </c>
      <c r="Y1207" s="111" t="s">
        <v>40</v>
      </c>
      <c r="Z1207" s="111"/>
      <c r="AA1207" s="1091" t="s">
        <v>69</v>
      </c>
      <c r="AB1207" s="1106" t="s">
        <v>70</v>
      </c>
      <c r="AC1207" s="432">
        <v>44382</v>
      </c>
      <c r="AD1207" s="432"/>
      <c r="AE1207" s="432"/>
    </row>
    <row r="1208" spans="1:31" ht="58">
      <c r="A1208" s="1184"/>
      <c r="B1208" s="362" t="s">
        <v>100</v>
      </c>
      <c r="C1208" s="362" t="s">
        <v>703</v>
      </c>
      <c r="D1208" s="1686" t="s">
        <v>57</v>
      </c>
      <c r="E1208" s="1686"/>
      <c r="F1208" s="1686"/>
      <c r="G1208" s="1686"/>
      <c r="H1208" s="981" t="s">
        <v>197</v>
      </c>
      <c r="I1208" s="981" t="s">
        <v>47</v>
      </c>
      <c r="J1208" s="1601" t="s">
        <v>704</v>
      </c>
      <c r="K1208" s="981"/>
      <c r="L1208" s="981">
        <v>14</v>
      </c>
      <c r="M1208" s="1001" t="s">
        <v>4264</v>
      </c>
      <c r="N1208" s="1003">
        <f t="shared" si="24"/>
        <v>44013</v>
      </c>
      <c r="O1208" s="1764">
        <v>44440</v>
      </c>
      <c r="P1208" s="1053">
        <v>60</v>
      </c>
      <c r="Q1208" s="1801" t="s">
        <v>705</v>
      </c>
      <c r="R1208" s="1041">
        <v>338000</v>
      </c>
      <c r="S1208" s="1041" t="s">
        <v>91</v>
      </c>
      <c r="T1208" s="1849" t="s">
        <v>70</v>
      </c>
      <c r="U1208" s="1849" t="s">
        <v>4265</v>
      </c>
      <c r="V1208" s="1849"/>
      <c r="W1208" s="981" t="s">
        <v>707</v>
      </c>
      <c r="X1208" s="495" t="s">
        <v>4266</v>
      </c>
      <c r="Y1208" s="495" t="s">
        <v>115</v>
      </c>
      <c r="Z1208" s="495"/>
      <c r="AA1208" s="411" t="s">
        <v>87</v>
      </c>
      <c r="AB1208" s="1099" t="s">
        <v>70</v>
      </c>
      <c r="AC1208" s="354">
        <v>44447</v>
      </c>
      <c r="AD1208" s="354"/>
      <c r="AE1208" s="354"/>
    </row>
    <row r="1209" spans="1:31" ht="50">
      <c r="A1209" s="1119"/>
      <c r="B1209" s="577" t="s">
        <v>56</v>
      </c>
      <c r="C1209" s="510"/>
      <c r="D1209" s="511" t="s">
        <v>57</v>
      </c>
      <c r="E1209" s="511"/>
      <c r="F1209" s="511"/>
      <c r="G1209" s="511"/>
      <c r="H1209" s="511" t="s">
        <v>58</v>
      </c>
      <c r="I1209" s="510" t="s">
        <v>47</v>
      </c>
      <c r="J1209" s="1580" t="s">
        <v>4267</v>
      </c>
      <c r="K1209" s="533"/>
      <c r="L1209" s="511">
        <v>3</v>
      </c>
      <c r="M1209" s="514">
        <f t="shared" ref="M1209:M1218" si="25">IF(O1209="tbc","",(IFERROR(EDATE($N1209,-3),"Invalid procurement method or date entered")))</f>
        <v>44256</v>
      </c>
      <c r="N1209" s="514">
        <f t="shared" ref="N1209:N1218" si="26">IF(O1209="tbc","",(IFERROR(EDATE(O1209,-L1209),"Invalid procurement method or date entered")))</f>
        <v>44348</v>
      </c>
      <c r="O1209" s="534">
        <v>44440</v>
      </c>
      <c r="P1209" s="535" t="s">
        <v>60</v>
      </c>
      <c r="Q1209" s="535" t="s">
        <v>60</v>
      </c>
      <c r="R1209" s="528">
        <v>247000</v>
      </c>
      <c r="S1209" s="515" t="s">
        <v>61</v>
      </c>
      <c r="T1209" s="515"/>
      <c r="U1209" s="515" t="s">
        <v>60</v>
      </c>
      <c r="V1209" s="515"/>
      <c r="W1209" s="510" t="s">
        <v>3935</v>
      </c>
    </row>
    <row r="1210" spans="1:31" ht="50">
      <c r="A1210" s="1119"/>
      <c r="B1210" s="577" t="s">
        <v>56</v>
      </c>
      <c r="C1210" s="511" t="s">
        <v>60</v>
      </c>
      <c r="D1210" s="526" t="s">
        <v>57</v>
      </c>
      <c r="E1210" s="526"/>
      <c r="F1210" s="526"/>
      <c r="G1210" s="526"/>
      <c r="H1210" s="526" t="s">
        <v>58</v>
      </c>
      <c r="I1210" s="524" t="s">
        <v>47</v>
      </c>
      <c r="J1210" s="1599" t="s">
        <v>4268</v>
      </c>
      <c r="K1210" s="624"/>
      <c r="L1210" s="526">
        <v>3</v>
      </c>
      <c r="M1210" s="634">
        <f t="shared" si="25"/>
        <v>44256</v>
      </c>
      <c r="N1210" s="634">
        <f t="shared" si="26"/>
        <v>44348</v>
      </c>
      <c r="O1210" s="518">
        <v>44440</v>
      </c>
      <c r="P1210" s="525">
        <v>3</v>
      </c>
      <c r="Q1210" s="525">
        <v>3</v>
      </c>
      <c r="R1210" s="517">
        <v>75000</v>
      </c>
      <c r="S1210" s="518" t="s">
        <v>75</v>
      </c>
      <c r="T1210" s="518" t="s">
        <v>62</v>
      </c>
      <c r="U1210" s="526" t="s">
        <v>60</v>
      </c>
      <c r="V1210" s="526"/>
      <c r="W1210" s="1864" t="s">
        <v>60</v>
      </c>
    </row>
    <row r="1211" spans="1:31" ht="25">
      <c r="A1211" s="1119"/>
      <c r="B1211" s="577" t="s">
        <v>56</v>
      </c>
      <c r="C1211" s="510" t="s">
        <v>4269</v>
      </c>
      <c r="D1211" s="511" t="s">
        <v>122</v>
      </c>
      <c r="E1211" s="511"/>
      <c r="F1211" s="511"/>
      <c r="G1211" s="511"/>
      <c r="H1211" s="511" t="s">
        <v>308</v>
      </c>
      <c r="I1211" s="510" t="s">
        <v>47</v>
      </c>
      <c r="J1211" s="1580" t="s">
        <v>4270</v>
      </c>
      <c r="K1211" s="533"/>
      <c r="L1211" s="511">
        <v>12</v>
      </c>
      <c r="M1211" s="514">
        <f t="shared" si="25"/>
        <v>43983</v>
      </c>
      <c r="N1211" s="514">
        <f t="shared" si="26"/>
        <v>44075</v>
      </c>
      <c r="O1211" s="534">
        <v>44440</v>
      </c>
      <c r="P1211" s="535" t="s">
        <v>60</v>
      </c>
      <c r="Q1211" s="535" t="s">
        <v>60</v>
      </c>
      <c r="R1211" s="528">
        <v>130000</v>
      </c>
      <c r="S1211" s="515" t="s">
        <v>84</v>
      </c>
      <c r="T1211" s="515" t="s">
        <v>310</v>
      </c>
      <c r="U1211" s="515" t="s">
        <v>60</v>
      </c>
      <c r="V1211" s="515"/>
      <c r="W1211" s="635"/>
    </row>
    <row r="1212" spans="1:31" ht="50">
      <c r="A1212" s="1119"/>
      <c r="B1212" s="577" t="s">
        <v>56</v>
      </c>
      <c r="C1212" s="510" t="s">
        <v>4271</v>
      </c>
      <c r="D1212" s="558" t="s">
        <v>348</v>
      </c>
      <c r="E1212" s="558"/>
      <c r="F1212" s="558"/>
      <c r="G1212" s="558"/>
      <c r="H1212" s="511" t="s">
        <v>58</v>
      </c>
      <c r="I1212" s="519" t="s">
        <v>47</v>
      </c>
      <c r="J1212" s="1578" t="s">
        <v>4272</v>
      </c>
      <c r="K1212" s="512"/>
      <c r="L1212" s="511">
        <v>1</v>
      </c>
      <c r="M1212" s="514">
        <f t="shared" si="25"/>
        <v>44317</v>
      </c>
      <c r="N1212" s="514">
        <f t="shared" si="26"/>
        <v>44409</v>
      </c>
      <c r="O1212" s="515">
        <v>44440</v>
      </c>
      <c r="P1212" s="516">
        <v>2</v>
      </c>
      <c r="Q1212" s="516">
        <v>2</v>
      </c>
      <c r="R1212" s="528">
        <v>800000</v>
      </c>
      <c r="S1212" s="515" t="s">
        <v>176</v>
      </c>
      <c r="T1212" s="515" t="s">
        <v>310</v>
      </c>
      <c r="U1212" s="515" t="s">
        <v>60</v>
      </c>
      <c r="V1212" s="515"/>
      <c r="W1212" s="569" t="s">
        <v>4109</v>
      </c>
    </row>
    <row r="1213" spans="1:31" ht="137.5">
      <c r="A1213" s="1119"/>
      <c r="B1213" s="577" t="s">
        <v>56</v>
      </c>
      <c r="C1213" s="510" t="s">
        <v>4273</v>
      </c>
      <c r="D1213" s="558" t="s">
        <v>348</v>
      </c>
      <c r="E1213" s="558"/>
      <c r="F1213" s="558"/>
      <c r="G1213" s="558"/>
      <c r="H1213" s="511" t="s">
        <v>58</v>
      </c>
      <c r="I1213" s="510" t="s">
        <v>47</v>
      </c>
      <c r="J1213" s="1580" t="s">
        <v>4274</v>
      </c>
      <c r="K1213" s="533"/>
      <c r="L1213" s="511">
        <v>3</v>
      </c>
      <c r="M1213" s="514">
        <f t="shared" si="25"/>
        <v>44256</v>
      </c>
      <c r="N1213" s="514">
        <f t="shared" si="26"/>
        <v>44348</v>
      </c>
      <c r="O1213" s="534">
        <v>44440</v>
      </c>
      <c r="P1213" s="535" t="s">
        <v>60</v>
      </c>
      <c r="Q1213" s="535" t="s">
        <v>60</v>
      </c>
      <c r="R1213" s="528">
        <v>200400</v>
      </c>
      <c r="S1213" s="515" t="s">
        <v>61</v>
      </c>
      <c r="T1213" s="515" t="s">
        <v>62</v>
      </c>
      <c r="U1213" s="515" t="s">
        <v>60</v>
      </c>
      <c r="V1213" s="515"/>
      <c r="W1213" s="510" t="s">
        <v>3935</v>
      </c>
    </row>
    <row r="1214" spans="1:31" ht="25">
      <c r="A1214" s="1119"/>
      <c r="B1214" s="577" t="s">
        <v>56</v>
      </c>
      <c r="C1214" s="510" t="s">
        <v>4275</v>
      </c>
      <c r="D1214" s="511" t="s">
        <v>122</v>
      </c>
      <c r="E1214" s="511"/>
      <c r="F1214" s="511"/>
      <c r="G1214" s="511"/>
      <c r="H1214" s="511" t="s">
        <v>308</v>
      </c>
      <c r="I1214" s="510" t="s">
        <v>47</v>
      </c>
      <c r="J1214" s="1580" t="s">
        <v>4276</v>
      </c>
      <c r="K1214" s="529"/>
      <c r="L1214" s="511">
        <v>12</v>
      </c>
      <c r="M1214" s="514">
        <f t="shared" si="25"/>
        <v>43983</v>
      </c>
      <c r="N1214" s="514">
        <f t="shared" si="26"/>
        <v>44075</v>
      </c>
      <c r="O1214" s="534">
        <v>44440</v>
      </c>
      <c r="P1214" s="535" t="s">
        <v>60</v>
      </c>
      <c r="Q1214" s="535" t="s">
        <v>60</v>
      </c>
      <c r="R1214" s="528">
        <v>110000</v>
      </c>
      <c r="S1214" s="515" t="s">
        <v>84</v>
      </c>
      <c r="T1214" s="515" t="s">
        <v>310</v>
      </c>
      <c r="U1214" s="515" t="s">
        <v>60</v>
      </c>
      <c r="V1214" s="515"/>
      <c r="W1214" s="635"/>
    </row>
    <row r="1215" spans="1:31" ht="50">
      <c r="A1215" s="1119"/>
      <c r="B1215" s="577" t="s">
        <v>56</v>
      </c>
      <c r="C1215" s="510" t="s">
        <v>4277</v>
      </c>
      <c r="D1215" s="511" t="s">
        <v>57</v>
      </c>
      <c r="E1215" s="511"/>
      <c r="F1215" s="511"/>
      <c r="G1215" s="511"/>
      <c r="H1215" s="511" t="s">
        <v>58</v>
      </c>
      <c r="I1215" s="519" t="s">
        <v>47</v>
      </c>
      <c r="J1215" s="1578" t="s">
        <v>4278</v>
      </c>
      <c r="K1215" s="529"/>
      <c r="L1215" s="511">
        <v>3</v>
      </c>
      <c r="M1215" s="514">
        <f t="shared" si="25"/>
        <v>44256</v>
      </c>
      <c r="N1215" s="514">
        <f t="shared" si="26"/>
        <v>44348</v>
      </c>
      <c r="O1215" s="515">
        <v>44440</v>
      </c>
      <c r="P1215" s="530" t="s">
        <v>4279</v>
      </c>
      <c r="Q1215" s="530" t="s">
        <v>4279</v>
      </c>
      <c r="R1215" s="528">
        <v>50000</v>
      </c>
      <c r="S1215" s="515" t="s">
        <v>61</v>
      </c>
      <c r="T1215" s="515" t="s">
        <v>62</v>
      </c>
      <c r="U1215" s="515" t="s">
        <v>38</v>
      </c>
      <c r="V1215" s="515"/>
      <c r="W1215" s="394" t="s">
        <v>70</v>
      </c>
    </row>
    <row r="1216" spans="1:31" ht="50">
      <c r="A1216" s="1119"/>
      <c r="B1216" s="577" t="s">
        <v>56</v>
      </c>
      <c r="C1216" s="510" t="s">
        <v>4280</v>
      </c>
      <c r="D1216" s="511" t="s">
        <v>348</v>
      </c>
      <c r="E1216" s="511"/>
      <c r="F1216" s="511"/>
      <c r="G1216" s="511"/>
      <c r="H1216" s="511" t="s">
        <v>58</v>
      </c>
      <c r="I1216" s="510" t="s">
        <v>47</v>
      </c>
      <c r="J1216" s="1580" t="s">
        <v>4281</v>
      </c>
      <c r="K1216" s="990"/>
      <c r="L1216" s="511">
        <v>3</v>
      </c>
      <c r="M1216" s="514">
        <f t="shared" si="25"/>
        <v>44256</v>
      </c>
      <c r="N1216" s="514">
        <f t="shared" si="26"/>
        <v>44348</v>
      </c>
      <c r="O1216" s="534">
        <v>44440</v>
      </c>
      <c r="P1216" s="535" t="s">
        <v>60</v>
      </c>
      <c r="Q1216" s="535" t="s">
        <v>60</v>
      </c>
      <c r="R1216" s="528">
        <v>465003</v>
      </c>
      <c r="S1216" s="515" t="s">
        <v>61</v>
      </c>
      <c r="T1216" s="515" t="s">
        <v>62</v>
      </c>
      <c r="U1216" s="515" t="s">
        <v>60</v>
      </c>
      <c r="V1216" s="515"/>
      <c r="W1216" s="394" t="s">
        <v>70</v>
      </c>
    </row>
    <row r="1217" spans="1:32" ht="112.5">
      <c r="A1217" s="1119"/>
      <c r="B1217" s="577" t="s">
        <v>56</v>
      </c>
      <c r="C1217" s="510" t="s">
        <v>4282</v>
      </c>
      <c r="D1217" s="511" t="s">
        <v>348</v>
      </c>
      <c r="E1217" s="511"/>
      <c r="F1217" s="511"/>
      <c r="G1217" s="511"/>
      <c r="H1217" s="511" t="s">
        <v>58</v>
      </c>
      <c r="I1217" s="510" t="s">
        <v>47</v>
      </c>
      <c r="J1217" s="1596" t="s">
        <v>4283</v>
      </c>
      <c r="K1217" s="990"/>
      <c r="L1217" s="511">
        <v>3</v>
      </c>
      <c r="M1217" s="514">
        <f t="shared" si="25"/>
        <v>44256</v>
      </c>
      <c r="N1217" s="514">
        <f t="shared" si="26"/>
        <v>44348</v>
      </c>
      <c r="O1217" s="534">
        <v>44440</v>
      </c>
      <c r="P1217" s="535" t="s">
        <v>60</v>
      </c>
      <c r="Q1217" s="535" t="s">
        <v>60</v>
      </c>
      <c r="R1217" s="528">
        <v>168900</v>
      </c>
      <c r="S1217" s="515" t="s">
        <v>61</v>
      </c>
      <c r="T1217" s="515" t="s">
        <v>62</v>
      </c>
      <c r="U1217" s="515" t="s">
        <v>60</v>
      </c>
      <c r="V1217" s="515"/>
      <c r="W1217" s="394" t="s">
        <v>70</v>
      </c>
    </row>
    <row r="1218" spans="1:32" ht="50">
      <c r="A1218" s="1119"/>
      <c r="B1218" s="577" t="s">
        <v>56</v>
      </c>
      <c r="C1218" s="510" t="s">
        <v>60</v>
      </c>
      <c r="D1218" s="511" t="s">
        <v>57</v>
      </c>
      <c r="E1218" s="511"/>
      <c r="F1218" s="511"/>
      <c r="G1218" s="511"/>
      <c r="H1218" s="511" t="s">
        <v>58</v>
      </c>
      <c r="I1218" s="510" t="s">
        <v>47</v>
      </c>
      <c r="J1218" s="1580" t="s">
        <v>4284</v>
      </c>
      <c r="K1218" s="990"/>
      <c r="L1218" s="511">
        <v>3</v>
      </c>
      <c r="M1218" s="514">
        <f t="shared" si="25"/>
        <v>44256</v>
      </c>
      <c r="N1218" s="514">
        <f t="shared" si="26"/>
        <v>44348</v>
      </c>
      <c r="O1218" s="534">
        <v>44440</v>
      </c>
      <c r="P1218" s="535" t="s">
        <v>60</v>
      </c>
      <c r="Q1218" s="535" t="s">
        <v>60</v>
      </c>
      <c r="R1218" s="528">
        <v>50000</v>
      </c>
      <c r="S1218" s="515" t="s">
        <v>61</v>
      </c>
      <c r="T1218" s="515" t="s">
        <v>62</v>
      </c>
      <c r="U1218" s="515" t="s">
        <v>60</v>
      </c>
      <c r="V1218" s="515"/>
      <c r="W1218" s="394" t="s">
        <v>70</v>
      </c>
    </row>
    <row r="1219" spans="1:32">
      <c r="A1219" s="1648">
        <v>44974</v>
      </c>
      <c r="B1219" s="1655" t="s">
        <v>1168</v>
      </c>
      <c r="C1219" s="1664" t="s">
        <v>4285</v>
      </c>
      <c r="D1219" s="1664" t="s">
        <v>2054</v>
      </c>
      <c r="E1219" s="1655" t="s">
        <v>1168</v>
      </c>
      <c r="F1219" s="1655" t="s">
        <v>1170</v>
      </c>
      <c r="G1219" s="1655" t="s">
        <v>1170</v>
      </c>
      <c r="H1219" s="1655" t="s">
        <v>1170</v>
      </c>
      <c r="I1219" s="1655" t="s">
        <v>1170</v>
      </c>
      <c r="J1219" s="1698" t="s">
        <v>4286</v>
      </c>
      <c r="K1219" s="1664" t="s">
        <v>4287</v>
      </c>
      <c r="L1219" s="1655" t="s">
        <v>1170</v>
      </c>
      <c r="M1219" s="1655" t="s">
        <v>1170</v>
      </c>
      <c r="N1219" s="1655" t="s">
        <v>1170</v>
      </c>
      <c r="O1219" s="1755">
        <v>44440</v>
      </c>
      <c r="P1219" s="1755">
        <v>45169</v>
      </c>
      <c r="Q1219" s="1664" t="s">
        <v>589</v>
      </c>
      <c r="R1219" s="1805">
        <v>36100</v>
      </c>
      <c r="S1219" s="1664" t="s">
        <v>1173</v>
      </c>
      <c r="T1219" s="1655" t="s">
        <v>1170</v>
      </c>
      <c r="U1219" s="1655" t="s">
        <v>1170</v>
      </c>
      <c r="V1219" s="1655"/>
      <c r="W1219" s="1664" t="s">
        <v>1201</v>
      </c>
      <c r="X1219" s="1723" t="s">
        <v>1175</v>
      </c>
      <c r="Y1219" s="1723" t="s">
        <v>251</v>
      </c>
      <c r="Z1219" s="1657" t="s">
        <v>1170</v>
      </c>
      <c r="AA1219" s="1657" t="s">
        <v>1170</v>
      </c>
      <c r="AB1219" s="1657" t="s">
        <v>1170</v>
      </c>
      <c r="AC1219" s="909" t="s">
        <v>4288</v>
      </c>
      <c r="AD1219" s="1657" t="s">
        <v>1170</v>
      </c>
      <c r="AE1219" s="1828">
        <v>36100</v>
      </c>
    </row>
    <row r="1220" spans="1:32">
      <c r="A1220" s="1648">
        <v>44974</v>
      </c>
      <c r="B1220" s="1655" t="s">
        <v>1168</v>
      </c>
      <c r="C1220" s="1664" t="s">
        <v>4289</v>
      </c>
      <c r="D1220" s="1664" t="s">
        <v>1227</v>
      </c>
      <c r="E1220" s="1655" t="s">
        <v>1168</v>
      </c>
      <c r="F1220" s="1655" t="s">
        <v>1170</v>
      </c>
      <c r="G1220" s="1655" t="s">
        <v>1170</v>
      </c>
      <c r="H1220" s="1655" t="s">
        <v>1170</v>
      </c>
      <c r="I1220" s="1655" t="s">
        <v>1170</v>
      </c>
      <c r="J1220" s="1698" t="s">
        <v>4290</v>
      </c>
      <c r="K1220" s="1664" t="s">
        <v>4291</v>
      </c>
      <c r="L1220" s="1655" t="s">
        <v>1170</v>
      </c>
      <c r="M1220" s="1655" t="s">
        <v>1170</v>
      </c>
      <c r="N1220" s="1655" t="s">
        <v>1170</v>
      </c>
      <c r="O1220" s="1755">
        <v>44440</v>
      </c>
      <c r="P1220" s="1755">
        <v>45169</v>
      </c>
      <c r="Q1220" s="1755">
        <v>45900</v>
      </c>
      <c r="R1220" s="1805">
        <v>44000</v>
      </c>
      <c r="S1220" s="1664" t="s">
        <v>1816</v>
      </c>
      <c r="T1220" s="1655" t="s">
        <v>1170</v>
      </c>
      <c r="U1220" s="1655" t="s">
        <v>1170</v>
      </c>
      <c r="V1220" s="1655"/>
      <c r="W1220" s="1664" t="s">
        <v>4292</v>
      </c>
      <c r="X1220" s="1723" t="s">
        <v>1175</v>
      </c>
      <c r="Y1220" s="1723" t="s">
        <v>251</v>
      </c>
      <c r="Z1220" s="1657" t="s">
        <v>1170</v>
      </c>
      <c r="AA1220" s="1657" t="s">
        <v>1170</v>
      </c>
      <c r="AB1220" s="1657" t="s">
        <v>1170</v>
      </c>
      <c r="AC1220" s="909" t="s">
        <v>4293</v>
      </c>
      <c r="AD1220" s="1657" t="s">
        <v>1170</v>
      </c>
      <c r="AE1220" s="1828">
        <v>44000</v>
      </c>
    </row>
    <row r="1221" spans="1:32">
      <c r="A1221" s="1648">
        <v>44974</v>
      </c>
      <c r="B1221" s="1655" t="s">
        <v>1168</v>
      </c>
      <c r="C1221" s="1664" t="s">
        <v>4294</v>
      </c>
      <c r="D1221" s="1664" t="s">
        <v>1227</v>
      </c>
      <c r="E1221" s="1655" t="s">
        <v>1168</v>
      </c>
      <c r="F1221" s="1655" t="s">
        <v>1170</v>
      </c>
      <c r="G1221" s="1655" t="s">
        <v>1170</v>
      </c>
      <c r="H1221" s="1655" t="s">
        <v>1170</v>
      </c>
      <c r="I1221" s="1655" t="s">
        <v>1170</v>
      </c>
      <c r="J1221" s="1698" t="s">
        <v>4295</v>
      </c>
      <c r="K1221" s="1664" t="s">
        <v>4296</v>
      </c>
      <c r="L1221" s="1655" t="s">
        <v>1170</v>
      </c>
      <c r="M1221" s="1655" t="s">
        <v>1170</v>
      </c>
      <c r="N1221" s="1655" t="s">
        <v>1170</v>
      </c>
      <c r="O1221" s="1755">
        <v>44440</v>
      </c>
      <c r="P1221" s="1755">
        <v>45169</v>
      </c>
      <c r="Q1221" s="1755">
        <v>45900</v>
      </c>
      <c r="R1221" s="1805">
        <v>1500</v>
      </c>
      <c r="S1221" s="1664" t="s">
        <v>1816</v>
      </c>
      <c r="T1221" s="1655" t="s">
        <v>1170</v>
      </c>
      <c r="U1221" s="1655" t="s">
        <v>1170</v>
      </c>
      <c r="V1221" s="1655"/>
      <c r="W1221" s="1664" t="s">
        <v>4216</v>
      </c>
      <c r="X1221" s="1723" t="s">
        <v>1175</v>
      </c>
      <c r="Y1221" s="1723" t="s">
        <v>251</v>
      </c>
      <c r="Z1221" s="1657" t="s">
        <v>1170</v>
      </c>
      <c r="AA1221" s="1657" t="s">
        <v>1170</v>
      </c>
      <c r="AB1221" s="1657" t="s">
        <v>1170</v>
      </c>
      <c r="AC1221" s="909" t="s">
        <v>4297</v>
      </c>
      <c r="AD1221" s="1657" t="s">
        <v>1170</v>
      </c>
      <c r="AE1221" s="1828">
        <v>1500</v>
      </c>
    </row>
    <row r="1222" spans="1:32" ht="409.5">
      <c r="A1222" s="889" t="s">
        <v>71</v>
      </c>
      <c r="B1222" s="707" t="s">
        <v>100</v>
      </c>
      <c r="C1222" s="707" t="s">
        <v>45</v>
      </c>
      <c r="D1222" s="710" t="s">
        <v>110</v>
      </c>
      <c r="E1222" s="710"/>
      <c r="F1222" s="710"/>
      <c r="G1222" s="710"/>
      <c r="H1222" s="710" t="s">
        <v>110</v>
      </c>
      <c r="I1222" s="710" t="s">
        <v>116</v>
      </c>
      <c r="J1222" s="1608" t="s">
        <v>103</v>
      </c>
      <c r="K1222" s="710" t="s">
        <v>47</v>
      </c>
      <c r="L1222" s="709" t="s">
        <v>4298</v>
      </c>
      <c r="M1222" s="710" t="s">
        <v>4299</v>
      </c>
      <c r="N1222" s="710">
        <v>12</v>
      </c>
      <c r="O1222" s="712">
        <f>IFERROR(EDATE(Q1222,-N1222),"Invalid procurement method or date entered")</f>
        <v>44441</v>
      </c>
      <c r="P1222" s="695"/>
      <c r="Q1222" s="713">
        <v>44806</v>
      </c>
      <c r="R1222" s="777" t="s">
        <v>45</v>
      </c>
      <c r="S1222" s="777" t="s">
        <v>45</v>
      </c>
      <c r="T1222" s="772">
        <v>25000</v>
      </c>
      <c r="U1222" s="710" t="s">
        <v>176</v>
      </c>
      <c r="V1222" s="710"/>
      <c r="W1222" s="711" t="s">
        <v>71</v>
      </c>
      <c r="X1222" s="843" t="s">
        <v>116</v>
      </c>
      <c r="Y1222" s="843" t="s">
        <v>4300</v>
      </c>
      <c r="Z1222" s="843" t="s">
        <v>4301</v>
      </c>
      <c r="AA1222" s="843" t="s">
        <v>40</v>
      </c>
      <c r="AB1222" s="843" t="s">
        <v>154</v>
      </c>
      <c r="AC1222" s="1092" t="s">
        <v>70</v>
      </c>
      <c r="AD1222" s="1928">
        <v>44946</v>
      </c>
      <c r="AE1222" s="945" t="s">
        <v>4302</v>
      </c>
      <c r="AF1222" s="1122" t="s">
        <v>116</v>
      </c>
    </row>
    <row r="1223" spans="1:32">
      <c r="A1223" s="1648">
        <v>44974</v>
      </c>
      <c r="B1223" s="1655" t="s">
        <v>1168</v>
      </c>
      <c r="C1223" s="1664" t="s">
        <v>4303</v>
      </c>
      <c r="D1223" s="1664" t="s">
        <v>1178</v>
      </c>
      <c r="E1223" s="1655" t="s">
        <v>1168</v>
      </c>
      <c r="F1223" s="1655" t="s">
        <v>1170</v>
      </c>
      <c r="G1223" s="1655" t="s">
        <v>1170</v>
      </c>
      <c r="H1223" s="1655" t="s">
        <v>1170</v>
      </c>
      <c r="I1223" s="1655" t="s">
        <v>1170</v>
      </c>
      <c r="J1223" s="1698" t="s">
        <v>4304</v>
      </c>
      <c r="K1223" s="1664" t="s">
        <v>4305</v>
      </c>
      <c r="L1223" s="1655" t="s">
        <v>1170</v>
      </c>
      <c r="M1223" s="1655" t="s">
        <v>1170</v>
      </c>
      <c r="N1223" s="1655" t="s">
        <v>1170</v>
      </c>
      <c r="O1223" s="1755">
        <v>44441</v>
      </c>
      <c r="P1223" s="1755">
        <v>44651</v>
      </c>
      <c r="Q1223" s="1664" t="s">
        <v>589</v>
      </c>
      <c r="R1223" s="1805">
        <v>19985</v>
      </c>
      <c r="S1223" s="1664" t="s">
        <v>1225</v>
      </c>
      <c r="T1223" s="1655" t="s">
        <v>1170</v>
      </c>
      <c r="U1223" s="1655" t="s">
        <v>1170</v>
      </c>
      <c r="V1223" s="1655"/>
      <c r="W1223" s="1664" t="s">
        <v>4306</v>
      </c>
      <c r="X1223" s="1723" t="s">
        <v>1175</v>
      </c>
      <c r="Y1223" s="1723" t="s">
        <v>251</v>
      </c>
      <c r="Z1223" s="1657" t="s">
        <v>1170</v>
      </c>
      <c r="AA1223" s="1657" t="s">
        <v>1170</v>
      </c>
      <c r="AB1223" s="1657" t="s">
        <v>1170</v>
      </c>
      <c r="AC1223" s="909" t="s">
        <v>4307</v>
      </c>
      <c r="AD1223" s="1657" t="s">
        <v>1170</v>
      </c>
      <c r="AE1223" s="1828">
        <v>19985</v>
      </c>
    </row>
    <row r="1224" spans="1:32" ht="50">
      <c r="A1224" s="1119"/>
      <c r="B1224" s="577" t="s">
        <v>56</v>
      </c>
      <c r="C1224" s="510" t="s">
        <v>4308</v>
      </c>
      <c r="D1224" s="510" t="s">
        <v>56</v>
      </c>
      <c r="E1224" s="510"/>
      <c r="F1224" s="510"/>
      <c r="G1224" s="510"/>
      <c r="H1224" s="511" t="s">
        <v>57</v>
      </c>
      <c r="I1224" s="511"/>
      <c r="J1224" s="1580" t="s">
        <v>4309</v>
      </c>
      <c r="K1224" s="533"/>
      <c r="L1224" s="511">
        <v>3</v>
      </c>
      <c r="M1224" s="514">
        <f>IF(O1224="tbc","",(IFERROR(EDATE($N1224,-3),"Invalid procurement method or date entered")))</f>
        <v>44259</v>
      </c>
      <c r="N1224" s="514">
        <f>IF(O1224="tbc","",(IFERROR(EDATE(O1224,-L1224),"Invalid procurement method or date entered")))</f>
        <v>44351</v>
      </c>
      <c r="O1224" s="534">
        <v>44443</v>
      </c>
      <c r="P1224" s="535" t="s">
        <v>60</v>
      </c>
      <c r="Q1224" s="535" t="s">
        <v>60</v>
      </c>
      <c r="R1224" s="528">
        <v>80000</v>
      </c>
      <c r="S1224" s="515" t="s">
        <v>176</v>
      </c>
      <c r="T1224" s="515" t="s">
        <v>62</v>
      </c>
      <c r="U1224" s="515" t="s">
        <v>60</v>
      </c>
      <c r="V1224" s="515"/>
      <c r="W1224" s="510" t="s">
        <v>3935</v>
      </c>
    </row>
    <row r="1225" spans="1:32" ht="37.5">
      <c r="A1225" s="1119"/>
      <c r="B1225" s="577" t="s">
        <v>56</v>
      </c>
      <c r="C1225" s="510" t="s">
        <v>60</v>
      </c>
      <c r="D1225" s="511" t="s">
        <v>57</v>
      </c>
      <c r="E1225" s="511"/>
      <c r="F1225" s="511"/>
      <c r="G1225" s="511"/>
      <c r="H1225" s="511" t="s">
        <v>58</v>
      </c>
      <c r="I1225" s="519" t="s">
        <v>47</v>
      </c>
      <c r="J1225" s="1578" t="s">
        <v>4310</v>
      </c>
      <c r="K1225" s="512"/>
      <c r="L1225" s="511">
        <v>1</v>
      </c>
      <c r="M1225" s="514">
        <f>IF(O1225="tbc","",(IFERROR(EDATE($N1225,-3),"Invalid procurement method or date entered")))</f>
        <v>44322</v>
      </c>
      <c r="N1225" s="514">
        <f>IF(O1225="tbc","",(IFERROR(EDATE(O1225,-L1225),"Invalid procurement method or date entered")))</f>
        <v>44414</v>
      </c>
      <c r="O1225" s="515">
        <v>44445</v>
      </c>
      <c r="P1225" s="519">
        <v>1</v>
      </c>
      <c r="Q1225" s="519">
        <v>1</v>
      </c>
      <c r="R1225" s="528">
        <v>25000</v>
      </c>
      <c r="S1225" s="515" t="s">
        <v>176</v>
      </c>
      <c r="T1225" s="515" t="s">
        <v>62</v>
      </c>
      <c r="U1225" s="515" t="s">
        <v>60</v>
      </c>
      <c r="V1225" s="515"/>
      <c r="W1225" s="569" t="s">
        <v>577</v>
      </c>
    </row>
    <row r="1226" spans="1:32" ht="50">
      <c r="A1226" s="1119"/>
      <c r="B1226" s="577" t="s">
        <v>56</v>
      </c>
      <c r="C1226" s="510" t="s">
        <v>4311</v>
      </c>
      <c r="D1226" s="511" t="s">
        <v>57</v>
      </c>
      <c r="E1226" s="511"/>
      <c r="F1226" s="511"/>
      <c r="G1226" s="511"/>
      <c r="H1226" s="511" t="s">
        <v>58</v>
      </c>
      <c r="I1226" s="519" t="s">
        <v>47</v>
      </c>
      <c r="J1226" s="1578" t="s">
        <v>4312</v>
      </c>
      <c r="K1226" s="512"/>
      <c r="L1226" s="511">
        <v>3</v>
      </c>
      <c r="M1226" s="514">
        <f>IF(O1226="tbc","",(IFERROR(EDATE($N1226,-3),"Invalid procurement method or date entered")))</f>
        <v>44261</v>
      </c>
      <c r="N1226" s="514">
        <f>IF(O1226="tbc","",(IFERROR(EDATE(O1226,-L1226),"Invalid procurement method or date entered")))</f>
        <v>44353</v>
      </c>
      <c r="O1226" s="515">
        <v>44445</v>
      </c>
      <c r="P1226" s="516">
        <v>7</v>
      </c>
      <c r="Q1226" s="516">
        <v>7</v>
      </c>
      <c r="R1226" s="528">
        <v>780000</v>
      </c>
      <c r="S1226" s="515" t="s">
        <v>182</v>
      </c>
      <c r="T1226" s="515" t="s">
        <v>310</v>
      </c>
      <c r="U1226" s="515">
        <v>43571</v>
      </c>
      <c r="V1226" s="515"/>
      <c r="W1226" s="569" t="s">
        <v>577</v>
      </c>
    </row>
    <row r="1227" spans="1:32" ht="37.5">
      <c r="A1227" s="1119"/>
      <c r="B1227" s="577" t="s">
        <v>56</v>
      </c>
      <c r="C1227" s="510" t="s">
        <v>4313</v>
      </c>
      <c r="D1227" s="511" t="s">
        <v>348</v>
      </c>
      <c r="E1227" s="511"/>
      <c r="F1227" s="511"/>
      <c r="G1227" s="511"/>
      <c r="H1227" s="511" t="s">
        <v>58</v>
      </c>
      <c r="I1227" s="519" t="s">
        <v>47</v>
      </c>
      <c r="J1227" s="1578" t="s">
        <v>4314</v>
      </c>
      <c r="K1227" s="529"/>
      <c r="L1227" s="511">
        <v>3</v>
      </c>
      <c r="M1227" s="514">
        <f>IF(O1227="tbc","",(IFERROR(EDATE($N1227,-3),"Invalid procurement method or date entered")))</f>
        <v>44261</v>
      </c>
      <c r="N1227" s="514">
        <f>IF(O1227="tbc","",(IFERROR(EDATE(O1227,-L1227),"Invalid procurement method or date entered")))</f>
        <v>44353</v>
      </c>
      <c r="O1227" s="515">
        <v>44445</v>
      </c>
      <c r="P1227" s="516">
        <v>1</v>
      </c>
      <c r="Q1227" s="516">
        <v>1</v>
      </c>
      <c r="R1227" s="528">
        <v>37000</v>
      </c>
      <c r="S1227" s="515" t="s">
        <v>176</v>
      </c>
      <c r="T1227" s="515" t="s">
        <v>62</v>
      </c>
      <c r="U1227" s="515" t="s">
        <v>60</v>
      </c>
      <c r="V1227" s="515"/>
      <c r="W1227" s="394" t="s">
        <v>70</v>
      </c>
    </row>
    <row r="1228" spans="1:32" ht="101.5">
      <c r="A1228" s="1184"/>
      <c r="B1228" s="2755"/>
      <c r="C1228" s="4" t="s">
        <v>4315</v>
      </c>
      <c r="D1228" s="974" t="s">
        <v>57</v>
      </c>
      <c r="E1228" s="974"/>
      <c r="F1228" s="974"/>
      <c r="G1228" s="974"/>
      <c r="H1228" s="1689" t="s">
        <v>165</v>
      </c>
      <c r="I1228" s="1693" t="s">
        <v>47</v>
      </c>
      <c r="J1228" s="989" t="s">
        <v>792</v>
      </c>
      <c r="K1228" s="187"/>
      <c r="L1228" s="58" t="e">
        <f>IF(OR(S1228=#REF!,S1228=#REF!,S1228=#REF!,S1228=#REF!,S1228=#REF!,S1228=#REF!,S1228=#REF!,S1228=#REF!),12,IF(OR(S1228=#REF!,S1228=#REF!,S1228=#REF!,S1228=#REF!,S1228=#REF!,S1228=#REF!,S1228=#REF!),3,IF(S1228=#REF!,1,IF(S1228=#REF!,18,IF(OR(S1228=#REF!,S1228=#REF!,S1228=#REF!,S1228=#REF!,S1228=#REF!),14,"Invalid proposed procurement method")))))</f>
        <v>#REF!</v>
      </c>
      <c r="M1228" s="205" t="str">
        <f>IFERROR(EDATE($N1228,-3),"Invalid procurement method or date entered")</f>
        <v>Invalid procurement method or date entered</v>
      </c>
      <c r="N1228" s="205" t="str">
        <f>IFERROR(EDATE(O1228,-L1228),"Invalid procurement method or date entered")</f>
        <v>Invalid procurement method or date entered</v>
      </c>
      <c r="O1228" s="328">
        <v>44446</v>
      </c>
      <c r="P1228" s="202" t="s">
        <v>793</v>
      </c>
      <c r="Q1228" s="202" t="s">
        <v>793</v>
      </c>
      <c r="R1228" s="201">
        <v>15250490</v>
      </c>
      <c r="S1228" s="1689" t="s">
        <v>91</v>
      </c>
      <c r="T1228" s="1843" t="s">
        <v>70</v>
      </c>
      <c r="U1228" s="1843">
        <v>44313</v>
      </c>
      <c r="V1228" s="1843"/>
      <c r="W1228" s="1015" t="s">
        <v>167</v>
      </c>
      <c r="X1228" s="493" t="s">
        <v>543</v>
      </c>
      <c r="Y1228" s="80" t="s">
        <v>40</v>
      </c>
      <c r="Z1228" s="80" t="s">
        <v>69</v>
      </c>
      <c r="AA1228" s="80" t="s">
        <v>70</v>
      </c>
      <c r="AB1228" s="354" t="s">
        <v>224</v>
      </c>
      <c r="AC1228" s="1112" t="s">
        <v>794</v>
      </c>
      <c r="AD1228" s="76" t="s">
        <v>165</v>
      </c>
      <c r="AE1228" s="80"/>
    </row>
    <row r="1229" spans="1:32" ht="50">
      <c r="A1229" s="1119"/>
      <c r="B1229" s="577" t="s">
        <v>56</v>
      </c>
      <c r="C1229" s="510" t="s">
        <v>4316</v>
      </c>
      <c r="D1229" s="511" t="s">
        <v>57</v>
      </c>
      <c r="E1229" s="511"/>
      <c r="F1229" s="511"/>
      <c r="G1229" s="511"/>
      <c r="H1229" s="511" t="s">
        <v>58</v>
      </c>
      <c r="I1229" s="510" t="s">
        <v>47</v>
      </c>
      <c r="J1229" s="1580" t="s">
        <v>4317</v>
      </c>
      <c r="K1229" s="533"/>
      <c r="L1229" s="511">
        <v>3</v>
      </c>
      <c r="M1229" s="514">
        <f>IF(O1229="tbc","",(IFERROR(EDATE($N1229,-3),"Invalid procurement method or date entered")))</f>
        <v>44262</v>
      </c>
      <c r="N1229" s="514">
        <f>IF(O1229="tbc","",(IFERROR(EDATE(O1229,-L1229),"Invalid procurement method or date entered")))</f>
        <v>44354</v>
      </c>
      <c r="O1229" s="534">
        <v>44446</v>
      </c>
      <c r="P1229" s="535" t="s">
        <v>60</v>
      </c>
      <c r="Q1229" s="535" t="s">
        <v>60</v>
      </c>
      <c r="R1229" s="528">
        <v>100000</v>
      </c>
      <c r="S1229" s="515" t="s">
        <v>176</v>
      </c>
      <c r="T1229" s="515" t="s">
        <v>62</v>
      </c>
      <c r="U1229" s="515" t="s">
        <v>60</v>
      </c>
      <c r="V1229" s="515"/>
      <c r="W1229" s="510" t="s">
        <v>3935</v>
      </c>
    </row>
    <row r="1230" spans="1:32" ht="37.5">
      <c r="A1230" s="1119"/>
      <c r="B1230" s="577" t="s">
        <v>56</v>
      </c>
      <c r="C1230" s="510" t="s">
        <v>60</v>
      </c>
      <c r="D1230" s="511" t="s">
        <v>57</v>
      </c>
      <c r="E1230" s="511"/>
      <c r="F1230" s="511"/>
      <c r="G1230" s="511"/>
      <c r="H1230" s="511" t="s">
        <v>58</v>
      </c>
      <c r="I1230" s="510" t="s">
        <v>47</v>
      </c>
      <c r="J1230" s="1595" t="s">
        <v>4318</v>
      </c>
      <c r="K1230" s="991"/>
      <c r="L1230" s="511">
        <v>1</v>
      </c>
      <c r="M1230" s="570">
        <f>IF(O1230="tbc","",(IFERROR(EDATE($N1230,-3),"Invalid procurement method or date entered")))</f>
        <v>44327</v>
      </c>
      <c r="N1230" s="514">
        <f>IF(O1230="tbc","",(IFERROR(EDATE(O1230,-L1230),"Invalid procurement method or date entered")))</f>
        <v>44419</v>
      </c>
      <c r="O1230" s="572">
        <v>44450</v>
      </c>
      <c r="P1230" s="535" t="s">
        <v>60</v>
      </c>
      <c r="Q1230" s="535" t="s">
        <v>60</v>
      </c>
      <c r="R1230" s="574" t="s">
        <v>60</v>
      </c>
      <c r="S1230" s="515" t="s">
        <v>176</v>
      </c>
      <c r="T1230" s="515" t="s">
        <v>310</v>
      </c>
      <c r="U1230" s="515" t="s">
        <v>60</v>
      </c>
      <c r="V1230" s="515"/>
      <c r="W1230" s="521" t="s">
        <v>70</v>
      </c>
    </row>
    <row r="1231" spans="1:32" ht="50">
      <c r="A1231" s="1119"/>
      <c r="B1231" s="577" t="s">
        <v>56</v>
      </c>
      <c r="C1231" s="511" t="s">
        <v>4319</v>
      </c>
      <c r="D1231" s="510" t="s">
        <v>56</v>
      </c>
      <c r="E1231" s="510"/>
      <c r="F1231" s="510"/>
      <c r="G1231" s="510"/>
      <c r="H1231" s="558" t="s">
        <v>348</v>
      </c>
      <c r="I1231" s="519" t="s">
        <v>47</v>
      </c>
      <c r="J1231" s="1578" t="s">
        <v>4320</v>
      </c>
      <c r="K1231" s="529"/>
      <c r="L1231" s="511">
        <v>3</v>
      </c>
      <c r="M1231" s="514">
        <f>IF(O1231="tbc","",(IFERROR(EDATE($N1231,-3),"Invalid procurement method or date entered")))</f>
        <v>44275</v>
      </c>
      <c r="N1231" s="514">
        <f>IF(O1231="tbc","",(IFERROR(EDATE(O1231,-L1231),"Invalid procurement method or date entered")))</f>
        <v>44367</v>
      </c>
      <c r="O1231" s="515">
        <v>44459</v>
      </c>
      <c r="P1231" s="516">
        <v>1</v>
      </c>
      <c r="Q1231" s="527">
        <v>1</v>
      </c>
      <c r="R1231" s="528">
        <v>139000</v>
      </c>
      <c r="S1231" s="515" t="s">
        <v>61</v>
      </c>
      <c r="T1231" s="515" t="s">
        <v>62</v>
      </c>
      <c r="U1231" s="511" t="s">
        <v>60</v>
      </c>
      <c r="V1231" s="511"/>
      <c r="W1231" s="510"/>
    </row>
    <row r="1232" spans="1:32" ht="58">
      <c r="A1232" s="1184"/>
      <c r="B1232" s="362" t="s">
        <v>100</v>
      </c>
      <c r="C1232" s="362"/>
      <c r="D1232" s="8" t="s">
        <v>110</v>
      </c>
      <c r="E1232" s="8"/>
      <c r="F1232" s="8"/>
      <c r="G1232" s="8"/>
      <c r="H1232" s="8" t="s">
        <v>103</v>
      </c>
      <c r="I1232" s="8" t="s">
        <v>47</v>
      </c>
      <c r="J1232" s="16" t="s">
        <v>3465</v>
      </c>
      <c r="K1232" s="8"/>
      <c r="L1232" s="84">
        <v>14</v>
      </c>
      <c r="M1232" s="436">
        <f>IFERROR(EDATE(N1232,-3),"Invalid procurement method or date entered")</f>
        <v>43946</v>
      </c>
      <c r="N1232" s="386">
        <f>IFERROR(EDATE(O1232,-L1232),"Invalid procurement method or date entered")</f>
        <v>44037</v>
      </c>
      <c r="O1232" s="367">
        <v>44464</v>
      </c>
      <c r="P1232" s="46">
        <v>48</v>
      </c>
      <c r="Q1232" s="159" t="s">
        <v>258</v>
      </c>
      <c r="R1232" s="159">
        <v>200000</v>
      </c>
      <c r="S1232" s="159" t="s">
        <v>91</v>
      </c>
      <c r="T1232" s="190" t="s">
        <v>70</v>
      </c>
      <c r="U1232" s="190" t="s">
        <v>4321</v>
      </c>
      <c r="V1232" s="190"/>
      <c r="W1232" s="8" t="s">
        <v>566</v>
      </c>
      <c r="X1232" s="101" t="s">
        <v>413</v>
      </c>
      <c r="Y1232" s="101" t="s">
        <v>727</v>
      </c>
      <c r="Z1232" s="101"/>
      <c r="AA1232" s="411" t="s">
        <v>69</v>
      </c>
      <c r="AB1232" s="1099" t="s">
        <v>70</v>
      </c>
      <c r="AC1232" s="432">
        <v>44400</v>
      </c>
      <c r="AD1232" s="432"/>
      <c r="AE1232" s="432"/>
    </row>
    <row r="1233" spans="1:31" ht="25">
      <c r="A1233" s="1119"/>
      <c r="B1233" s="577" t="s">
        <v>56</v>
      </c>
      <c r="C1233" s="510" t="s">
        <v>60</v>
      </c>
      <c r="D1233" s="511" t="s">
        <v>110</v>
      </c>
      <c r="E1233" s="511"/>
      <c r="F1233" s="511"/>
      <c r="G1233" s="511"/>
      <c r="H1233" s="511" t="s">
        <v>3570</v>
      </c>
      <c r="I1233" s="519" t="s">
        <v>34</v>
      </c>
      <c r="J1233" s="606" t="s">
        <v>4322</v>
      </c>
      <c r="K1233" s="529"/>
      <c r="L1233" s="511">
        <v>12</v>
      </c>
      <c r="M1233" s="514">
        <f>IF(O1233="tbc","",(IFERROR(EDATE($N1233,-3),"Invalid procurement method or date entered")))</f>
        <v>44007</v>
      </c>
      <c r="N1233" s="514">
        <f>IF(O1233="tbc","",(IFERROR(EDATE(O1233,-L1233),"Invalid procurement method or date entered")))</f>
        <v>44099</v>
      </c>
      <c r="O1233" s="554">
        <v>44464</v>
      </c>
      <c r="P1233" s="536">
        <v>48</v>
      </c>
      <c r="Q1233" s="536">
        <v>48</v>
      </c>
      <c r="R1233" s="538">
        <v>17800000</v>
      </c>
      <c r="S1233" s="536" t="s">
        <v>130</v>
      </c>
      <c r="T1233" s="536" t="s">
        <v>60</v>
      </c>
      <c r="U1233" s="514" t="s">
        <v>60</v>
      </c>
      <c r="V1233" s="514"/>
      <c r="W1233" s="511"/>
    </row>
    <row r="1234" spans="1:31" ht="50">
      <c r="A1234" s="1119"/>
      <c r="B1234" s="577" t="s">
        <v>56</v>
      </c>
      <c r="C1234" s="510" t="s">
        <v>60</v>
      </c>
      <c r="D1234" s="510" t="s">
        <v>56</v>
      </c>
      <c r="E1234" s="510"/>
      <c r="F1234" s="510"/>
      <c r="G1234" s="510"/>
      <c r="H1234" s="511" t="s">
        <v>57</v>
      </c>
      <c r="I1234" s="519" t="s">
        <v>47</v>
      </c>
      <c r="J1234" s="1578" t="s">
        <v>4323</v>
      </c>
      <c r="K1234" s="529"/>
      <c r="L1234" s="511">
        <v>3</v>
      </c>
      <c r="M1234" s="514">
        <f>IF(O1234="tbc","",(IFERROR(EDATE($N1234,-3),"Invalid procurement method or date entered")))</f>
        <v>44282</v>
      </c>
      <c r="N1234" s="514">
        <f>IF(O1234="tbc","",(IFERROR(EDATE(O1234,-L1234),"Invalid procurement method or date entered")))</f>
        <v>44374</v>
      </c>
      <c r="O1234" s="534">
        <v>44466</v>
      </c>
      <c r="P1234" s="510">
        <v>1</v>
      </c>
      <c r="Q1234" s="535">
        <v>1</v>
      </c>
      <c r="R1234" s="528">
        <v>25000</v>
      </c>
      <c r="S1234" s="555" t="s">
        <v>61</v>
      </c>
      <c r="T1234" s="556" t="s">
        <v>60</v>
      </c>
      <c r="U1234" s="515" t="s">
        <v>60</v>
      </c>
      <c r="V1234" s="515"/>
      <c r="W1234" s="635"/>
    </row>
    <row r="1235" spans="1:31" ht="304.5">
      <c r="A1235" s="1119"/>
      <c r="B1235" s="2755" t="s">
        <v>44</v>
      </c>
      <c r="C1235" s="4" t="s">
        <v>45</v>
      </c>
      <c r="D1235" s="9" t="s">
        <v>32</v>
      </c>
      <c r="E1235" s="9"/>
      <c r="F1235" s="9"/>
      <c r="G1235" s="9"/>
      <c r="H1235" s="9" t="s">
        <v>480</v>
      </c>
      <c r="I1235" s="9" t="s">
        <v>34</v>
      </c>
      <c r="J1235" s="16" t="s">
        <v>4324</v>
      </c>
      <c r="K1235" s="8"/>
      <c r="L1235" s="5" t="e">
        <f>IF(OR(S1235=#REF!,S1235=#REF!,S1235=#REF!,S1235=#REF!,S1235=#REF!,S1235=#REF!,S1235=#REF!,S1235=#REF!),12,IF(OR(S1235=#REF!,S1235=#REF!,S1235=#REF!,S1235=#REF!,S1235=#REF!,S1235=#REF!,S1235=#REF!),3,IF(S1235=#REF!,1,IF(S1235=#REF!,18,IF(OR(S1235=#REF!,S1235=#REF!,S1235=#REF!,S1235=#REF!,S1235=#REF!),14,"Invalid proposed procurement method")))))</f>
        <v>#REF!</v>
      </c>
      <c r="M1235" s="199" t="str">
        <f>IFERROR(EDATE($N1235,-3),"Invalid procurement method or date entered")</f>
        <v>Invalid procurement method or date entered</v>
      </c>
      <c r="N1235" s="199" t="str">
        <f t="shared" ref="N1235:N1247" si="27">IFERROR(EDATE(O1235,-L1235),"Invalid procurement method or date entered")</f>
        <v>Invalid procurement method or date entered</v>
      </c>
      <c r="O1235" s="216">
        <v>44470</v>
      </c>
      <c r="P1235" s="9" t="s">
        <v>45</v>
      </c>
      <c r="Q1235" s="269" t="s">
        <v>45</v>
      </c>
      <c r="R1235" s="18" t="s">
        <v>45</v>
      </c>
      <c r="S1235" s="2751" t="s">
        <v>91</v>
      </c>
      <c r="T1235" s="50" t="s">
        <v>4325</v>
      </c>
      <c r="U1235" s="210">
        <v>44431</v>
      </c>
      <c r="V1235" s="210"/>
      <c r="W1235" s="9" t="s">
        <v>4326</v>
      </c>
      <c r="X1235" s="80" t="s">
        <v>39</v>
      </c>
      <c r="Y1235" s="80" t="s">
        <v>115</v>
      </c>
      <c r="Z1235" s="80" t="s">
        <v>69</v>
      </c>
      <c r="AA1235" s="1076" t="s">
        <v>70</v>
      </c>
      <c r="AB1235" s="354" t="s">
        <v>88</v>
      </c>
      <c r="AC1235" s="993" t="s">
        <v>4327</v>
      </c>
      <c r="AD1235" s="76" t="s">
        <v>127</v>
      </c>
      <c r="AE1235" s="211"/>
    </row>
    <row r="1236" spans="1:31" ht="72.5">
      <c r="A1236" s="1185"/>
      <c r="B1236" s="2755" t="s">
        <v>44</v>
      </c>
      <c r="C1236" s="10" t="s">
        <v>4328</v>
      </c>
      <c r="D1236" s="974" t="s">
        <v>32</v>
      </c>
      <c r="E1236" s="974"/>
      <c r="F1236" s="974"/>
      <c r="G1236" s="974"/>
      <c r="H1236" s="974" t="s">
        <v>33</v>
      </c>
      <c r="I1236" s="58" t="s">
        <v>47</v>
      </c>
      <c r="J1236" s="989" t="s">
        <v>4329</v>
      </c>
      <c r="K1236" s="989"/>
      <c r="L1236" s="58" t="e">
        <f>IF(OR(S1236=#REF!,S1236=#REF!,S1236=#REF!,S1236=#REF!,S1236=#REF!,S1236=#REF!,S1236=#REF!,S1236=#REF!),12,IF(OR(S1236=#REF!,S1236=#REF!,S1236=#REF!,S1236=#REF!,S1236=#REF!,S1236=#REF!,S1236=#REF!),3,IF(S1236=#REF!,1,IF(S1236=#REF!,18,IF(OR(S1236=#REF!,S1236=#REF!,S1236=#REF!,S1236=#REF!,S1236=#REF!),14,"Invalid proposed procurement method")))))</f>
        <v>#REF!</v>
      </c>
      <c r="M1236" s="205" t="str">
        <f>IFERROR(EDATE($N1236,-3),"Invalid procurement method or date entered")</f>
        <v>Invalid procurement method or date entered</v>
      </c>
      <c r="N1236" s="205" t="str">
        <f t="shared" si="27"/>
        <v>Invalid procurement method or date entered</v>
      </c>
      <c r="O1236" s="1754">
        <v>44470</v>
      </c>
      <c r="P1236" s="1776">
        <v>48</v>
      </c>
      <c r="Q1236" s="1796" t="s">
        <v>83</v>
      </c>
      <c r="R1236" s="201">
        <v>108667.25</v>
      </c>
      <c r="S1236" s="58" t="s">
        <v>84</v>
      </c>
      <c r="T1236" s="1843" t="s">
        <v>62</v>
      </c>
      <c r="U1236" s="51" t="s">
        <v>71</v>
      </c>
      <c r="V1236" s="1843"/>
      <c r="W1236" s="58" t="s">
        <v>440</v>
      </c>
      <c r="X1236" s="80" t="s">
        <v>543</v>
      </c>
      <c r="Y1236" s="80" t="s">
        <v>40</v>
      </c>
      <c r="Z1236" s="80" t="s">
        <v>69</v>
      </c>
      <c r="AA1236" s="1076" t="s">
        <v>70</v>
      </c>
      <c r="AB1236" s="354" t="s">
        <v>224</v>
      </c>
      <c r="AC1236" s="993" t="s">
        <v>4330</v>
      </c>
      <c r="AD1236" s="80" t="s">
        <v>806</v>
      </c>
      <c r="AE1236" s="1132">
        <v>27166</v>
      </c>
    </row>
    <row r="1237" spans="1:31" ht="101.5">
      <c r="A1237" s="1184"/>
      <c r="B1237" s="2755" t="s">
        <v>44</v>
      </c>
      <c r="C1237" s="16" t="s">
        <v>4331</v>
      </c>
      <c r="D1237" s="9" t="s">
        <v>110</v>
      </c>
      <c r="E1237" s="9"/>
      <c r="F1237" s="9"/>
      <c r="G1237" s="9"/>
      <c r="H1237" s="5" t="s">
        <v>33</v>
      </c>
      <c r="I1237" s="5" t="s">
        <v>34</v>
      </c>
      <c r="J1237" s="16" t="s">
        <v>4332</v>
      </c>
      <c r="K1237" s="8"/>
      <c r="L1237" s="5" t="e">
        <f>IF(OR(S1237=#REF!,S1237=#REF!,S1237=#REF!,S1237=#REF!,S1237=#REF!,S1237=#REF!,S1237=#REF!,S1237=#REF!),12,IF(OR(S1237=#REF!,S1237=#REF!,S1237=#REF!,S1237=#REF!,S1237=#REF!,S1237=#REF!,S1237=#REF!),3,IF(S1237=#REF!,1,IF(S1237=#REF!,18,IF(OR(S1237=#REF!,S1237=#REF!,S1237=#REF!,S1237=#REF!,S1237=#REF!),14,"Invalid proposed procurement method")))))</f>
        <v>#REF!</v>
      </c>
      <c r="M1237" s="199" t="str">
        <f>IFERROR(EDATE($N1237,-3),"Invalid procurement method or date entered")</f>
        <v>Invalid procurement method or date entered</v>
      </c>
      <c r="N1237" s="199" t="str">
        <f t="shared" si="27"/>
        <v>Invalid procurement method or date entered</v>
      </c>
      <c r="O1237" s="199">
        <v>44470</v>
      </c>
      <c r="P1237" s="5">
        <v>120</v>
      </c>
      <c r="Q1237" s="7" t="s">
        <v>4333</v>
      </c>
      <c r="R1237" s="18">
        <v>50000</v>
      </c>
      <c r="S1237" s="5" t="s">
        <v>130</v>
      </c>
      <c r="T1237" s="51" t="s">
        <v>62</v>
      </c>
      <c r="U1237" s="51" t="s">
        <v>67</v>
      </c>
      <c r="V1237" s="51"/>
      <c r="W1237" s="5" t="s">
        <v>440</v>
      </c>
      <c r="X1237" s="80" t="s">
        <v>39</v>
      </c>
      <c r="Y1237" s="80" t="s">
        <v>40</v>
      </c>
      <c r="Z1237" s="80" t="s">
        <v>69</v>
      </c>
      <c r="AA1237" s="80" t="s">
        <v>70</v>
      </c>
      <c r="AB1237" s="354" t="s">
        <v>224</v>
      </c>
      <c r="AC1237" s="101" t="s">
        <v>4334</v>
      </c>
      <c r="AD1237" s="80" t="s">
        <v>806</v>
      </c>
      <c r="AE1237" s="211">
        <v>5000</v>
      </c>
    </row>
    <row r="1238" spans="1:31" ht="43.5">
      <c r="A1238" s="1184"/>
      <c r="B1238" s="362" t="s">
        <v>100</v>
      </c>
      <c r="C1238" s="362"/>
      <c r="D1238" s="8" t="s">
        <v>110</v>
      </c>
      <c r="E1238" s="8"/>
      <c r="F1238" s="8"/>
      <c r="G1238" s="8"/>
      <c r="H1238" s="8" t="s">
        <v>103</v>
      </c>
      <c r="I1238" s="8" t="s">
        <v>47</v>
      </c>
      <c r="J1238" s="16" t="s">
        <v>4335</v>
      </c>
      <c r="K1238" s="8"/>
      <c r="L1238" s="84">
        <v>14</v>
      </c>
      <c r="M1238" s="436">
        <f>IFERROR(EDATE(N1238,-3),"Invalid procurement method or date entered")</f>
        <v>43952</v>
      </c>
      <c r="N1238" s="386">
        <f t="shared" si="27"/>
        <v>44044</v>
      </c>
      <c r="O1238" s="367">
        <v>44470</v>
      </c>
      <c r="P1238" s="368">
        <v>48</v>
      </c>
      <c r="Q1238" s="368" t="s">
        <v>258</v>
      </c>
      <c r="R1238" s="159">
        <v>1939200</v>
      </c>
      <c r="S1238" s="159" t="s">
        <v>105</v>
      </c>
      <c r="T1238" s="365" t="s">
        <v>70</v>
      </c>
      <c r="U1238" s="388">
        <v>43840</v>
      </c>
      <c r="V1238" s="388"/>
      <c r="W1238" s="8" t="s">
        <v>2883</v>
      </c>
      <c r="X1238" s="101" t="s">
        <v>125</v>
      </c>
      <c r="Y1238" s="101" t="s">
        <v>727</v>
      </c>
      <c r="Z1238" s="101"/>
      <c r="AA1238" s="411" t="s">
        <v>69</v>
      </c>
      <c r="AB1238" s="1099" t="s">
        <v>70</v>
      </c>
      <c r="AC1238" s="432">
        <v>44243</v>
      </c>
      <c r="AD1238" s="432"/>
      <c r="AE1238" s="432"/>
    </row>
    <row r="1239" spans="1:31" ht="72.5">
      <c r="A1239" s="1184"/>
      <c r="B1239" s="4"/>
      <c r="C1239" s="4" t="s">
        <v>4336</v>
      </c>
      <c r="D1239" s="9" t="s">
        <v>32</v>
      </c>
      <c r="E1239" s="9"/>
      <c r="F1239" s="9"/>
      <c r="G1239" s="9"/>
      <c r="H1239" s="5" t="s">
        <v>33</v>
      </c>
      <c r="I1239" s="9" t="s">
        <v>47</v>
      </c>
      <c r="J1239" s="16" t="s">
        <v>4337</v>
      </c>
      <c r="K1239" s="16"/>
      <c r="L1239" s="5" t="e">
        <f>IF(OR(S1239=#REF!,S1239=#REF!,S1239=#REF!,S1239=#REF!,S1239=#REF!,S1239=#REF!,S1239=#REF!,S1239=#REF!),12,IF(OR(S1239=#REF!,S1239=#REF!,S1239=#REF!,S1239=#REF!,S1239=#REF!,S1239=#REF!,S1239=#REF!),3,IF(S1239=#REF!,1,IF(S1239=#REF!,18,IF(OR(S1239=#REF!,S1239=#REF!,S1239=#REF!,S1239=#REF!,S1239=#REF!),14,"Invalid proposed procurement method")))))</f>
        <v>#REF!</v>
      </c>
      <c r="M1239" s="199" t="str">
        <f>IFERROR(EDATE($N1239,-3),"Invalid procurement method or date entered")</f>
        <v>Invalid procurement method or date entered</v>
      </c>
      <c r="N1239" s="199" t="str">
        <f t="shared" si="27"/>
        <v>Invalid procurement method or date entered</v>
      </c>
      <c r="O1239" s="49">
        <v>44470</v>
      </c>
      <c r="P1239" s="15">
        <v>60</v>
      </c>
      <c r="Q1239" s="15" t="s">
        <v>187</v>
      </c>
      <c r="R1239" s="18">
        <v>71000</v>
      </c>
      <c r="S1239" s="5" t="s">
        <v>84</v>
      </c>
      <c r="T1239" s="52" t="s">
        <v>62</v>
      </c>
      <c r="U1239" s="48" t="s">
        <v>71</v>
      </c>
      <c r="V1239" s="48"/>
      <c r="W1239" s="9" t="s">
        <v>388</v>
      </c>
      <c r="X1239" s="1076" t="s">
        <v>94</v>
      </c>
      <c r="Y1239" s="80" t="s">
        <v>115</v>
      </c>
      <c r="Z1239" s="80" t="s">
        <v>154</v>
      </c>
      <c r="AA1239" s="1076" t="s">
        <v>70</v>
      </c>
      <c r="AB1239" s="2772" t="s">
        <v>143</v>
      </c>
      <c r="AC1239" s="993" t="s">
        <v>442</v>
      </c>
      <c r="AD1239" s="76" t="s">
        <v>156</v>
      </c>
      <c r="AE1239" s="339">
        <v>15000</v>
      </c>
    </row>
    <row r="1240" spans="1:31" ht="72.5">
      <c r="A1240" s="1184"/>
      <c r="B1240" s="2755"/>
      <c r="C1240" s="4" t="s">
        <v>4338</v>
      </c>
      <c r="D1240" s="9" t="s">
        <v>32</v>
      </c>
      <c r="E1240" s="9"/>
      <c r="F1240" s="9"/>
      <c r="G1240" s="9"/>
      <c r="H1240" s="5" t="s">
        <v>127</v>
      </c>
      <c r="I1240" s="12" t="s">
        <v>47</v>
      </c>
      <c r="J1240" s="16" t="s">
        <v>4339</v>
      </c>
      <c r="K1240" s="16"/>
      <c r="L1240" s="5" t="e">
        <f>IF(OR(S1240=#REF!,S1240=#REF!,S1240=#REF!,S1240=#REF!,S1240=#REF!,S1240=#REF!,S1240=#REF!,S1240=#REF!),12,IF(OR(S1240=#REF!,S1240=#REF!,S1240=#REF!,S1240=#REF!,S1240=#REF!,S1240=#REF!,S1240=#REF!),3,IF(S1240=#REF!,1,IF(S1240=#REF!,18,IF(OR(S1240=#REF!,S1240=#REF!,S1240=#REF!,S1240=#REF!,S1240=#REF!),14,"Invalid proposed procurement method")))))</f>
        <v>#REF!</v>
      </c>
      <c r="M1240" s="199" t="str">
        <f>IFERROR(EDATE($N1240,-3),"Invalid procurement method or date entered")</f>
        <v>Invalid procurement method or date entered</v>
      </c>
      <c r="N1240" s="199" t="str">
        <f t="shared" si="27"/>
        <v>Invalid procurement method or date entered</v>
      </c>
      <c r="O1240" s="182">
        <v>44470</v>
      </c>
      <c r="P1240" s="12">
        <v>60</v>
      </c>
      <c r="Q1240" s="12" t="s">
        <v>187</v>
      </c>
      <c r="R1240" s="59">
        <v>75000</v>
      </c>
      <c r="S1240" s="182" t="s">
        <v>176</v>
      </c>
      <c r="T1240" s="52" t="s">
        <v>62</v>
      </c>
      <c r="U1240" s="48" t="s">
        <v>67</v>
      </c>
      <c r="V1240" s="48"/>
      <c r="W1240" s="12" t="s">
        <v>2752</v>
      </c>
      <c r="X1240" s="1076" t="s">
        <v>94</v>
      </c>
      <c r="Y1240" s="1086" t="s">
        <v>40</v>
      </c>
      <c r="Z1240" s="80" t="s">
        <v>69</v>
      </c>
      <c r="AA1240" s="76" t="s">
        <v>38</v>
      </c>
      <c r="AB1240" s="354" t="s">
        <v>143</v>
      </c>
      <c r="AC1240" s="101" t="s">
        <v>4340</v>
      </c>
      <c r="AD1240" s="76" t="s">
        <v>127</v>
      </c>
      <c r="AE1240" s="211">
        <v>15000</v>
      </c>
    </row>
    <row r="1241" spans="1:31" ht="58">
      <c r="A1241" s="1184"/>
      <c r="B1241" s="362" t="s">
        <v>100</v>
      </c>
      <c r="C1241" s="362"/>
      <c r="D1241" s="8" t="s">
        <v>122</v>
      </c>
      <c r="E1241" s="8"/>
      <c r="F1241" s="8"/>
      <c r="G1241" s="8"/>
      <c r="H1241" s="8" t="s">
        <v>103</v>
      </c>
      <c r="I1241" s="8" t="s">
        <v>47</v>
      </c>
      <c r="J1241" s="16" t="s">
        <v>4341</v>
      </c>
      <c r="K1241" s="8"/>
      <c r="L1241" s="84">
        <v>12</v>
      </c>
      <c r="M1241" s="436">
        <f t="shared" ref="M1241:M1246" si="28">IFERROR(EDATE(N1241,-3),"Invalid procurement method or date entered")</f>
        <v>44013</v>
      </c>
      <c r="N1241" s="386">
        <f t="shared" si="27"/>
        <v>44105</v>
      </c>
      <c r="O1241" s="367">
        <v>44470</v>
      </c>
      <c r="P1241" s="369">
        <v>24</v>
      </c>
      <c r="Q1241" s="369">
        <v>24</v>
      </c>
      <c r="R1241" s="159">
        <v>600000</v>
      </c>
      <c r="S1241" s="159" t="s">
        <v>176</v>
      </c>
      <c r="T1241" s="365" t="s">
        <v>70</v>
      </c>
      <c r="U1241" s="388" t="s">
        <v>4342</v>
      </c>
      <c r="V1241" s="388"/>
      <c r="W1241" s="8" t="s">
        <v>4343</v>
      </c>
      <c r="X1241" s="101" t="s">
        <v>413</v>
      </c>
      <c r="Y1241" s="101" t="s">
        <v>727</v>
      </c>
      <c r="Z1241" s="101"/>
      <c r="AA1241" s="411" t="s">
        <v>87</v>
      </c>
      <c r="AB1241" s="1099" t="s">
        <v>70</v>
      </c>
      <c r="AC1241" s="432">
        <v>44469</v>
      </c>
      <c r="AD1241" s="432"/>
      <c r="AE1241" s="432"/>
    </row>
    <row r="1242" spans="1:31" ht="101.5">
      <c r="A1242" s="1184"/>
      <c r="B1242" s="362" t="s">
        <v>100</v>
      </c>
      <c r="C1242" s="389">
        <v>0</v>
      </c>
      <c r="D1242" s="8" t="s">
        <v>110</v>
      </c>
      <c r="E1242" s="8"/>
      <c r="F1242" s="8"/>
      <c r="G1242" s="8"/>
      <c r="H1242" s="8" t="s">
        <v>103</v>
      </c>
      <c r="I1242" s="8" t="s">
        <v>34</v>
      </c>
      <c r="J1242" s="16" t="s">
        <v>4344</v>
      </c>
      <c r="K1242" s="8"/>
      <c r="L1242" s="84">
        <v>12</v>
      </c>
      <c r="M1242" s="436">
        <f t="shared" si="28"/>
        <v>44013</v>
      </c>
      <c r="N1242" s="386">
        <f t="shared" si="27"/>
        <v>44105</v>
      </c>
      <c r="O1242" s="367">
        <v>44470</v>
      </c>
      <c r="P1242" s="71">
        <v>84</v>
      </c>
      <c r="Q1242" s="71" t="s">
        <v>1455</v>
      </c>
      <c r="R1242" s="159">
        <v>1727447.82</v>
      </c>
      <c r="S1242" s="5" t="s">
        <v>130</v>
      </c>
      <c r="T1242" s="365" t="s">
        <v>38</v>
      </c>
      <c r="U1242" s="365" t="s">
        <v>4345</v>
      </c>
      <c r="V1242" s="365"/>
      <c r="W1242" s="460" t="s">
        <v>3200</v>
      </c>
      <c r="X1242" s="101" t="s">
        <v>120</v>
      </c>
      <c r="Y1242" s="101" t="s">
        <v>758</v>
      </c>
      <c r="Z1242" s="101"/>
      <c r="AA1242" s="411" t="s">
        <v>87</v>
      </c>
      <c r="AB1242" s="1099" t="s">
        <v>70</v>
      </c>
      <c r="AC1242" s="432">
        <v>44358</v>
      </c>
      <c r="AD1242" s="432"/>
      <c r="AE1242" s="432"/>
    </row>
    <row r="1243" spans="1:31" ht="72.5">
      <c r="A1243" s="1184"/>
      <c r="B1243" s="362" t="s">
        <v>100</v>
      </c>
      <c r="C1243" s="364"/>
      <c r="D1243" s="8" t="s">
        <v>110</v>
      </c>
      <c r="E1243" s="8"/>
      <c r="F1243" s="8"/>
      <c r="G1243" s="8"/>
      <c r="H1243" s="8" t="s">
        <v>103</v>
      </c>
      <c r="I1243" s="8" t="s">
        <v>47</v>
      </c>
      <c r="J1243" s="16" t="s">
        <v>4346</v>
      </c>
      <c r="K1243" s="8"/>
      <c r="L1243" s="84">
        <v>12</v>
      </c>
      <c r="M1243" s="436">
        <f t="shared" si="28"/>
        <v>44013</v>
      </c>
      <c r="N1243" s="386">
        <f t="shared" si="27"/>
        <v>44105</v>
      </c>
      <c r="O1243" s="367">
        <v>44470</v>
      </c>
      <c r="P1243" s="368"/>
      <c r="Q1243" s="368"/>
      <c r="R1243" s="159">
        <v>65000</v>
      </c>
      <c r="S1243" s="159" t="s">
        <v>45</v>
      </c>
      <c r="T1243" s="357" t="s">
        <v>45</v>
      </c>
      <c r="U1243" s="357" t="s">
        <v>45</v>
      </c>
      <c r="V1243" s="357"/>
      <c r="W1243" s="8" t="s">
        <v>2883</v>
      </c>
      <c r="X1243" s="101" t="s">
        <v>4347</v>
      </c>
      <c r="Y1243" s="101" t="s">
        <v>115</v>
      </c>
      <c r="Z1243" s="101"/>
      <c r="AA1243" s="411" t="s">
        <v>4348</v>
      </c>
      <c r="AB1243" s="400" t="s">
        <v>38</v>
      </c>
      <c r="AC1243" s="432">
        <v>44243</v>
      </c>
      <c r="AD1243" s="432"/>
      <c r="AE1243" s="432"/>
    </row>
    <row r="1244" spans="1:31" ht="58">
      <c r="A1244" s="1191"/>
      <c r="B1244" s="362" t="s">
        <v>100</v>
      </c>
      <c r="C1244" s="362" t="s">
        <v>4349</v>
      </c>
      <c r="D1244" s="84" t="s">
        <v>110</v>
      </c>
      <c r="E1244" s="84"/>
      <c r="F1244" s="84"/>
      <c r="G1244" s="84"/>
      <c r="H1244" s="84" t="s">
        <v>103</v>
      </c>
      <c r="I1244" s="84" t="s">
        <v>47</v>
      </c>
      <c r="J1244" s="1586" t="s">
        <v>4350</v>
      </c>
      <c r="K1244" s="84"/>
      <c r="L1244" s="84">
        <v>12</v>
      </c>
      <c r="M1244" s="436">
        <f t="shared" si="28"/>
        <v>44013</v>
      </c>
      <c r="N1244" s="386">
        <f t="shared" si="27"/>
        <v>44105</v>
      </c>
      <c r="O1244" s="386">
        <v>44470</v>
      </c>
      <c r="P1244" s="454">
        <v>48</v>
      </c>
      <c r="Q1244" s="454" t="s">
        <v>258</v>
      </c>
      <c r="R1244" s="435">
        <v>403000</v>
      </c>
      <c r="S1244" s="435" t="s">
        <v>176</v>
      </c>
      <c r="T1244" s="365" t="s">
        <v>70</v>
      </c>
      <c r="U1244" s="365" t="s">
        <v>4351</v>
      </c>
      <c r="V1244" s="365"/>
      <c r="W1244" s="84" t="s">
        <v>3779</v>
      </c>
      <c r="X1244" s="495" t="s">
        <v>108</v>
      </c>
      <c r="Y1244" s="495" t="s">
        <v>115</v>
      </c>
      <c r="Z1244" s="495"/>
      <c r="AA1244" s="411" t="s">
        <v>69</v>
      </c>
      <c r="AB1244" s="1099" t="s">
        <v>70</v>
      </c>
      <c r="AC1244" s="437">
        <v>44539</v>
      </c>
      <c r="AD1244" s="437"/>
      <c r="AE1244" s="437"/>
    </row>
    <row r="1245" spans="1:31" ht="58">
      <c r="A1245" s="1184"/>
      <c r="B1245" s="200" t="s">
        <v>100</v>
      </c>
      <c r="C1245" s="200" t="s">
        <v>45</v>
      </c>
      <c r="D1245" s="187" t="s">
        <v>122</v>
      </c>
      <c r="E1245" s="187"/>
      <c r="F1245" s="187"/>
      <c r="G1245" s="187"/>
      <c r="H1245" s="989" t="s">
        <v>103</v>
      </c>
      <c r="I1245" s="989" t="s">
        <v>34</v>
      </c>
      <c r="J1245" s="989" t="s">
        <v>4352</v>
      </c>
      <c r="K1245" s="187"/>
      <c r="L1245" s="58">
        <v>12</v>
      </c>
      <c r="M1245" s="205">
        <f t="shared" si="28"/>
        <v>44013</v>
      </c>
      <c r="N1245" s="1752">
        <f t="shared" si="27"/>
        <v>44105</v>
      </c>
      <c r="O1245" s="1006">
        <v>44470</v>
      </c>
      <c r="P1245" s="1785" t="s">
        <v>589</v>
      </c>
      <c r="Q1245" s="1785" t="s">
        <v>589</v>
      </c>
      <c r="R1245" s="1038">
        <v>204833</v>
      </c>
      <c r="S1245" s="1038" t="s">
        <v>45</v>
      </c>
      <c r="T1245" s="1848" t="s">
        <v>70</v>
      </c>
      <c r="U1245" s="1851">
        <v>44208</v>
      </c>
      <c r="V1245" s="1851"/>
      <c r="W1245" s="187" t="s">
        <v>4343</v>
      </c>
      <c r="X1245" s="111" t="s">
        <v>120</v>
      </c>
      <c r="Y1245" s="111" t="s">
        <v>727</v>
      </c>
      <c r="Z1245" s="111"/>
      <c r="AA1245" s="1091" t="s">
        <v>87</v>
      </c>
      <c r="AB1245" s="1101" t="s">
        <v>70</v>
      </c>
      <c r="AC1245" s="432">
        <v>44638</v>
      </c>
      <c r="AD1245" s="432"/>
      <c r="AE1245" s="432"/>
    </row>
    <row r="1246" spans="1:31" ht="58">
      <c r="A1246" s="1184"/>
      <c r="B1246" s="200" t="s">
        <v>100</v>
      </c>
      <c r="C1246" s="200" t="s">
        <v>45</v>
      </c>
      <c r="D1246" s="8" t="s">
        <v>122</v>
      </c>
      <c r="E1246" s="8"/>
      <c r="F1246" s="8"/>
      <c r="G1246" s="8"/>
      <c r="H1246" s="16" t="s">
        <v>103</v>
      </c>
      <c r="I1246" s="16" t="s">
        <v>34</v>
      </c>
      <c r="J1246" s="16" t="s">
        <v>4353</v>
      </c>
      <c r="K1246" s="8"/>
      <c r="L1246" s="5">
        <v>12</v>
      </c>
      <c r="M1246" s="199">
        <f t="shared" si="28"/>
        <v>44013</v>
      </c>
      <c r="N1246" s="149">
        <f t="shared" si="27"/>
        <v>44105</v>
      </c>
      <c r="O1246" s="367">
        <v>44470</v>
      </c>
      <c r="P1246" s="369">
        <v>84</v>
      </c>
      <c r="Q1246" s="369" t="s">
        <v>4354</v>
      </c>
      <c r="R1246" s="159">
        <v>9763789</v>
      </c>
      <c r="S1246" s="159" t="s">
        <v>130</v>
      </c>
      <c r="T1246" s="395" t="s">
        <v>70</v>
      </c>
      <c r="U1246" s="393" t="s">
        <v>4355</v>
      </c>
      <c r="V1246" s="393"/>
      <c r="W1246" s="8" t="s">
        <v>4343</v>
      </c>
      <c r="X1246" s="111" t="s">
        <v>120</v>
      </c>
      <c r="Y1246" s="111" t="s">
        <v>727</v>
      </c>
      <c r="Z1246" s="111"/>
      <c r="AA1246" s="1091" t="s">
        <v>87</v>
      </c>
      <c r="AB1246" s="1101" t="s">
        <v>70</v>
      </c>
      <c r="AC1246" s="432">
        <v>44638</v>
      </c>
      <c r="AD1246" s="432"/>
      <c r="AE1246" s="432"/>
    </row>
    <row r="1247" spans="1:31" ht="72.5">
      <c r="A1247" s="1184"/>
      <c r="B1247" s="2755" t="s">
        <v>44</v>
      </c>
      <c r="C1247" s="4" t="s">
        <v>45</v>
      </c>
      <c r="D1247" s="9" t="s">
        <v>57</v>
      </c>
      <c r="E1247" s="9"/>
      <c r="F1247" s="9"/>
      <c r="G1247" s="9"/>
      <c r="H1247" s="9" t="s">
        <v>46</v>
      </c>
      <c r="I1247" s="15" t="s">
        <v>47</v>
      </c>
      <c r="J1247" s="16" t="s">
        <v>4356</v>
      </c>
      <c r="K1247" s="16"/>
      <c r="L1247" s="5" t="e">
        <f>IF(OR(S1247=#REF!,S1247=#REF!,S1247=#REF!,S1247=#REF!,S1247=#REF!,S1247=#REF!,S1247=#REF!,S1247=#REF!),12,IF(OR(S1247=#REF!,S1247=#REF!,S1247=#REF!,S1247=#REF!,S1247=#REF!,S1247=#REF!,S1247=#REF!),3,IF(S1247=#REF!,1,IF(S1247=#REF!,18,IF(OR(S1247=#REF!,S1247=#REF!,S1247=#REF!,S1247=#REF!,S1247=#REF!),14,"Invalid proposed procurement method")))))</f>
        <v>#REF!</v>
      </c>
      <c r="M1247" s="199" t="str">
        <f>IFERROR(EDATE($N1247,-3),"Invalid procurement method or date entered")</f>
        <v>Invalid procurement method or date entered</v>
      </c>
      <c r="N1247" s="199" t="str">
        <f t="shared" si="27"/>
        <v>Invalid procurement method or date entered</v>
      </c>
      <c r="O1247" s="182">
        <v>44470</v>
      </c>
      <c r="P1247" s="12">
        <v>12</v>
      </c>
      <c r="Q1247" s="12">
        <v>12</v>
      </c>
      <c r="R1247" s="95">
        <v>145000</v>
      </c>
      <c r="S1247" s="5" t="s">
        <v>75</v>
      </c>
      <c r="T1247" s="53" t="s">
        <v>310</v>
      </c>
      <c r="U1247" s="53">
        <v>43739</v>
      </c>
      <c r="V1247" s="53"/>
      <c r="W1247" s="5" t="s">
        <v>4357</v>
      </c>
      <c r="X1247" s="1076" t="s">
        <v>94</v>
      </c>
      <c r="Y1247" s="80" t="s">
        <v>115</v>
      </c>
      <c r="Z1247" s="80" t="s">
        <v>69</v>
      </c>
      <c r="AA1247" s="80" t="s">
        <v>70</v>
      </c>
      <c r="AB1247" s="354">
        <v>44664</v>
      </c>
      <c r="AC1247" s="1111" t="s">
        <v>4358</v>
      </c>
      <c r="AD1247" s="76" t="s">
        <v>46</v>
      </c>
      <c r="AE1247" s="211">
        <v>145000</v>
      </c>
    </row>
    <row r="1248" spans="1:31" ht="37.5">
      <c r="A1248" s="1119"/>
      <c r="B1248" s="577" t="s">
        <v>56</v>
      </c>
      <c r="C1248" s="511" t="s">
        <v>60</v>
      </c>
      <c r="D1248" s="511" t="s">
        <v>57</v>
      </c>
      <c r="E1248" s="511"/>
      <c r="F1248" s="511"/>
      <c r="G1248" s="511"/>
      <c r="H1248" s="511" t="s">
        <v>58</v>
      </c>
      <c r="I1248" s="519" t="s">
        <v>47</v>
      </c>
      <c r="J1248" s="1578" t="s">
        <v>4359</v>
      </c>
      <c r="K1248" s="512"/>
      <c r="L1248" s="511">
        <v>3</v>
      </c>
      <c r="M1248" s="514">
        <f>IF(O1248="tbc","",(IFERROR(EDATE($N1248,-3),"Invalid procurement method or date entered")))</f>
        <v>44287</v>
      </c>
      <c r="N1248" s="514">
        <f>IF(O1248="tbc","",(IFERROR(EDATE(O1248,-L1248),"Invalid procurement method or date entered")))</f>
        <v>44378</v>
      </c>
      <c r="O1248" s="515">
        <v>44470</v>
      </c>
      <c r="P1248" s="516" t="s">
        <v>60</v>
      </c>
      <c r="Q1248" s="519" t="s">
        <v>60</v>
      </c>
      <c r="R1248" s="528">
        <v>25000</v>
      </c>
      <c r="S1248" s="515" t="s">
        <v>176</v>
      </c>
      <c r="T1248" s="515" t="s">
        <v>62</v>
      </c>
      <c r="U1248" s="511" t="s">
        <v>60</v>
      </c>
      <c r="V1248" s="511"/>
      <c r="W1248" s="511"/>
    </row>
    <row r="1249" spans="1:32" ht="37.5">
      <c r="A1249" s="1119"/>
      <c r="B1249" s="577" t="s">
        <v>56</v>
      </c>
      <c r="C1249" s="510" t="s">
        <v>4360</v>
      </c>
      <c r="D1249" s="511" t="s">
        <v>57</v>
      </c>
      <c r="E1249" s="511"/>
      <c r="F1249" s="511"/>
      <c r="G1249" s="511"/>
      <c r="H1249" s="511" t="s">
        <v>58</v>
      </c>
      <c r="I1249" s="519" t="s">
        <v>47</v>
      </c>
      <c r="J1249" s="606" t="s">
        <v>4361</v>
      </c>
      <c r="K1249" s="529"/>
      <c r="L1249" s="511">
        <v>1</v>
      </c>
      <c r="M1249" s="514">
        <f>IF(O1249="tbc","",(IFERROR(EDATE($N1249,-3),"Invalid procurement method or date entered")))</f>
        <v>44348</v>
      </c>
      <c r="N1249" s="514">
        <f>IF(O1249="tbc","",(IFERROR(EDATE(O1249,-L1249),"Invalid procurement method or date entered")))</f>
        <v>44440</v>
      </c>
      <c r="O1249" s="514">
        <v>44470</v>
      </c>
      <c r="P1249" s="536" t="s">
        <v>60</v>
      </c>
      <c r="Q1249" s="536" t="s">
        <v>60</v>
      </c>
      <c r="R1249" s="538">
        <v>75000</v>
      </c>
      <c r="S1249" s="536" t="s">
        <v>176</v>
      </c>
      <c r="T1249" s="536" t="s">
        <v>62</v>
      </c>
      <c r="U1249" s="514">
        <v>43700</v>
      </c>
      <c r="V1249" s="514"/>
      <c r="W1249" s="569" t="s">
        <v>577</v>
      </c>
    </row>
    <row r="1250" spans="1:32" ht="50">
      <c r="A1250" s="1119"/>
      <c r="B1250" s="577" t="s">
        <v>56</v>
      </c>
      <c r="C1250" s="511" t="s">
        <v>60</v>
      </c>
      <c r="D1250" s="510" t="s">
        <v>56</v>
      </c>
      <c r="E1250" s="510"/>
      <c r="F1250" s="510"/>
      <c r="G1250" s="510"/>
      <c r="H1250" s="558" t="s">
        <v>348</v>
      </c>
      <c r="I1250" s="519" t="s">
        <v>47</v>
      </c>
      <c r="J1250" s="1578" t="s">
        <v>4362</v>
      </c>
      <c r="K1250" s="990"/>
      <c r="L1250" s="511">
        <v>3</v>
      </c>
      <c r="M1250" s="514">
        <f>IF(O1250="tbc","",(IFERROR(EDATE($N1250,-3),"Invalid procurement method or date entered")))</f>
        <v>44287</v>
      </c>
      <c r="N1250" s="514">
        <f>IF(O1250="tbc","",(IFERROR(EDATE(O1250,-L1250),"Invalid procurement method or date entered")))</f>
        <v>44378</v>
      </c>
      <c r="O1250" s="515">
        <v>44470</v>
      </c>
      <c r="P1250" s="516" t="s">
        <v>60</v>
      </c>
      <c r="Q1250" s="519" t="s">
        <v>60</v>
      </c>
      <c r="R1250" s="528">
        <v>650000</v>
      </c>
      <c r="S1250" s="515" t="s">
        <v>61</v>
      </c>
      <c r="T1250" s="515" t="s">
        <v>62</v>
      </c>
      <c r="U1250" s="511" t="s">
        <v>60</v>
      </c>
      <c r="V1250" s="511"/>
      <c r="W1250" s="511"/>
    </row>
    <row r="1251" spans="1:32" ht="137.5">
      <c r="A1251" s="1119"/>
      <c r="B1251" s="577" t="s">
        <v>56</v>
      </c>
      <c r="C1251" s="568" t="s">
        <v>4363</v>
      </c>
      <c r="D1251" s="568" t="s">
        <v>56</v>
      </c>
      <c r="E1251" s="568"/>
      <c r="F1251" s="568"/>
      <c r="G1251" s="568"/>
      <c r="H1251" s="569" t="s">
        <v>348</v>
      </c>
      <c r="I1251" s="568" t="s">
        <v>47</v>
      </c>
      <c r="J1251" s="1595" t="s">
        <v>4364</v>
      </c>
      <c r="K1251" s="991"/>
      <c r="L1251" s="569">
        <v>3</v>
      </c>
      <c r="M1251" s="571">
        <f>IF(O1251="tbc","",(IFERROR(EDATE($N1251,-3),"Invalid procurement method or date entered")))</f>
        <v>44287</v>
      </c>
      <c r="N1251" s="571">
        <f>IF(O1251="tbc","",(IFERROR(EDATE(O1251,-L1251),"Invalid procurement method or date entered")))</f>
        <v>44378</v>
      </c>
      <c r="O1251" s="572">
        <v>44470</v>
      </c>
      <c r="P1251" s="573" t="s">
        <v>60</v>
      </c>
      <c r="Q1251" s="573" t="s">
        <v>60</v>
      </c>
      <c r="R1251" s="574">
        <v>176000</v>
      </c>
      <c r="S1251" s="575" t="s">
        <v>61</v>
      </c>
      <c r="T1251" s="575" t="s">
        <v>62</v>
      </c>
      <c r="U1251" s="575" t="s">
        <v>60</v>
      </c>
      <c r="V1251" s="575"/>
      <c r="W1251" s="568" t="s">
        <v>3935</v>
      </c>
    </row>
    <row r="1252" spans="1:32" ht="50">
      <c r="A1252" s="1119"/>
      <c r="B1252" s="577" t="s">
        <v>56</v>
      </c>
      <c r="C1252" s="510" t="s">
        <v>4365</v>
      </c>
      <c r="D1252" s="540" t="s">
        <v>32</v>
      </c>
      <c r="E1252" s="540"/>
      <c r="F1252" s="540"/>
      <c r="G1252" s="540"/>
      <c r="H1252" s="540" t="s">
        <v>308</v>
      </c>
      <c r="I1252" s="543" t="s">
        <v>47</v>
      </c>
      <c r="J1252" s="1600" t="s">
        <v>4366</v>
      </c>
      <c r="K1252" s="1724"/>
      <c r="L1252" s="540">
        <v>12</v>
      </c>
      <c r="M1252" s="541">
        <f>IF(O1252="tbc","",(IFERROR(EDATE($N1252,-3),"Invalid procurement method or date entered")))</f>
        <v>44013</v>
      </c>
      <c r="N1252" s="541">
        <f>IF(O1252="tbc","",(IFERROR(EDATE(O1252,-L1252),"Invalid procurement method or date entered")))</f>
        <v>44105</v>
      </c>
      <c r="O1252" s="542">
        <v>44470</v>
      </c>
      <c r="P1252" s="626">
        <v>12</v>
      </c>
      <c r="Q1252" s="626">
        <v>12</v>
      </c>
      <c r="R1252" s="1005">
        <f>150000+330000+170000</f>
        <v>650000</v>
      </c>
      <c r="S1252" s="515" t="s">
        <v>75</v>
      </c>
      <c r="T1252" s="542" t="s">
        <v>310</v>
      </c>
      <c r="U1252" s="515" t="s">
        <v>60</v>
      </c>
      <c r="V1252" s="542"/>
      <c r="W1252" s="1860" t="s">
        <v>577</v>
      </c>
    </row>
    <row r="1253" spans="1:32" ht="39">
      <c r="A1253" s="911" t="s">
        <v>71</v>
      </c>
      <c r="B1253" s="695" t="s">
        <v>44</v>
      </c>
      <c r="C1253" s="738" t="s">
        <v>45</v>
      </c>
      <c r="D1253" s="808" t="s">
        <v>32</v>
      </c>
      <c r="E1253" s="730" t="s">
        <v>449</v>
      </c>
      <c r="F1253" s="710" t="s">
        <v>1067</v>
      </c>
      <c r="G1253" s="808" t="s">
        <v>1406</v>
      </c>
      <c r="H1253" s="710" t="s">
        <v>33</v>
      </c>
      <c r="I1253" s="710" t="s">
        <v>47</v>
      </c>
      <c r="J1253" s="1608" t="s">
        <v>1771</v>
      </c>
      <c r="K1253" s="710"/>
      <c r="L1253" s="710">
        <v>1</v>
      </c>
      <c r="M1253" s="769">
        <f>IFERROR(EDATE($N1253,-3),"Invalid procurement method or date entered")</f>
        <v>44348</v>
      </c>
      <c r="N1253" s="769">
        <f>IFERROR(EDATE(O1253,-L1253),"Invalid procurement method or date entered")</f>
        <v>44440</v>
      </c>
      <c r="O1253" s="947">
        <v>44470</v>
      </c>
      <c r="P1253" s="738">
        <v>12</v>
      </c>
      <c r="Q1253" s="903" t="s">
        <v>50</v>
      </c>
      <c r="R1253" s="772">
        <v>1600</v>
      </c>
      <c r="S1253" s="710" t="s">
        <v>84</v>
      </c>
      <c r="T1253" s="710" t="s">
        <v>38</v>
      </c>
      <c r="U1253" s="770" t="s">
        <v>67</v>
      </c>
      <c r="V1253" s="770"/>
      <c r="W1253" s="710" t="s">
        <v>2635</v>
      </c>
      <c r="X1253" s="843" t="s">
        <v>289</v>
      </c>
      <c r="Y1253" s="843" t="s">
        <v>115</v>
      </c>
      <c r="Z1253" s="843" t="s">
        <v>154</v>
      </c>
      <c r="AA1253" s="843" t="s">
        <v>38</v>
      </c>
      <c r="AB1253" s="1499" t="s">
        <v>71</v>
      </c>
      <c r="AC1253" s="945" t="s">
        <v>4367</v>
      </c>
      <c r="AD1253" s="798" t="s">
        <v>96</v>
      </c>
      <c r="AE1253" s="912"/>
      <c r="AF1253" s="908"/>
    </row>
    <row r="1254" spans="1:32">
      <c r="A1254" s="1648">
        <v>44974</v>
      </c>
      <c r="B1254" s="1655" t="s">
        <v>1168</v>
      </c>
      <c r="C1254" s="1664" t="s">
        <v>4368</v>
      </c>
      <c r="D1254" s="1664" t="s">
        <v>1178</v>
      </c>
      <c r="E1254" s="1655" t="s">
        <v>1168</v>
      </c>
      <c r="F1254" s="1655" t="s">
        <v>1170</v>
      </c>
      <c r="G1254" s="1655" t="s">
        <v>1170</v>
      </c>
      <c r="H1254" s="1655" t="s">
        <v>1170</v>
      </c>
      <c r="I1254" s="1655" t="s">
        <v>1170</v>
      </c>
      <c r="J1254" s="1698" t="s">
        <v>4369</v>
      </c>
      <c r="K1254" s="1664" t="s">
        <v>4370</v>
      </c>
      <c r="L1254" s="1655" t="s">
        <v>1170</v>
      </c>
      <c r="M1254" s="1655" t="s">
        <v>1170</v>
      </c>
      <c r="N1254" s="1655" t="s">
        <v>1170</v>
      </c>
      <c r="O1254" s="1755">
        <v>44470</v>
      </c>
      <c r="P1254" s="1755">
        <v>44834</v>
      </c>
      <c r="Q1254" s="1755">
        <v>45199</v>
      </c>
      <c r="R1254" s="1805">
        <v>9150</v>
      </c>
      <c r="S1254" s="1664" t="s">
        <v>3912</v>
      </c>
      <c r="T1254" s="1655" t="s">
        <v>1170</v>
      </c>
      <c r="U1254" s="1655" t="s">
        <v>1170</v>
      </c>
      <c r="V1254" s="1655"/>
      <c r="W1254" s="1664" t="s">
        <v>4306</v>
      </c>
      <c r="X1254" s="1723" t="s">
        <v>1175</v>
      </c>
      <c r="Y1254" s="1723" t="s">
        <v>251</v>
      </c>
      <c r="Z1254" s="1657" t="s">
        <v>1170</v>
      </c>
      <c r="AA1254" s="1657" t="s">
        <v>1170</v>
      </c>
      <c r="AB1254" s="1657" t="s">
        <v>1170</v>
      </c>
      <c r="AC1254" s="909" t="s">
        <v>4371</v>
      </c>
      <c r="AD1254" s="1657" t="s">
        <v>1170</v>
      </c>
      <c r="AE1254" s="1828">
        <v>9150</v>
      </c>
    </row>
    <row r="1255" spans="1:32">
      <c r="A1255" s="1648">
        <v>44974</v>
      </c>
      <c r="B1255" s="1655" t="s">
        <v>1168</v>
      </c>
      <c r="C1255" s="1664" t="s">
        <v>4368</v>
      </c>
      <c r="D1255" s="1664" t="s">
        <v>1178</v>
      </c>
      <c r="E1255" s="1655" t="s">
        <v>1168</v>
      </c>
      <c r="F1255" s="1655" t="s">
        <v>1170</v>
      </c>
      <c r="G1255" s="1655" t="s">
        <v>1170</v>
      </c>
      <c r="H1255" s="1655" t="s">
        <v>1170</v>
      </c>
      <c r="I1255" s="1655" t="s">
        <v>1170</v>
      </c>
      <c r="J1255" s="1698" t="s">
        <v>4369</v>
      </c>
      <c r="K1255" s="1664" t="s">
        <v>4370</v>
      </c>
      <c r="L1255" s="1655" t="s">
        <v>1170</v>
      </c>
      <c r="M1255" s="1655" t="s">
        <v>1170</v>
      </c>
      <c r="N1255" s="1655" t="s">
        <v>1170</v>
      </c>
      <c r="O1255" s="1755">
        <v>44470</v>
      </c>
      <c r="P1255" s="1755">
        <v>45199</v>
      </c>
      <c r="Q1255" s="1755">
        <v>45199</v>
      </c>
      <c r="R1255" s="1805">
        <v>9150</v>
      </c>
      <c r="S1255" s="1664" t="s">
        <v>3912</v>
      </c>
      <c r="T1255" s="1655" t="s">
        <v>1170</v>
      </c>
      <c r="U1255" s="1655" t="s">
        <v>1170</v>
      </c>
      <c r="V1255" s="1655"/>
      <c r="W1255" s="1664" t="s">
        <v>4372</v>
      </c>
      <c r="X1255" s="1723" t="s">
        <v>1175</v>
      </c>
      <c r="Y1255" s="1723" t="s">
        <v>251</v>
      </c>
      <c r="Z1255" s="1657" t="s">
        <v>1170</v>
      </c>
      <c r="AA1255" s="1657" t="s">
        <v>1170</v>
      </c>
      <c r="AB1255" s="1657" t="s">
        <v>1170</v>
      </c>
      <c r="AC1255" s="909" t="s">
        <v>4373</v>
      </c>
      <c r="AD1255" s="1657" t="s">
        <v>1170</v>
      </c>
      <c r="AE1255" s="1828">
        <v>9150</v>
      </c>
    </row>
    <row r="1256" spans="1:32" ht="50">
      <c r="A1256" s="1119"/>
      <c r="B1256" s="577" t="s">
        <v>56</v>
      </c>
      <c r="C1256" s="510" t="s">
        <v>4374</v>
      </c>
      <c r="D1256" s="510" t="s">
        <v>56</v>
      </c>
      <c r="E1256" s="510"/>
      <c r="F1256" s="510"/>
      <c r="G1256" s="510"/>
      <c r="H1256" s="558" t="s">
        <v>348</v>
      </c>
      <c r="I1256" s="519" t="s">
        <v>47</v>
      </c>
      <c r="J1256" s="1578" t="s">
        <v>4375</v>
      </c>
      <c r="K1256" s="990"/>
      <c r="L1256" s="511">
        <v>3</v>
      </c>
      <c r="M1256" s="514">
        <f>IF(O1256="tbc","",(IFERROR(EDATE($N1256,-3),"Invalid procurement method or date entered")))</f>
        <v>44290</v>
      </c>
      <c r="N1256" s="514">
        <f>IF(O1256="tbc","",(IFERROR(EDATE(O1256,-L1256),"Invalid procurement method or date entered")))</f>
        <v>44381</v>
      </c>
      <c r="O1256" s="515">
        <v>44473</v>
      </c>
      <c r="P1256" s="516" t="s">
        <v>60</v>
      </c>
      <c r="Q1256" s="528" t="s">
        <v>60</v>
      </c>
      <c r="R1256" s="528">
        <v>100000</v>
      </c>
      <c r="S1256" s="515" t="s">
        <v>75</v>
      </c>
      <c r="T1256" s="515" t="s">
        <v>62</v>
      </c>
      <c r="U1256" s="511" t="s">
        <v>60</v>
      </c>
      <c r="V1256" s="511"/>
      <c r="W1256" s="510" t="s">
        <v>60</v>
      </c>
    </row>
    <row r="1257" spans="1:32" ht="72.5">
      <c r="A1257" s="1184"/>
      <c r="B1257" s="2755" t="s">
        <v>44</v>
      </c>
      <c r="C1257" s="4" t="s">
        <v>4376</v>
      </c>
      <c r="D1257" s="9" t="s">
        <v>32</v>
      </c>
      <c r="E1257" s="9"/>
      <c r="F1257" s="9"/>
      <c r="G1257" s="9"/>
      <c r="H1257" s="5" t="s">
        <v>46</v>
      </c>
      <c r="I1257" s="5" t="s">
        <v>47</v>
      </c>
      <c r="J1257" s="16" t="s">
        <v>4377</v>
      </c>
      <c r="K1257" s="8"/>
      <c r="L1257" s="5" t="e">
        <f>IF(OR(S1257=#REF!,S1257=#REF!,S1257=#REF!,S1257=#REF!,S1257=#REF!,S1257=#REF!,S1257=#REF!,S1257=#REF!),12,IF(OR(S1257=#REF!,S1257=#REF!,S1257=#REF!,S1257=#REF!,S1257=#REF!,S1257=#REF!,S1257=#REF!),3,IF(S1257=#REF!,1,IF(S1257=#REF!,18,IF(OR(S1257=#REF!,S1257=#REF!,S1257=#REF!,S1257=#REF!,S1257=#REF!),14,"Invalid proposed procurement method")))))</f>
        <v>#REF!</v>
      </c>
      <c r="M1257" s="199" t="str">
        <f>IFERROR(EDATE($N1257,-3),"Invalid procurement method or date entered")</f>
        <v>Invalid procurement method or date entered</v>
      </c>
      <c r="N1257" s="199" t="str">
        <f>IFERROR(EDATE(O1257,-L1257),"Invalid procurement method or date entered")</f>
        <v>Invalid procurement method or date entered</v>
      </c>
      <c r="O1257" s="199">
        <v>44477</v>
      </c>
      <c r="P1257" s="5">
        <v>84</v>
      </c>
      <c r="Q1257" s="7" t="s">
        <v>112</v>
      </c>
      <c r="R1257" s="18">
        <v>650000</v>
      </c>
      <c r="S1257" s="5" t="s">
        <v>158</v>
      </c>
      <c r="T1257" s="50" t="s">
        <v>62</v>
      </c>
      <c r="U1257" s="48" t="s">
        <v>71</v>
      </c>
      <c r="V1257" s="48"/>
      <c r="W1257" s="5" t="s">
        <v>4378</v>
      </c>
      <c r="X1257" s="80" t="s">
        <v>94</v>
      </c>
      <c r="Y1257" s="80" t="s">
        <v>40</v>
      </c>
      <c r="Z1257" s="80" t="s">
        <v>87</v>
      </c>
      <c r="AA1257" s="80" t="s">
        <v>70</v>
      </c>
      <c r="AB1257" s="354" t="s">
        <v>88</v>
      </c>
      <c r="AC1257" s="101" t="s">
        <v>4379</v>
      </c>
      <c r="AD1257" s="76" t="s">
        <v>127</v>
      </c>
      <c r="AE1257" s="211">
        <v>92857</v>
      </c>
    </row>
    <row r="1258" spans="1:32">
      <c r="A1258" s="1648">
        <v>44974</v>
      </c>
      <c r="B1258" s="1655" t="s">
        <v>1168</v>
      </c>
      <c r="C1258" s="1664" t="s">
        <v>1222</v>
      </c>
      <c r="D1258" s="1664" t="s">
        <v>1169</v>
      </c>
      <c r="E1258" s="1655" t="s">
        <v>1168</v>
      </c>
      <c r="F1258" s="1655" t="s">
        <v>1170</v>
      </c>
      <c r="G1258" s="1655" t="s">
        <v>1170</v>
      </c>
      <c r="H1258" s="1655" t="s">
        <v>1170</v>
      </c>
      <c r="I1258" s="1655" t="s">
        <v>1170</v>
      </c>
      <c r="J1258" s="1698" t="s">
        <v>1223</v>
      </c>
      <c r="K1258" s="1664" t="s">
        <v>1224</v>
      </c>
      <c r="L1258" s="1655" t="s">
        <v>1170</v>
      </c>
      <c r="M1258" s="1655" t="s">
        <v>1170</v>
      </c>
      <c r="N1258" s="1655" t="s">
        <v>1170</v>
      </c>
      <c r="O1258" s="1755">
        <v>44477</v>
      </c>
      <c r="P1258" s="1755">
        <v>44841</v>
      </c>
      <c r="Q1258" s="1755">
        <v>45206</v>
      </c>
      <c r="R1258" s="1805">
        <v>14970</v>
      </c>
      <c r="S1258" s="1664" t="s">
        <v>1816</v>
      </c>
      <c r="T1258" s="1655" t="s">
        <v>1170</v>
      </c>
      <c r="U1258" s="1655" t="s">
        <v>1170</v>
      </c>
      <c r="V1258" s="1655"/>
      <c r="W1258" s="1664" t="s">
        <v>1174</v>
      </c>
      <c r="X1258" s="1723" t="s">
        <v>1175</v>
      </c>
      <c r="Y1258" s="1723" t="s">
        <v>251</v>
      </c>
      <c r="Z1258" s="1657" t="s">
        <v>1170</v>
      </c>
      <c r="AA1258" s="1657" t="s">
        <v>1170</v>
      </c>
      <c r="AB1258" s="1657" t="s">
        <v>1170</v>
      </c>
      <c r="AC1258" s="909" t="s">
        <v>4380</v>
      </c>
      <c r="AD1258" s="1657" t="s">
        <v>1170</v>
      </c>
      <c r="AE1258" s="1828">
        <v>14970</v>
      </c>
    </row>
    <row r="1259" spans="1:32" ht="87">
      <c r="A1259" s="1119"/>
      <c r="B1259" s="338"/>
      <c r="C1259" s="4" t="s">
        <v>45</v>
      </c>
      <c r="D1259" s="9" t="s">
        <v>32</v>
      </c>
      <c r="E1259" s="9"/>
      <c r="F1259" s="9"/>
      <c r="G1259" s="9"/>
      <c r="H1259" s="5" t="s">
        <v>65</v>
      </c>
      <c r="I1259" s="5" t="s">
        <v>34</v>
      </c>
      <c r="J1259" s="16" t="s">
        <v>4381</v>
      </c>
      <c r="K1259" s="16"/>
      <c r="L1259" s="5" t="e">
        <f>IF(OR(S1259=#REF!,S1259=#REF!,S1259=#REF!,S1259=#REF!,S1259=#REF!,S1259=#REF!,S1259=#REF!,S1259=#REF!),12,IF(OR(S1259=#REF!,S1259=#REF!,S1259=#REF!,S1259=#REF!,S1259=#REF!,S1259=#REF!,S1259=#REF!),3,IF(S1259=#REF!,1,IF(S1259=#REF!,18,IF(OR(S1259=#REF!,S1259=#REF!,S1259=#REF!,S1259=#REF!,S1259=#REF!),14,"Invalid proposed procurement method")))))</f>
        <v>#REF!</v>
      </c>
      <c r="M1259" s="199" t="str">
        <f>IFERROR(EDATE($N1259,-3),"Invalid procurement method or date entered")</f>
        <v>Invalid procurement method or date entered</v>
      </c>
      <c r="N1259" s="199" t="str">
        <f>IFERROR(EDATE(O1259,-L1259),"Invalid procurement method or date entered")</f>
        <v>Invalid procurement method or date entered</v>
      </c>
      <c r="O1259" s="199">
        <v>44479</v>
      </c>
      <c r="P1259" s="5">
        <v>120</v>
      </c>
      <c r="Q1259" s="5" t="s">
        <v>4382</v>
      </c>
      <c r="R1259" s="18">
        <v>130000</v>
      </c>
      <c r="S1259" s="5" t="s">
        <v>91</v>
      </c>
      <c r="T1259" s="51" t="s">
        <v>62</v>
      </c>
      <c r="U1259" s="51" t="s">
        <v>67</v>
      </c>
      <c r="V1259" s="51"/>
      <c r="W1259" s="5" t="s">
        <v>379</v>
      </c>
      <c r="X1259" s="80" t="s">
        <v>39</v>
      </c>
      <c r="Y1259" s="80" t="s">
        <v>40</v>
      </c>
      <c r="Z1259" s="80"/>
      <c r="AA1259" s="80" t="s">
        <v>70</v>
      </c>
      <c r="AB1259" s="354" t="s">
        <v>132</v>
      </c>
      <c r="AC1259" s="101" t="s">
        <v>4383</v>
      </c>
      <c r="AD1259" s="76" t="s">
        <v>73</v>
      </c>
      <c r="AE1259" s="211">
        <v>13000</v>
      </c>
    </row>
    <row r="1260" spans="1:32">
      <c r="A1260" s="1648">
        <v>44974</v>
      </c>
      <c r="B1260" s="1655" t="s">
        <v>1168</v>
      </c>
      <c r="C1260" s="1664" t="s">
        <v>4384</v>
      </c>
      <c r="D1260" s="1664" t="s">
        <v>2054</v>
      </c>
      <c r="E1260" s="1655" t="s">
        <v>1168</v>
      </c>
      <c r="F1260" s="1655" t="s">
        <v>1170</v>
      </c>
      <c r="G1260" s="1655" t="s">
        <v>1170</v>
      </c>
      <c r="H1260" s="1655" t="s">
        <v>1170</v>
      </c>
      <c r="I1260" s="1655" t="s">
        <v>1170</v>
      </c>
      <c r="J1260" s="1698" t="s">
        <v>4385</v>
      </c>
      <c r="K1260" s="1664" t="s">
        <v>4386</v>
      </c>
      <c r="L1260" s="1655" t="s">
        <v>1170</v>
      </c>
      <c r="M1260" s="1655" t="s">
        <v>1170</v>
      </c>
      <c r="N1260" s="1655" t="s">
        <v>1170</v>
      </c>
      <c r="O1260" s="1755">
        <v>44480</v>
      </c>
      <c r="P1260" s="1755">
        <v>44561</v>
      </c>
      <c r="Q1260" s="1664" t="s">
        <v>589</v>
      </c>
      <c r="R1260" s="1805">
        <v>35000</v>
      </c>
      <c r="S1260" s="1664" t="s">
        <v>2086</v>
      </c>
      <c r="T1260" s="1655" t="s">
        <v>1170</v>
      </c>
      <c r="U1260" s="1655" t="s">
        <v>1170</v>
      </c>
      <c r="V1260" s="1655"/>
      <c r="W1260" s="1664" t="s">
        <v>4306</v>
      </c>
      <c r="X1260" s="1723" t="s">
        <v>1175</v>
      </c>
      <c r="Y1260" s="1723" t="s">
        <v>251</v>
      </c>
      <c r="Z1260" s="1657" t="s">
        <v>1170</v>
      </c>
      <c r="AA1260" s="1657" t="s">
        <v>1170</v>
      </c>
      <c r="AB1260" s="1657" t="s">
        <v>1170</v>
      </c>
      <c r="AC1260" s="909" t="s">
        <v>4387</v>
      </c>
      <c r="AD1260" s="1657" t="s">
        <v>1170</v>
      </c>
      <c r="AE1260" s="1828">
        <v>35000</v>
      </c>
    </row>
    <row r="1261" spans="1:32" ht="25">
      <c r="A1261" s="1119"/>
      <c r="B1261" s="577" t="s">
        <v>56</v>
      </c>
      <c r="C1261" s="510" t="s">
        <v>4388</v>
      </c>
      <c r="D1261" s="510" t="s">
        <v>56</v>
      </c>
      <c r="E1261" s="510"/>
      <c r="F1261" s="510"/>
      <c r="G1261" s="510"/>
      <c r="H1261" s="511" t="s">
        <v>57</v>
      </c>
      <c r="I1261" s="519" t="s">
        <v>47</v>
      </c>
      <c r="J1261" s="608" t="s">
        <v>4389</v>
      </c>
      <c r="K1261" s="990"/>
      <c r="L1261" s="511">
        <v>6</v>
      </c>
      <c r="M1261" s="514">
        <f>IF(O1261="tbc","",(IFERROR(EDATE($N1261,-3),"Invalid procurement method or date entered")))</f>
        <v>44212</v>
      </c>
      <c r="N1261" s="514">
        <f>IF(O1261="tbc","",(IFERROR(EDATE(O1261,-L1261),"Invalid procurement method or date entered")))</f>
        <v>44302</v>
      </c>
      <c r="O1261" s="515">
        <v>44485</v>
      </c>
      <c r="P1261" s="516">
        <v>48</v>
      </c>
      <c r="Q1261" s="516">
        <v>48</v>
      </c>
      <c r="R1261" s="528">
        <v>70000</v>
      </c>
      <c r="S1261" s="515" t="s">
        <v>176</v>
      </c>
      <c r="T1261" s="515" t="s">
        <v>62</v>
      </c>
      <c r="U1261" s="515" t="s">
        <v>60</v>
      </c>
      <c r="V1261" s="515"/>
      <c r="W1261" s="569" t="s">
        <v>532</v>
      </c>
    </row>
    <row r="1262" spans="1:32" ht="37.5">
      <c r="A1262" s="1119"/>
      <c r="B1262" s="577" t="s">
        <v>56</v>
      </c>
      <c r="C1262" s="673" t="s">
        <v>4390</v>
      </c>
      <c r="D1262" s="674" t="s">
        <v>57</v>
      </c>
      <c r="E1262" s="674"/>
      <c r="F1262" s="674"/>
      <c r="G1262" s="674"/>
      <c r="H1262" s="674" t="s">
        <v>58</v>
      </c>
      <c r="I1262" s="673" t="s">
        <v>47</v>
      </c>
      <c r="J1262" s="1597" t="s">
        <v>4391</v>
      </c>
      <c r="K1262" s="529"/>
      <c r="L1262" s="511">
        <v>3</v>
      </c>
      <c r="M1262" s="514">
        <f>IF(O1262="tbc","",(IFERROR(EDATE($N1262,-3),"Invalid procurement method or date entered")))</f>
        <v>44309</v>
      </c>
      <c r="N1262" s="514">
        <f>IF(O1262="tbc","",(IFERROR(EDATE(O1262,-L1262),"Invalid procurement method or date entered")))</f>
        <v>44400</v>
      </c>
      <c r="O1262" s="534">
        <v>44492</v>
      </c>
      <c r="P1262" s="535">
        <v>6</v>
      </c>
      <c r="Q1262" s="535">
        <v>6</v>
      </c>
      <c r="R1262" s="528">
        <v>700000</v>
      </c>
      <c r="S1262" s="515" t="s">
        <v>176</v>
      </c>
      <c r="T1262" s="515" t="s">
        <v>310</v>
      </c>
      <c r="U1262" s="515" t="s">
        <v>60</v>
      </c>
      <c r="V1262" s="515"/>
      <c r="W1262" s="394" t="s">
        <v>70</v>
      </c>
    </row>
    <row r="1263" spans="1:32" ht="65">
      <c r="A1263" s="911" t="s">
        <v>71</v>
      </c>
      <c r="B1263" s="695" t="s">
        <v>44</v>
      </c>
      <c r="C1263" s="738" t="s">
        <v>45</v>
      </c>
      <c r="D1263" s="808" t="s">
        <v>57</v>
      </c>
      <c r="E1263" s="730" t="s">
        <v>449</v>
      </c>
      <c r="F1263" s="730" t="s">
        <v>630</v>
      </c>
      <c r="G1263" s="808" t="s">
        <v>569</v>
      </c>
      <c r="H1263" s="710" t="s">
        <v>33</v>
      </c>
      <c r="I1263" s="710" t="s">
        <v>47</v>
      </c>
      <c r="J1263" s="709" t="s">
        <v>4392</v>
      </c>
      <c r="K1263" s="710" t="s">
        <v>4393</v>
      </c>
      <c r="L1263" s="710" t="e">
        <f>IF(OR(S1263=#REF!,S1263=#REF!,S1263=#REF!,S1263=#REF!,S1263=#REF!,S1263=#REF!,S1263=#REF!,S1263=#REF!),12,IF(OR(S1263=#REF!,S1263=#REF!,S1263=#REF!,S1263=#REF!,S1263=#REF!,S1263=#REF!,S1263=#REF!),3,IF(S1263=#REF!,1,IF(S1263=#REF!,18,IF(OR(S1263=#REF!,S1263=#REF!,S1263=#REF!,S1263=#REF!,S1263=#REF!),14,"Invalid proposed procurement method")))))</f>
        <v>#REF!</v>
      </c>
      <c r="M1263" s="769" t="str">
        <f>IFERROR(EDATE($N1263,-3),"Invalid procurement method or date entered")</f>
        <v>Invalid procurement method or date entered</v>
      </c>
      <c r="N1263" s="769" t="str">
        <f t="shared" ref="N1263:N1272" si="29">IFERROR(EDATE(O1263,-L1263),"Invalid procurement method or date entered")</f>
        <v>Invalid procurement method or date entered</v>
      </c>
      <c r="O1263" s="769">
        <v>44496</v>
      </c>
      <c r="P1263" s="738">
        <v>48</v>
      </c>
      <c r="Q1263" s="738">
        <v>48</v>
      </c>
      <c r="R1263" s="1030" t="s">
        <v>45</v>
      </c>
      <c r="S1263" s="801" t="s">
        <v>84</v>
      </c>
      <c r="T1263" s="744" t="s">
        <v>62</v>
      </c>
      <c r="U1263" s="738" t="s">
        <v>71</v>
      </c>
      <c r="V1263" s="738"/>
      <c r="W1263" s="710" t="s">
        <v>3123</v>
      </c>
      <c r="X1263" s="843" t="s">
        <v>254</v>
      </c>
      <c r="Y1263" s="843" t="s">
        <v>115</v>
      </c>
      <c r="Z1263" s="843" t="s">
        <v>87</v>
      </c>
      <c r="AA1263" s="843" t="s">
        <v>38</v>
      </c>
      <c r="AB1263" s="1499">
        <v>44973</v>
      </c>
      <c r="AC1263" s="945" t="s">
        <v>4394</v>
      </c>
      <c r="AD1263" s="843" t="s">
        <v>96</v>
      </c>
      <c r="AE1263" s="806"/>
      <c r="AF1263" s="906"/>
    </row>
    <row r="1264" spans="1:32" ht="43.5">
      <c r="A1264" s="2754"/>
      <c r="B1264" s="2755" t="s">
        <v>44</v>
      </c>
      <c r="C1264" s="4" t="s">
        <v>45</v>
      </c>
      <c r="D1264" s="9" t="s">
        <v>32</v>
      </c>
      <c r="E1264" s="9"/>
      <c r="F1264" s="9"/>
      <c r="G1264" s="9"/>
      <c r="H1264" s="5" t="s">
        <v>33</v>
      </c>
      <c r="I1264" s="5" t="s">
        <v>47</v>
      </c>
      <c r="J1264" s="1590" t="s">
        <v>605</v>
      </c>
      <c r="K1264" s="64"/>
      <c r="L1264" s="5">
        <v>6</v>
      </c>
      <c r="M1264" s="199">
        <f>IFERROR(EDATE($N1264,-3),"Invalid procurement method or date entered")</f>
        <v>44226</v>
      </c>
      <c r="N1264" s="199">
        <f t="shared" si="29"/>
        <v>44316</v>
      </c>
      <c r="O1264" s="182">
        <v>44500</v>
      </c>
      <c r="P1264" s="12">
        <v>12</v>
      </c>
      <c r="Q1264" s="7" t="s">
        <v>50</v>
      </c>
      <c r="R1264" s="18">
        <v>6747</v>
      </c>
      <c r="S1264" s="5" t="s">
        <v>37</v>
      </c>
      <c r="T1264" s="52" t="s">
        <v>38</v>
      </c>
      <c r="U1264" s="48" t="s">
        <v>67</v>
      </c>
      <c r="V1264" s="48"/>
      <c r="W1264" s="12" t="s">
        <v>262</v>
      </c>
      <c r="X1264" s="1076" t="s">
        <v>289</v>
      </c>
      <c r="Y1264" s="80" t="s">
        <v>727</v>
      </c>
      <c r="Z1264" s="80" t="s">
        <v>154</v>
      </c>
      <c r="AA1264" s="80" t="s">
        <v>38</v>
      </c>
      <c r="AB1264" s="354" t="s">
        <v>88</v>
      </c>
      <c r="AC1264" s="1111"/>
      <c r="AD1264" s="80" t="s">
        <v>264</v>
      </c>
      <c r="AE1264" s="211">
        <v>6747</v>
      </c>
    </row>
    <row r="1265" spans="1:31" ht="43.5">
      <c r="A1265" s="2756"/>
      <c r="B1265" s="2755" t="s">
        <v>44</v>
      </c>
      <c r="C1265" s="4" t="s">
        <v>45</v>
      </c>
      <c r="D1265" s="9" t="s">
        <v>32</v>
      </c>
      <c r="E1265" s="9"/>
      <c r="F1265" s="9"/>
      <c r="G1265" s="9"/>
      <c r="H1265" s="5" t="s">
        <v>33</v>
      </c>
      <c r="I1265" s="5" t="s">
        <v>47</v>
      </c>
      <c r="J1265" s="1590" t="s">
        <v>606</v>
      </c>
      <c r="K1265" s="64"/>
      <c r="L1265" s="5">
        <v>6</v>
      </c>
      <c r="M1265" s="199">
        <f>IFERROR(EDATE($N1265,-3),"Invalid procurement method or date entered")</f>
        <v>44226</v>
      </c>
      <c r="N1265" s="199">
        <f t="shared" si="29"/>
        <v>44316</v>
      </c>
      <c r="O1265" s="182">
        <v>44500</v>
      </c>
      <c r="P1265" s="12">
        <v>12</v>
      </c>
      <c r="Q1265" s="7" t="s">
        <v>50</v>
      </c>
      <c r="R1265" s="18">
        <v>9690</v>
      </c>
      <c r="S1265" s="5" t="s">
        <v>37</v>
      </c>
      <c r="T1265" s="52" t="s">
        <v>38</v>
      </c>
      <c r="U1265" s="48" t="s">
        <v>67</v>
      </c>
      <c r="V1265" s="48"/>
      <c r="W1265" s="12" t="s">
        <v>262</v>
      </c>
      <c r="X1265" s="1076" t="s">
        <v>289</v>
      </c>
      <c r="Y1265" s="80" t="s">
        <v>727</v>
      </c>
      <c r="Z1265" s="80" t="s">
        <v>154</v>
      </c>
      <c r="AA1265" s="80" t="s">
        <v>38</v>
      </c>
      <c r="AB1265" s="354" t="s">
        <v>88</v>
      </c>
      <c r="AC1265" s="1111"/>
      <c r="AD1265" s="80" t="s">
        <v>264</v>
      </c>
      <c r="AE1265" s="211">
        <v>9690</v>
      </c>
    </row>
    <row r="1266" spans="1:31" ht="116">
      <c r="A1266" s="1191"/>
      <c r="B1266" s="4"/>
      <c r="C1266" s="4" t="s">
        <v>45</v>
      </c>
      <c r="D1266" s="9" t="s">
        <v>57</v>
      </c>
      <c r="E1266" s="9"/>
      <c r="F1266" s="9"/>
      <c r="G1266" s="9"/>
      <c r="H1266" s="5" t="s">
        <v>33</v>
      </c>
      <c r="I1266" s="5" t="s">
        <v>34</v>
      </c>
      <c r="J1266" s="16" t="s">
        <v>432</v>
      </c>
      <c r="K1266" s="16"/>
      <c r="L1266" s="5" t="e">
        <f>IF(OR(S1266=#REF!,S1266=#REF!,S1266=#REF!,S1266=#REF!,S1266=#REF!,S1266=#REF!,S1266=#REF!,S1266=#REF!),12,IF(OR(S1266=#REF!,S1266=#REF!,S1266=#REF!,S1266=#REF!,S1266=#REF!,S1266=#REF!,S1266=#REF!),3,IF(S1266=#REF!,1,IF(S1266=#REF!,18,IF(OR(S1266=#REF!,S1266=#REF!,S1266=#REF!,S1266=#REF!,S1266=#REF!),14,"Invalid proposed procurement method")))))</f>
        <v>#REF!</v>
      </c>
      <c r="M1266" s="199" t="str">
        <f>IFERROR(EDATE($N1266,-3),"Invalid procurement method or date entered")</f>
        <v>Invalid procurement method or date entered</v>
      </c>
      <c r="N1266" s="199" t="str">
        <f t="shared" si="29"/>
        <v>Invalid procurement method or date entered</v>
      </c>
      <c r="O1266" s="182">
        <v>44501</v>
      </c>
      <c r="P1266" s="12">
        <v>60</v>
      </c>
      <c r="Q1266" s="5" t="s">
        <v>3624</v>
      </c>
      <c r="R1266" s="18">
        <v>231600</v>
      </c>
      <c r="S1266" s="5" t="s">
        <v>130</v>
      </c>
      <c r="T1266" s="52" t="s">
        <v>70</v>
      </c>
      <c r="U1266" s="48" t="s">
        <v>67</v>
      </c>
      <c r="V1266" s="48"/>
      <c r="W1266" s="5" t="s">
        <v>4395</v>
      </c>
      <c r="X1266" s="80" t="s">
        <v>561</v>
      </c>
      <c r="Y1266" s="80" t="s">
        <v>40</v>
      </c>
      <c r="Z1266" s="80" t="s">
        <v>69</v>
      </c>
      <c r="AA1266" s="80" t="s">
        <v>70</v>
      </c>
      <c r="AB1266" s="354" t="s">
        <v>271</v>
      </c>
      <c r="AC1266" s="101" t="s">
        <v>4396</v>
      </c>
      <c r="AD1266" s="80" t="s">
        <v>164</v>
      </c>
      <c r="AE1266" s="1132">
        <v>46320</v>
      </c>
    </row>
    <row r="1267" spans="1:31" ht="101.5">
      <c r="A1267" s="1119"/>
      <c r="B1267" s="2755" t="s">
        <v>44</v>
      </c>
      <c r="C1267" s="4" t="s">
        <v>4397</v>
      </c>
      <c r="D1267" s="5" t="s">
        <v>32</v>
      </c>
      <c r="E1267" s="5"/>
      <c r="F1267" s="5"/>
      <c r="G1267" s="5"/>
      <c r="H1267" s="5" t="s">
        <v>862</v>
      </c>
      <c r="I1267" s="5" t="s">
        <v>34</v>
      </c>
      <c r="J1267" s="16" t="s">
        <v>2956</v>
      </c>
      <c r="K1267" s="8"/>
      <c r="L1267" s="5" t="e">
        <f>IF(OR(S1267=#REF!,S1267=#REF!,S1267=#REF!,S1267=#REF!,S1267=#REF!,S1267=#REF!,S1267=#REF!,S1267=#REF!),12,IF(OR(S1267=#REF!,S1267=#REF!,S1267=#REF!,S1267=#REF!,S1267=#REF!,S1267=#REF!,S1267=#REF!),3,IF(S1267=#REF!,1,IF(S1267=#REF!,18,IF(OR(S1267=#REF!,S1267=#REF!,S1267=#REF!,S1267=#REF!,S1267=#REF!),14,"Invalid proposed procurement method")))))</f>
        <v>#REF!</v>
      </c>
      <c r="M1267" s="199" t="str">
        <f>IFERROR(EDATE($N1267,-3),"Invalid procurement method or date entered")</f>
        <v>Invalid procurement method or date entered</v>
      </c>
      <c r="N1267" s="199" t="str">
        <f t="shared" si="29"/>
        <v>Invalid procurement method or date entered</v>
      </c>
      <c r="O1267" s="199">
        <v>44501</v>
      </c>
      <c r="P1267" s="5">
        <v>48</v>
      </c>
      <c r="Q1267" s="7" t="s">
        <v>656</v>
      </c>
      <c r="R1267" s="18">
        <v>120000</v>
      </c>
      <c r="S1267" s="5" t="s">
        <v>2957</v>
      </c>
      <c r="T1267" s="52" t="s">
        <v>62</v>
      </c>
      <c r="U1267" s="48" t="s">
        <v>67</v>
      </c>
      <c r="V1267" s="48"/>
      <c r="W1267" s="5" t="s">
        <v>1076</v>
      </c>
      <c r="X1267" s="80" t="s">
        <v>39</v>
      </c>
      <c r="Y1267" s="80" t="s">
        <v>40</v>
      </c>
      <c r="Z1267" s="80" t="s">
        <v>69</v>
      </c>
      <c r="AA1267" s="80" t="s">
        <v>70</v>
      </c>
      <c r="AB1267" s="354" t="s">
        <v>224</v>
      </c>
      <c r="AC1267" s="101" t="s">
        <v>4398</v>
      </c>
      <c r="AD1267" s="80" t="s">
        <v>285</v>
      </c>
      <c r="AE1267" s="211">
        <v>30000</v>
      </c>
    </row>
    <row r="1268" spans="1:31" ht="87">
      <c r="A1268" s="2756"/>
      <c r="B1268" s="2755" t="s">
        <v>44</v>
      </c>
      <c r="C1268" s="4" t="s">
        <v>2610</v>
      </c>
      <c r="D1268" s="9" t="s">
        <v>32</v>
      </c>
      <c r="E1268" s="9"/>
      <c r="F1268" s="9"/>
      <c r="G1268" s="9"/>
      <c r="H1268" s="5" t="s">
        <v>33</v>
      </c>
      <c r="I1268" s="5" t="s">
        <v>34</v>
      </c>
      <c r="J1268" s="16" t="s">
        <v>4399</v>
      </c>
      <c r="K1268" s="16"/>
      <c r="L1268" s="5" t="e">
        <f>IF(OR(S1268=#REF!,S1268=#REF!,S1268=#REF!,S1268=#REF!,S1268=#REF!,S1268=#REF!,S1268=#REF!,S1268=#REF!),12,IF(OR(S1268=#REF!,S1268=#REF!,S1268=#REF!,S1268=#REF!,S1268=#REF!,S1268=#REF!,S1268=#REF!),3,IF(S1268=#REF!,1,IF(S1268=#REF!,18,IF(OR(S1268=#REF!,S1268=#REF!,S1268=#REF!,S1268=#REF!,S1268=#REF!),14,"Invalid proposed procurement method")))))</f>
        <v>#REF!</v>
      </c>
      <c r="M1268" s="199">
        <v>44197</v>
      </c>
      <c r="N1268" s="199" t="str">
        <f t="shared" si="29"/>
        <v>Invalid procurement method or date entered</v>
      </c>
      <c r="O1268" s="182">
        <v>44501</v>
      </c>
      <c r="P1268" s="12">
        <v>60</v>
      </c>
      <c r="Q1268" s="334" t="s">
        <v>171</v>
      </c>
      <c r="R1268" s="18">
        <v>256000</v>
      </c>
      <c r="S1268" s="5" t="s">
        <v>130</v>
      </c>
      <c r="T1268" s="52" t="s">
        <v>62</v>
      </c>
      <c r="U1268" s="48" t="s">
        <v>67</v>
      </c>
      <c r="V1268" s="48"/>
      <c r="W1268" s="5" t="s">
        <v>2311</v>
      </c>
      <c r="X1268" s="80" t="s">
        <v>39</v>
      </c>
      <c r="Y1268" s="80" t="s">
        <v>40</v>
      </c>
      <c r="Z1268" s="80" t="s">
        <v>69</v>
      </c>
      <c r="AA1268" s="80" t="s">
        <v>70</v>
      </c>
      <c r="AB1268" s="354" t="s">
        <v>88</v>
      </c>
      <c r="AC1268" s="101" t="s">
        <v>4400</v>
      </c>
      <c r="AD1268" s="80" t="s">
        <v>145</v>
      </c>
      <c r="AE1268" s="211">
        <v>51200</v>
      </c>
    </row>
    <row r="1269" spans="1:31" ht="72.5">
      <c r="A1269" s="2754"/>
      <c r="B1269" s="2755" t="s">
        <v>44</v>
      </c>
      <c r="C1269" s="4" t="s">
        <v>45</v>
      </c>
      <c r="D1269" s="5" t="s">
        <v>32</v>
      </c>
      <c r="E1269" s="5"/>
      <c r="F1269" s="5"/>
      <c r="G1269" s="5"/>
      <c r="H1269" s="2751" t="s">
        <v>33</v>
      </c>
      <c r="I1269" s="2751" t="s">
        <v>47</v>
      </c>
      <c r="J1269" s="2752" t="s">
        <v>3521</v>
      </c>
      <c r="K1269" s="2752"/>
      <c r="L1269" s="5" t="e">
        <f>IF(OR(S1269=#REF!,S1269=#REF!,S1269=#REF!,S1269=#REF!,S1269=#REF!,S1269=#REF!,S1269=#REF!,S1269=#REF!),12,IF(OR(S1269=#REF!,S1269=#REF!,S1269=#REF!,S1269=#REF!,S1269=#REF!,S1269=#REF!,S1269=#REF!),3,IF(S1269=#REF!,1,IF(S1269=#REF!,18,IF(OR(S1269=#REF!,S1269=#REF!,S1269=#REF!,S1269=#REF!,S1269=#REF!),14,"Invalid proposed procurement method")))))</f>
        <v>#REF!</v>
      </c>
      <c r="M1269" s="199">
        <v>44197</v>
      </c>
      <c r="N1269" s="199" t="str">
        <f t="shared" si="29"/>
        <v>Invalid procurement method or date entered</v>
      </c>
      <c r="O1269" s="182">
        <v>44501</v>
      </c>
      <c r="P1269" s="12">
        <v>12</v>
      </c>
      <c r="Q1269" s="12">
        <v>12</v>
      </c>
      <c r="R1269" s="18">
        <v>15000</v>
      </c>
      <c r="S1269" s="41" t="s">
        <v>176</v>
      </c>
      <c r="T1269" s="2751" t="s">
        <v>38</v>
      </c>
      <c r="U1269" s="2763" t="s">
        <v>67</v>
      </c>
      <c r="V1269" s="2763"/>
      <c r="W1269" s="2751" t="s">
        <v>2964</v>
      </c>
      <c r="X1269" s="80" t="s">
        <v>289</v>
      </c>
      <c r="Y1269" s="80" t="s">
        <v>115</v>
      </c>
      <c r="Z1269" s="80" t="s">
        <v>154</v>
      </c>
      <c r="AA1269" s="2760" t="s">
        <v>70</v>
      </c>
      <c r="AB1269" s="354" t="s">
        <v>88</v>
      </c>
      <c r="AC1269" s="101"/>
      <c r="AD1269" s="80" t="s">
        <v>240</v>
      </c>
      <c r="AE1269" s="211"/>
    </row>
    <row r="1270" spans="1:31" ht="58">
      <c r="A1270" s="2754"/>
      <c r="B1270" s="2755" t="s">
        <v>44</v>
      </c>
      <c r="C1270" s="4" t="s">
        <v>4401</v>
      </c>
      <c r="D1270" s="5" t="s">
        <v>32</v>
      </c>
      <c r="E1270" s="5"/>
      <c r="F1270" s="5"/>
      <c r="G1270" s="5"/>
      <c r="H1270" s="5" t="s">
        <v>323</v>
      </c>
      <c r="I1270" s="5" t="s">
        <v>47</v>
      </c>
      <c r="J1270" s="16" t="s">
        <v>4402</v>
      </c>
      <c r="K1270" s="16"/>
      <c r="L1270" s="5">
        <v>6</v>
      </c>
      <c r="M1270" s="199">
        <f t="shared" ref="M1270:M1275" si="30">IFERROR(EDATE($N1270,-3),"Invalid procurement method or date entered")</f>
        <v>44228</v>
      </c>
      <c r="N1270" s="199">
        <f t="shared" si="29"/>
        <v>44317</v>
      </c>
      <c r="O1270" s="182">
        <v>44501</v>
      </c>
      <c r="P1270" s="12">
        <v>18</v>
      </c>
      <c r="Q1270" s="12">
        <v>18</v>
      </c>
      <c r="R1270" s="18">
        <v>200000</v>
      </c>
      <c r="S1270" s="5" t="s">
        <v>158</v>
      </c>
      <c r="T1270" s="14" t="s">
        <v>62</v>
      </c>
      <c r="U1270" s="14" t="s">
        <v>45</v>
      </c>
      <c r="V1270" s="14"/>
      <c r="W1270" s="5" t="s">
        <v>388</v>
      </c>
      <c r="X1270" s="80" t="s">
        <v>254</v>
      </c>
      <c r="Y1270" s="80" t="s">
        <v>40</v>
      </c>
      <c r="Z1270" s="80"/>
      <c r="AA1270" s="80" t="s">
        <v>38</v>
      </c>
      <c r="AB1270" s="354" t="s">
        <v>224</v>
      </c>
      <c r="AC1270" s="101" t="s">
        <v>4403</v>
      </c>
      <c r="AD1270" s="76" t="s">
        <v>3146</v>
      </c>
      <c r="AE1270" s="486">
        <v>200000</v>
      </c>
    </row>
    <row r="1271" spans="1:31" ht="43.5">
      <c r="A1271" s="2754"/>
      <c r="B1271" s="2755" t="s">
        <v>44</v>
      </c>
      <c r="C1271" s="4" t="s">
        <v>45</v>
      </c>
      <c r="D1271" s="9" t="s">
        <v>32</v>
      </c>
      <c r="E1271" s="9"/>
      <c r="F1271" s="9"/>
      <c r="G1271" s="9"/>
      <c r="H1271" s="5" t="s">
        <v>46</v>
      </c>
      <c r="I1271" s="5" t="s">
        <v>47</v>
      </c>
      <c r="J1271" s="16" t="s">
        <v>4404</v>
      </c>
      <c r="K1271" s="16"/>
      <c r="L1271" s="5">
        <v>6</v>
      </c>
      <c r="M1271" s="199">
        <f t="shared" si="30"/>
        <v>44228</v>
      </c>
      <c r="N1271" s="199">
        <f t="shared" si="29"/>
        <v>44317</v>
      </c>
      <c r="O1271" s="49">
        <v>44501</v>
      </c>
      <c r="P1271" s="15">
        <v>3</v>
      </c>
      <c r="Q1271" s="269" t="s">
        <v>2165</v>
      </c>
      <c r="R1271" s="19">
        <v>11250</v>
      </c>
      <c r="S1271" s="9" t="s">
        <v>37</v>
      </c>
      <c r="T1271" s="5" t="s">
        <v>38</v>
      </c>
      <c r="U1271" s="12" t="s">
        <v>67</v>
      </c>
      <c r="V1271" s="12"/>
      <c r="W1271" s="5" t="s">
        <v>3970</v>
      </c>
      <c r="X1271" s="80" t="s">
        <v>54</v>
      </c>
      <c r="Y1271" s="80" t="s">
        <v>727</v>
      </c>
      <c r="Z1271" s="80" t="s">
        <v>154</v>
      </c>
      <c r="AA1271" s="80" t="s">
        <v>38</v>
      </c>
      <c r="AB1271" s="354">
        <v>44624</v>
      </c>
      <c r="AC1271" s="993" t="s">
        <v>4405</v>
      </c>
      <c r="AD1271" s="76" t="s">
        <v>46</v>
      </c>
      <c r="AE1271" s="211"/>
    </row>
    <row r="1272" spans="1:31" ht="72.5">
      <c r="A1272" s="2756"/>
      <c r="B1272" s="2755"/>
      <c r="C1272" s="4" t="s">
        <v>619</v>
      </c>
      <c r="D1272" s="9" t="s">
        <v>32</v>
      </c>
      <c r="E1272" s="9"/>
      <c r="F1272" s="9"/>
      <c r="G1272" s="9"/>
      <c r="H1272" s="5" t="s">
        <v>33</v>
      </c>
      <c r="I1272" s="5" t="s">
        <v>47</v>
      </c>
      <c r="J1272" s="16" t="s">
        <v>2967</v>
      </c>
      <c r="K1272" s="16"/>
      <c r="L1272" s="5" t="e">
        <f>IF(OR(S1272=#REF!,S1272=#REF!,S1272=#REF!,S1272=#REF!,S1272=#REF!,S1272=#REF!,S1272=#REF!,S1272=#REF!),12,IF(OR(S1272=#REF!,S1272=#REF!,S1272=#REF!,S1272=#REF!,S1272=#REF!,S1272=#REF!,S1272=#REF!),3,IF(S1272=#REF!,1,IF(S1272=#REF!,18,IF(OR(S1272=#REF!,S1272=#REF!,S1272=#REF!,S1272=#REF!,S1272=#REF!),14,"Invalid proposed procurement method")))))</f>
        <v>#REF!</v>
      </c>
      <c r="M1272" s="199" t="str">
        <f t="shared" si="30"/>
        <v>Invalid procurement method or date entered</v>
      </c>
      <c r="N1272" s="199" t="str">
        <f t="shared" si="29"/>
        <v>Invalid procurement method or date entered</v>
      </c>
      <c r="O1272" s="182">
        <v>44501</v>
      </c>
      <c r="P1272" s="12">
        <v>24</v>
      </c>
      <c r="Q1272" s="13" t="s">
        <v>1345</v>
      </c>
      <c r="R1272" s="18">
        <v>6000</v>
      </c>
      <c r="S1272" s="5" t="s">
        <v>37</v>
      </c>
      <c r="T1272" s="5" t="s">
        <v>38</v>
      </c>
      <c r="U1272" s="12" t="s">
        <v>67</v>
      </c>
      <c r="V1272" s="12"/>
      <c r="W1272" s="5" t="s">
        <v>2543</v>
      </c>
      <c r="X1272" s="80" t="s">
        <v>289</v>
      </c>
      <c r="Y1272" s="80" t="s">
        <v>115</v>
      </c>
      <c r="Z1272" s="80" t="s">
        <v>154</v>
      </c>
      <c r="AA1272" s="80" t="s">
        <v>38</v>
      </c>
      <c r="AB1272" s="354" t="s">
        <v>271</v>
      </c>
      <c r="AC1272" s="101" t="s">
        <v>4406</v>
      </c>
      <c r="AD1272" s="76" t="s">
        <v>240</v>
      </c>
      <c r="AE1272" s="197"/>
    </row>
    <row r="1273" spans="1:31" ht="43.5">
      <c r="A1273" s="2754"/>
      <c r="B1273" s="120"/>
      <c r="C1273" s="2779" t="s">
        <v>4407</v>
      </c>
      <c r="D1273" s="9" t="s">
        <v>32</v>
      </c>
      <c r="E1273" s="9"/>
      <c r="F1273" s="9"/>
      <c r="G1273" s="9"/>
      <c r="H1273" s="5" t="s">
        <v>502</v>
      </c>
      <c r="I1273" s="5" t="s">
        <v>34</v>
      </c>
      <c r="J1273" s="16" t="s">
        <v>507</v>
      </c>
      <c r="K1273" s="8"/>
      <c r="L1273" s="5" t="e">
        <f>IF(OR(S1273=#REF!,S1273=#REF!,S1273=#REF!,S1273=#REF!,S1273=#REF!,S1273=#REF!,S1273=#REF!,S1273=#REF!),12,IF(OR(S1273=#REF!,S1273=#REF!,S1273=#REF!,S1273=#REF!,S1273=#REF!,S1273=#REF!,S1273=#REF!),3,IF(S1273=#REF!,1,IF(S1273=#REF!,18,IF(OR(S1273=#REF!,S1273=#REF!,S1273=#REF!,S1273=#REF!,S1273=#REF!),14,"Invalid proposed procurement method")))))</f>
        <v>#REF!</v>
      </c>
      <c r="M1273" s="199">
        <f t="shared" si="30"/>
        <v>44409</v>
      </c>
      <c r="N1273" s="199">
        <v>44501</v>
      </c>
      <c r="O1273" s="182">
        <v>44501</v>
      </c>
      <c r="P1273" s="12">
        <v>48</v>
      </c>
      <c r="Q1273" s="7" t="s">
        <v>4408</v>
      </c>
      <c r="R1273" s="18">
        <v>500000</v>
      </c>
      <c r="S1273" s="5" t="s">
        <v>130</v>
      </c>
      <c r="T1273" s="52" t="s">
        <v>70</v>
      </c>
      <c r="U1273" s="48" t="s">
        <v>45</v>
      </c>
      <c r="V1273" s="48"/>
      <c r="W1273" s="5" t="s">
        <v>509</v>
      </c>
      <c r="X1273" s="1076" t="s">
        <v>45</v>
      </c>
      <c r="Y1273" s="80" t="s">
        <v>115</v>
      </c>
      <c r="Z1273" s="80"/>
      <c r="AA1273" s="80" t="s">
        <v>70</v>
      </c>
      <c r="AB1273" s="354"/>
      <c r="AC1273" s="1111" t="s">
        <v>4409</v>
      </c>
      <c r="AD1273" s="2871" t="s">
        <v>979</v>
      </c>
      <c r="AE1273" s="1143"/>
    </row>
    <row r="1274" spans="1:31" ht="43.5">
      <c r="A1274" s="2754"/>
      <c r="B1274" s="174"/>
      <c r="C1274" s="4" t="s">
        <v>619</v>
      </c>
      <c r="D1274" s="9" t="s">
        <v>32</v>
      </c>
      <c r="E1274" s="9"/>
      <c r="F1274" s="9"/>
      <c r="G1274" s="9"/>
      <c r="H1274" s="5" t="s">
        <v>33</v>
      </c>
      <c r="I1274" s="5"/>
      <c r="J1274" s="16" t="s">
        <v>620</v>
      </c>
      <c r="K1274" s="16"/>
      <c r="L1274" s="5" t="e">
        <f>IF(OR(S1274=#REF!,S1274=#REF!,S1274=#REF!,S1274=#REF!,S1274=#REF!,S1274=#REF!,S1274=#REF!,S1274=#REF!),12,IF(OR(S1274=#REF!,S1274=#REF!,S1274=#REF!,S1274=#REF!,S1274=#REF!,S1274=#REF!,S1274=#REF!),3,IF(S1274=#REF!,1,IF(S1274=#REF!,18,IF(OR(S1274=#REF!,S1274=#REF!,S1274=#REF!,S1274=#REF!,S1274=#REF!),14,"Invalid proposed procurement method")))))</f>
        <v>#REF!</v>
      </c>
      <c r="M1274" s="199">
        <f t="shared" si="30"/>
        <v>44409</v>
      </c>
      <c r="N1274" s="199">
        <v>44501</v>
      </c>
      <c r="O1274" s="182">
        <v>44501</v>
      </c>
      <c r="P1274" s="12">
        <v>24</v>
      </c>
      <c r="Q1274" s="12" t="s">
        <v>621</v>
      </c>
      <c r="R1274" s="18">
        <v>6000</v>
      </c>
      <c r="S1274" s="5" t="s">
        <v>84</v>
      </c>
      <c r="T1274" s="5" t="s">
        <v>38</v>
      </c>
      <c r="U1274" s="12" t="s">
        <v>67</v>
      </c>
      <c r="V1274" s="12"/>
      <c r="W1274" s="46" t="s">
        <v>287</v>
      </c>
      <c r="X1274" s="80" t="s">
        <v>3955</v>
      </c>
      <c r="Y1274" s="80" t="s">
        <v>115</v>
      </c>
      <c r="Z1274" s="80" t="s">
        <v>154</v>
      </c>
      <c r="AA1274" s="80" t="s">
        <v>70</v>
      </c>
      <c r="AB1274" s="354" t="s">
        <v>271</v>
      </c>
      <c r="AC1274" s="101" t="s">
        <v>4410</v>
      </c>
      <c r="AD1274" s="80" t="s">
        <v>240</v>
      </c>
      <c r="AE1274" s="197"/>
    </row>
    <row r="1275" spans="1:31" ht="43.5">
      <c r="A1275" s="2754"/>
      <c r="B1275" s="2757"/>
      <c r="C1275" s="4" t="s">
        <v>45</v>
      </c>
      <c r="D1275" s="5" t="s">
        <v>32</v>
      </c>
      <c r="E1275" s="5"/>
      <c r="F1275" s="5"/>
      <c r="G1275" s="5"/>
      <c r="H1275" s="2751" t="s">
        <v>33</v>
      </c>
      <c r="I1275" s="2751" t="s">
        <v>47</v>
      </c>
      <c r="J1275" s="2752" t="s">
        <v>2963</v>
      </c>
      <c r="K1275" s="2752"/>
      <c r="L1275" s="5" t="e">
        <f>IF(OR(S1275=#REF!,S1275=#REF!,S1275=#REF!,S1275=#REF!,S1275=#REF!,S1275=#REF!,S1275=#REF!,S1275=#REF!),12,IF(OR(S1275=#REF!,S1275=#REF!,S1275=#REF!,S1275=#REF!,S1275=#REF!,S1275=#REF!,S1275=#REF!),3,IF(S1275=#REF!,1,IF(S1275=#REF!,18,IF(OR(S1275=#REF!,S1275=#REF!,S1275=#REF!,S1275=#REF!,S1275=#REF!),14,"Invalid proposed procurement method")))))</f>
        <v>#REF!</v>
      </c>
      <c r="M1275" s="199">
        <f t="shared" si="30"/>
        <v>44409</v>
      </c>
      <c r="N1275" s="199">
        <v>44501</v>
      </c>
      <c r="O1275" s="182">
        <v>44501</v>
      </c>
      <c r="P1275" s="2751" t="s">
        <v>45</v>
      </c>
      <c r="Q1275" s="2751" t="s">
        <v>45</v>
      </c>
      <c r="R1275" s="18">
        <v>500</v>
      </c>
      <c r="S1275" s="2751" t="s">
        <v>45</v>
      </c>
      <c r="T1275" s="2751" t="s">
        <v>38</v>
      </c>
      <c r="U1275" s="2763" t="s">
        <v>67</v>
      </c>
      <c r="V1275" s="2763"/>
      <c r="W1275" s="2751" t="s">
        <v>2964</v>
      </c>
      <c r="X1275" s="80" t="s">
        <v>289</v>
      </c>
      <c r="Y1275" s="80" t="s">
        <v>115</v>
      </c>
      <c r="Z1275" s="80" t="s">
        <v>154</v>
      </c>
      <c r="AA1275" s="80" t="s">
        <v>70</v>
      </c>
      <c r="AB1275" s="354" t="s">
        <v>143</v>
      </c>
      <c r="AC1275" s="2761" t="s">
        <v>4411</v>
      </c>
      <c r="AD1275" s="80" t="s">
        <v>240</v>
      </c>
      <c r="AE1275" s="2902"/>
    </row>
    <row r="1276" spans="1:31" ht="58">
      <c r="A1276" s="1184"/>
      <c r="B1276" s="2755" t="s">
        <v>44</v>
      </c>
      <c r="C1276" s="10" t="s">
        <v>45</v>
      </c>
      <c r="D1276" s="9" t="s">
        <v>32</v>
      </c>
      <c r="E1276" s="9"/>
      <c r="F1276" s="9"/>
      <c r="G1276" s="9"/>
      <c r="H1276" s="9" t="s">
        <v>33</v>
      </c>
      <c r="I1276" s="5" t="s">
        <v>47</v>
      </c>
      <c r="J1276" s="16" t="s">
        <v>4412</v>
      </c>
      <c r="K1276" s="16"/>
      <c r="L1276" s="5">
        <v>1</v>
      </c>
      <c r="M1276" s="199">
        <v>44460</v>
      </c>
      <c r="N1276" s="199">
        <v>44460</v>
      </c>
      <c r="O1276" s="49">
        <v>44501</v>
      </c>
      <c r="P1276" s="15">
        <v>24</v>
      </c>
      <c r="Q1276" s="68" t="s">
        <v>1345</v>
      </c>
      <c r="R1276" s="18">
        <v>42000</v>
      </c>
      <c r="S1276" s="5" t="s">
        <v>51</v>
      </c>
      <c r="T1276" s="2789" t="s">
        <v>38</v>
      </c>
      <c r="U1276" s="12" t="s">
        <v>67</v>
      </c>
      <c r="V1276" s="12"/>
      <c r="W1276" s="5" t="s">
        <v>969</v>
      </c>
      <c r="X1276" s="80" t="s">
        <v>54</v>
      </c>
      <c r="Y1276" s="80" t="s">
        <v>40</v>
      </c>
      <c r="Z1276" s="80"/>
      <c r="AA1276" s="1076" t="s">
        <v>38</v>
      </c>
      <c r="AB1276" s="354" t="s">
        <v>88</v>
      </c>
      <c r="AC1276" s="993" t="s">
        <v>4413</v>
      </c>
      <c r="AD1276" s="80" t="s">
        <v>145</v>
      </c>
      <c r="AE1276" s="1132">
        <v>21000</v>
      </c>
    </row>
    <row r="1277" spans="1:31" ht="58">
      <c r="A1277" s="1184"/>
      <c r="B1277" s="2755" t="s">
        <v>44</v>
      </c>
      <c r="C1277" s="10" t="s">
        <v>45</v>
      </c>
      <c r="D1277" s="9" t="s">
        <v>32</v>
      </c>
      <c r="E1277" s="9"/>
      <c r="F1277" s="9"/>
      <c r="G1277" s="9"/>
      <c r="H1277" s="9" t="s">
        <v>33</v>
      </c>
      <c r="I1277" s="5" t="s">
        <v>47</v>
      </c>
      <c r="J1277" s="16" t="s">
        <v>966</v>
      </c>
      <c r="K1277" s="16"/>
      <c r="L1277" s="5">
        <v>1</v>
      </c>
      <c r="M1277" s="199">
        <v>44460</v>
      </c>
      <c r="N1277" s="199">
        <v>44460</v>
      </c>
      <c r="O1277" s="49">
        <v>44501</v>
      </c>
      <c r="P1277" s="15">
        <v>24</v>
      </c>
      <c r="Q1277" s="68" t="s">
        <v>1345</v>
      </c>
      <c r="R1277" s="18">
        <v>64000</v>
      </c>
      <c r="S1277" s="5" t="s">
        <v>51</v>
      </c>
      <c r="T1277" s="2789" t="s">
        <v>38</v>
      </c>
      <c r="U1277" s="12" t="s">
        <v>67</v>
      </c>
      <c r="V1277" s="12"/>
      <c r="W1277" s="5" t="s">
        <v>969</v>
      </c>
      <c r="X1277" s="80" t="s">
        <v>54</v>
      </c>
      <c r="Y1277" s="80" t="s">
        <v>40</v>
      </c>
      <c r="Z1277" s="80"/>
      <c r="AA1277" s="1076" t="s">
        <v>38</v>
      </c>
      <c r="AB1277" s="354" t="s">
        <v>88</v>
      </c>
      <c r="AC1277" s="993" t="s">
        <v>4413</v>
      </c>
      <c r="AD1277" s="80" t="s">
        <v>145</v>
      </c>
      <c r="AE1277" s="1132">
        <v>32000</v>
      </c>
    </row>
    <row r="1278" spans="1:31" ht="72.5">
      <c r="A1278" s="2754"/>
      <c r="B1278" s="2755" t="s">
        <v>44</v>
      </c>
      <c r="C1278" s="4">
        <v>51363</v>
      </c>
      <c r="D1278" s="5" t="s">
        <v>32</v>
      </c>
      <c r="E1278" s="5"/>
      <c r="F1278" s="5"/>
      <c r="G1278" s="5"/>
      <c r="H1278" s="5" t="s">
        <v>33</v>
      </c>
      <c r="I1278" s="5" t="s">
        <v>47</v>
      </c>
      <c r="J1278" s="16" t="s">
        <v>4414</v>
      </c>
      <c r="K1278" s="8"/>
      <c r="L1278" s="5" t="e">
        <f>IF(OR(S1278=#REF!,S1278=#REF!,S1278=#REF!,S1278=#REF!,S1278=#REF!,S1278=#REF!,S1278=#REF!,S1278=#REF!),12,IF(OR(S1278=#REF!,S1278=#REF!,S1278=#REF!,S1278=#REF!,S1278=#REF!,S1278=#REF!,S1278=#REF!),3,IF(S1278=#REF!,1,IF(S1278=#REF!,18,IF(OR(S1278=#REF!,S1278=#REF!,S1278=#REF!,S1278=#REF!,S1278=#REF!),14,"Invalid proposed procurement method")))))</f>
        <v>#REF!</v>
      </c>
      <c r="M1278" s="199" t="str">
        <f>IFERROR(EDATE($N1278,-3),"Invalid procurement method or date entered")</f>
        <v>Invalid procurement method or date entered</v>
      </c>
      <c r="N1278" s="199" t="str">
        <f>IFERROR(EDATE(O1278,-L1278),"Invalid procurement method or date entered")</f>
        <v>Invalid procurement method or date entered</v>
      </c>
      <c r="O1278" s="182">
        <v>44501</v>
      </c>
      <c r="P1278" s="12">
        <v>60</v>
      </c>
      <c r="Q1278" s="12" t="s">
        <v>171</v>
      </c>
      <c r="R1278" s="17">
        <v>57502.6</v>
      </c>
      <c r="S1278" s="5" t="s">
        <v>84</v>
      </c>
      <c r="T1278" s="41" t="s">
        <v>38</v>
      </c>
      <c r="U1278" s="12" t="s">
        <v>67</v>
      </c>
      <c r="V1278" s="12"/>
      <c r="W1278" s="5" t="s">
        <v>4415</v>
      </c>
      <c r="X1278" s="80" t="s">
        <v>254</v>
      </c>
      <c r="Y1278" s="80" t="s">
        <v>40</v>
      </c>
      <c r="Z1278" s="80" t="s">
        <v>154</v>
      </c>
      <c r="AA1278" s="2765" t="s">
        <v>70</v>
      </c>
      <c r="AB1278" s="354">
        <v>44698</v>
      </c>
      <c r="AC1278" s="101" t="s">
        <v>4416</v>
      </c>
      <c r="AD1278" s="80" t="s">
        <v>145</v>
      </c>
      <c r="AE1278" s="211">
        <v>12500</v>
      </c>
    </row>
    <row r="1279" spans="1:31" ht="72.5">
      <c r="A1279" s="1119"/>
      <c r="B1279" s="2755" t="s">
        <v>44</v>
      </c>
      <c r="C1279" s="10">
        <v>56512</v>
      </c>
      <c r="D1279" s="974" t="s">
        <v>32</v>
      </c>
      <c r="E1279" s="974"/>
      <c r="F1279" s="974"/>
      <c r="G1279" s="974"/>
      <c r="H1279" s="58" t="s">
        <v>33</v>
      </c>
      <c r="I1279" s="58" t="s">
        <v>47</v>
      </c>
      <c r="J1279" s="989" t="s">
        <v>4417</v>
      </c>
      <c r="K1279" s="989"/>
      <c r="L1279" s="58" t="e">
        <f>IF(OR(S1279=#REF!,S1279=#REF!,S1279=#REF!,S1279=#REF!,S1279=#REF!,S1279=#REF!,S1279=#REF!,S1279=#REF!),12,IF(OR(S1279=#REF!,S1279=#REF!,S1279=#REF!,S1279=#REF!,S1279=#REF!,S1279=#REF!,S1279=#REF!),3,IF(S1279=#REF!,1,IF(S1279=#REF!,18,IF(OR(S1279=#REF!,S1279=#REF!,S1279=#REF!,S1279=#REF!,S1279=#REF!),14,"Invalid proposed procurement method")))))</f>
        <v>#REF!</v>
      </c>
      <c r="M1279" s="205" t="str">
        <f>IFERROR(EDATE($N1279,-3),"Invalid procurement method or date entered")</f>
        <v>Invalid procurement method or date entered</v>
      </c>
      <c r="N1279" s="205" t="str">
        <f>IFERROR(EDATE(O1279,-L1279),"Invalid procurement method or date entered")</f>
        <v>Invalid procurement method or date entered</v>
      </c>
      <c r="O1279" s="221">
        <v>44501</v>
      </c>
      <c r="P1279" s="202">
        <v>36</v>
      </c>
      <c r="Q1279" s="1803" t="s">
        <v>98</v>
      </c>
      <c r="R1279" s="201">
        <v>42750</v>
      </c>
      <c r="S1279" s="58" t="s">
        <v>51</v>
      </c>
      <c r="T1279" s="58" t="s">
        <v>38</v>
      </c>
      <c r="U1279" s="202" t="s">
        <v>67</v>
      </c>
      <c r="V1279" s="202"/>
      <c r="W1279" s="58" t="s">
        <v>142</v>
      </c>
      <c r="X1279" s="80" t="s">
        <v>86</v>
      </c>
      <c r="Y1279" s="80" t="s">
        <v>40</v>
      </c>
      <c r="Z1279" s="80" t="s">
        <v>69</v>
      </c>
      <c r="AA1279" s="80" t="s">
        <v>70</v>
      </c>
      <c r="AB1279" s="354" t="s">
        <v>484</v>
      </c>
      <c r="AC1279" s="101" t="s">
        <v>89</v>
      </c>
      <c r="AD1279" s="80" t="s">
        <v>145</v>
      </c>
      <c r="AE1279" s="339"/>
    </row>
    <row r="1280" spans="1:31" ht="29">
      <c r="A1280" s="1184"/>
      <c r="B1280" s="362" t="s">
        <v>100</v>
      </c>
      <c r="C1280" s="362"/>
      <c r="D1280" s="8" t="s">
        <v>110</v>
      </c>
      <c r="E1280" s="8"/>
      <c r="F1280" s="8"/>
      <c r="G1280" s="8"/>
      <c r="H1280" s="8" t="s">
        <v>103</v>
      </c>
      <c r="I1280" s="8" t="s">
        <v>47</v>
      </c>
      <c r="J1280" s="16" t="s">
        <v>3855</v>
      </c>
      <c r="K1280" s="8"/>
      <c r="L1280" s="84">
        <v>12</v>
      </c>
      <c r="M1280" s="436">
        <f>IFERROR(EDATE(N1280,-3),"Invalid procurement method or date entered")</f>
        <v>44044</v>
      </c>
      <c r="N1280" s="386">
        <f>IFERROR(EDATE(O1280,-L1280),"Invalid procurement method or date entered")</f>
        <v>44136</v>
      </c>
      <c r="O1280" s="367">
        <v>44501</v>
      </c>
      <c r="P1280" s="71">
        <v>24</v>
      </c>
      <c r="Q1280" s="361">
        <v>24</v>
      </c>
      <c r="R1280" s="159">
        <v>160000</v>
      </c>
      <c r="S1280" s="5" t="s">
        <v>176</v>
      </c>
      <c r="T1280" s="5" t="s">
        <v>45</v>
      </c>
      <c r="U1280" s="5" t="s">
        <v>45</v>
      </c>
      <c r="V1280" s="5"/>
      <c r="W1280" s="8" t="s">
        <v>3200</v>
      </c>
      <c r="X1280" s="101"/>
      <c r="Y1280" s="101" t="s">
        <v>115</v>
      </c>
      <c r="Z1280" s="101"/>
      <c r="AA1280" s="101" t="s">
        <v>69</v>
      </c>
      <c r="AB1280" s="1099" t="s">
        <v>70</v>
      </c>
      <c r="AC1280" s="432"/>
      <c r="AD1280" s="432"/>
      <c r="AE1280" s="432"/>
    </row>
    <row r="1281" spans="1:31" ht="87">
      <c r="A1281" s="1184"/>
      <c r="B1281" s="4" t="s">
        <v>44</v>
      </c>
      <c r="C1281" s="63" t="s">
        <v>4418</v>
      </c>
      <c r="D1281" s="15" t="s">
        <v>32</v>
      </c>
      <c r="E1281" s="15"/>
      <c r="F1281" s="15"/>
      <c r="G1281" s="15"/>
      <c r="H1281" s="9" t="s">
        <v>65</v>
      </c>
      <c r="I1281" s="10" t="s">
        <v>47</v>
      </c>
      <c r="J1281" s="16" t="s">
        <v>4419</v>
      </c>
      <c r="K1281" s="16"/>
      <c r="L1281" s="16"/>
      <c r="M1281" s="182">
        <v>44136</v>
      </c>
      <c r="N1281" s="182"/>
      <c r="O1281" s="182">
        <v>44501</v>
      </c>
      <c r="P1281" s="12" t="s">
        <v>45</v>
      </c>
      <c r="Q1281" s="12" t="s">
        <v>45</v>
      </c>
      <c r="R1281" s="88" t="s">
        <v>45</v>
      </c>
      <c r="S1281" s="5" t="s">
        <v>45</v>
      </c>
      <c r="T1281" s="12" t="s">
        <v>38</v>
      </c>
      <c r="U1281" s="2757"/>
      <c r="V1281" s="2757"/>
      <c r="W1281" s="12" t="s">
        <v>4420</v>
      </c>
      <c r="X1281" s="1077" t="s">
        <v>45</v>
      </c>
      <c r="Y1281" s="80" t="s">
        <v>40</v>
      </c>
      <c r="Z1281" s="80"/>
      <c r="AA1281" s="76"/>
      <c r="AB1281" s="354"/>
      <c r="AC1281" s="101" t="s">
        <v>4421</v>
      </c>
      <c r="AD1281" s="1"/>
      <c r="AE1281" s="1130">
        <v>3000</v>
      </c>
    </row>
    <row r="1282" spans="1:31" ht="58">
      <c r="A1282" s="1184"/>
      <c r="B1282" s="362" t="s">
        <v>100</v>
      </c>
      <c r="C1282" s="389"/>
      <c r="D1282" s="8" t="s">
        <v>122</v>
      </c>
      <c r="E1282" s="8"/>
      <c r="F1282" s="8"/>
      <c r="G1282" s="8"/>
      <c r="H1282" s="8" t="s">
        <v>197</v>
      </c>
      <c r="I1282" s="8" t="s">
        <v>47</v>
      </c>
      <c r="J1282" s="16" t="s">
        <v>2823</v>
      </c>
      <c r="K1282" s="8"/>
      <c r="L1282" s="84">
        <v>1</v>
      </c>
      <c r="M1282" s="436">
        <f>IFERROR(EDATE(N1282,-3),"Invalid procurement method or date entered")</f>
        <v>44378</v>
      </c>
      <c r="N1282" s="386">
        <f>IFERROR(EDATE(O1282,-L1282),"Invalid procurement method or date entered")</f>
        <v>44470</v>
      </c>
      <c r="O1282" s="367">
        <v>44501</v>
      </c>
      <c r="P1282" s="71">
        <v>14</v>
      </c>
      <c r="Q1282" s="71">
        <v>14</v>
      </c>
      <c r="R1282" s="159">
        <v>10000</v>
      </c>
      <c r="S1282" s="5" t="s">
        <v>37</v>
      </c>
      <c r="T1282" s="365" t="s">
        <v>38</v>
      </c>
      <c r="U1282" s="365" t="s">
        <v>71</v>
      </c>
      <c r="V1282" s="365"/>
      <c r="W1282" s="8" t="s">
        <v>2824</v>
      </c>
      <c r="X1282" s="101" t="s">
        <v>189</v>
      </c>
      <c r="Y1282" s="101" t="s">
        <v>115</v>
      </c>
      <c r="Z1282" s="101"/>
      <c r="AA1282" s="1090"/>
      <c r="AB1282" s="1099"/>
      <c r="AC1282" s="432">
        <v>44279</v>
      </c>
      <c r="AD1282" s="432"/>
      <c r="AE1282" s="432"/>
    </row>
    <row r="1283" spans="1:31" ht="62.5">
      <c r="A1283" s="1119"/>
      <c r="B1283" s="577" t="s">
        <v>56</v>
      </c>
      <c r="C1283" s="511" t="s">
        <v>60</v>
      </c>
      <c r="D1283" s="511" t="s">
        <v>32</v>
      </c>
      <c r="E1283" s="511"/>
      <c r="F1283" s="511"/>
      <c r="G1283" s="511"/>
      <c r="H1283" s="511" t="s">
        <v>46</v>
      </c>
      <c r="I1283" s="511" t="s">
        <v>47</v>
      </c>
      <c r="J1283" s="606" t="s">
        <v>3511</v>
      </c>
      <c r="K1283" s="529"/>
      <c r="L1283" s="529"/>
      <c r="M1283" s="511">
        <v>12</v>
      </c>
      <c r="N1283" s="514" t="str">
        <f>IF(O1283="tbc","",(IFERROR(EDATE(#REF!,-3),"Invalid procurement method or date entered")))</f>
        <v>Invalid procurement method or date entered</v>
      </c>
      <c r="O1283" s="514">
        <v>44501</v>
      </c>
      <c r="P1283" s="536">
        <v>48</v>
      </c>
      <c r="Q1283" s="536">
        <v>48</v>
      </c>
      <c r="R1283" s="538" t="s">
        <v>60</v>
      </c>
      <c r="S1283" s="511" t="s">
        <v>91</v>
      </c>
      <c r="T1283" s="511" t="s">
        <v>62</v>
      </c>
      <c r="U1283" s="514" t="s">
        <v>70</v>
      </c>
      <c r="V1283" s="514"/>
      <c r="W1283" s="529" t="s">
        <v>2690</v>
      </c>
    </row>
    <row r="1284" spans="1:31" ht="37.5">
      <c r="A1284" s="1119"/>
      <c r="B1284" s="577" t="s">
        <v>56</v>
      </c>
      <c r="C1284" s="510" t="s">
        <v>4422</v>
      </c>
      <c r="D1284" s="511" t="s">
        <v>57</v>
      </c>
      <c r="E1284" s="511"/>
      <c r="F1284" s="511"/>
      <c r="G1284" s="511"/>
      <c r="H1284" s="511" t="s">
        <v>58</v>
      </c>
      <c r="I1284" s="519" t="s">
        <v>47</v>
      </c>
      <c r="J1284" s="1578" t="s">
        <v>4423</v>
      </c>
      <c r="K1284" s="529"/>
      <c r="L1284" s="511">
        <v>1</v>
      </c>
      <c r="M1284" s="514">
        <v>44497</v>
      </c>
      <c r="N1284" s="514">
        <f>IF(O1284="tbc","",(IFERROR(EDATE(O1284,-L1284),"Invalid procurement method or date entered")))</f>
        <v>44470</v>
      </c>
      <c r="O1284" s="534">
        <v>44501</v>
      </c>
      <c r="P1284" s="510">
        <v>1</v>
      </c>
      <c r="Q1284" s="535">
        <v>1</v>
      </c>
      <c r="R1284" s="528">
        <v>180000</v>
      </c>
      <c r="S1284" s="555" t="s">
        <v>84</v>
      </c>
      <c r="T1284" s="556" t="s">
        <v>60</v>
      </c>
      <c r="U1284" s="515" t="s">
        <v>60</v>
      </c>
      <c r="V1284" s="515"/>
      <c r="W1284" s="394" t="s">
        <v>70</v>
      </c>
    </row>
    <row r="1285" spans="1:31" ht="50">
      <c r="A1285" s="1119"/>
      <c r="B1285" s="577" t="s">
        <v>56</v>
      </c>
      <c r="C1285" s="673" t="s">
        <v>4424</v>
      </c>
      <c r="D1285" s="674" t="s">
        <v>122</v>
      </c>
      <c r="E1285" s="674"/>
      <c r="F1285" s="674"/>
      <c r="G1285" s="674"/>
      <c r="H1285" s="674" t="s">
        <v>308</v>
      </c>
      <c r="I1285" s="675" t="s">
        <v>47</v>
      </c>
      <c r="J1285" s="1598" t="s">
        <v>4425</v>
      </c>
      <c r="K1285" s="529"/>
      <c r="L1285" s="511">
        <v>1</v>
      </c>
      <c r="M1285" s="514">
        <f>IF(O1285="tbc","",(IFERROR(EDATE($N1285,-3),"Invalid procurement method or date entered")))</f>
        <v>44378</v>
      </c>
      <c r="N1285" s="514">
        <f>IF(O1285="tbc","",(IFERROR(EDATE(O1285,-L1285),"Invalid procurement method or date entered")))</f>
        <v>44470</v>
      </c>
      <c r="O1285" s="534">
        <v>44501</v>
      </c>
      <c r="P1285" s="510">
        <v>1</v>
      </c>
      <c r="Q1285" s="535">
        <v>1</v>
      </c>
      <c r="R1285" s="528">
        <v>145000</v>
      </c>
      <c r="S1285" s="555" t="s">
        <v>61</v>
      </c>
      <c r="T1285" s="556" t="s">
        <v>2455</v>
      </c>
      <c r="U1285" s="515" t="s">
        <v>589</v>
      </c>
      <c r="V1285" s="515"/>
      <c r="W1285" s="394" t="s">
        <v>70</v>
      </c>
    </row>
    <row r="1286" spans="1:31" ht="50">
      <c r="A1286" s="1119"/>
      <c r="B1286" s="577" t="s">
        <v>56</v>
      </c>
      <c r="C1286" s="511" t="s">
        <v>60</v>
      </c>
      <c r="D1286" s="511" t="s">
        <v>57</v>
      </c>
      <c r="E1286" s="511"/>
      <c r="F1286" s="511"/>
      <c r="G1286" s="511"/>
      <c r="H1286" s="511" t="s">
        <v>58</v>
      </c>
      <c r="I1286" s="519" t="s">
        <v>47</v>
      </c>
      <c r="J1286" s="1578" t="s">
        <v>4426</v>
      </c>
      <c r="K1286" s="990"/>
      <c r="L1286" s="511">
        <v>3</v>
      </c>
      <c r="M1286" s="513" t="s">
        <v>60</v>
      </c>
      <c r="N1286" s="514">
        <f>IF(O1286="tbc","",(IFERROR(EDATE(O1286,-L1286),"Invalid procurement method or date entered")))</f>
        <v>44409</v>
      </c>
      <c r="O1286" s="515">
        <v>44501</v>
      </c>
      <c r="P1286" s="516" t="s">
        <v>60</v>
      </c>
      <c r="Q1286" s="519" t="s">
        <v>60</v>
      </c>
      <c r="R1286" s="528">
        <v>208342</v>
      </c>
      <c r="S1286" s="515" t="s">
        <v>61</v>
      </c>
      <c r="T1286" s="515" t="s">
        <v>62</v>
      </c>
      <c r="U1286" s="520" t="s">
        <v>115</v>
      </c>
      <c r="V1286" s="520"/>
      <c r="W1286" s="521" t="s">
        <v>70</v>
      </c>
    </row>
    <row r="1287" spans="1:31" ht="37.5">
      <c r="A1287" s="1119"/>
      <c r="B1287" s="577" t="s">
        <v>56</v>
      </c>
      <c r="C1287" s="510" t="s">
        <v>60</v>
      </c>
      <c r="D1287" s="511" t="s">
        <v>57</v>
      </c>
      <c r="E1287" s="511"/>
      <c r="F1287" s="511"/>
      <c r="G1287" s="511"/>
      <c r="H1287" s="511" t="s">
        <v>58</v>
      </c>
      <c r="I1287" s="510" t="s">
        <v>47</v>
      </c>
      <c r="J1287" s="1580" t="s">
        <v>4427</v>
      </c>
      <c r="K1287" s="992"/>
      <c r="L1287" s="511">
        <v>3</v>
      </c>
      <c r="M1287" s="513" t="s">
        <v>60</v>
      </c>
      <c r="N1287" s="514">
        <f>IF(O1287="tbc","",(IFERROR(EDATE(O1287,-L1287),"Invalid procurement method or date entered")))</f>
        <v>44409</v>
      </c>
      <c r="O1287" s="534">
        <v>44501</v>
      </c>
      <c r="P1287" s="535">
        <v>4</v>
      </c>
      <c r="Q1287" s="535">
        <v>4</v>
      </c>
      <c r="R1287" s="528">
        <v>250000</v>
      </c>
      <c r="S1287" s="515" t="s">
        <v>176</v>
      </c>
      <c r="T1287" s="515" t="s">
        <v>62</v>
      </c>
      <c r="U1287" s="520" t="s">
        <v>115</v>
      </c>
      <c r="V1287" s="520"/>
      <c r="W1287" s="521" t="s">
        <v>70</v>
      </c>
    </row>
    <row r="1288" spans="1:31" ht="50">
      <c r="A1288" s="1119"/>
      <c r="B1288" s="577" t="s">
        <v>56</v>
      </c>
      <c r="C1288" s="510" t="s">
        <v>60</v>
      </c>
      <c r="D1288" s="511" t="s">
        <v>4428</v>
      </c>
      <c r="E1288" s="511"/>
      <c r="F1288" s="511"/>
      <c r="G1288" s="511"/>
      <c r="H1288" s="511" t="s">
        <v>58</v>
      </c>
      <c r="I1288" s="519" t="s">
        <v>47</v>
      </c>
      <c r="J1288" s="1580" t="s">
        <v>4429</v>
      </c>
      <c r="K1288" s="992"/>
      <c r="L1288" s="511">
        <v>12</v>
      </c>
      <c r="M1288" s="513">
        <f>IF(O1288="tbc","",(IFERROR(EDATE($N1288,-3),"Invalid procurement method or date entered")))</f>
        <v>44044</v>
      </c>
      <c r="N1288" s="514">
        <f>IF(O1288="tbc","",(IFERROR(EDATE(O1288,-L1288),"Invalid procurement method or date entered")))</f>
        <v>44136</v>
      </c>
      <c r="O1288" s="534">
        <v>44501</v>
      </c>
      <c r="P1288" s="535">
        <v>24</v>
      </c>
      <c r="Q1288" s="535" t="s">
        <v>1345</v>
      </c>
      <c r="R1288" s="567">
        <v>637500</v>
      </c>
      <c r="S1288" s="515" t="s">
        <v>91</v>
      </c>
      <c r="T1288" s="515" t="s">
        <v>589</v>
      </c>
      <c r="U1288" s="520" t="s">
        <v>727</v>
      </c>
      <c r="V1288" s="520"/>
      <c r="W1288" s="521" t="s">
        <v>70</v>
      </c>
    </row>
    <row r="1289" spans="1:31">
      <c r="A1289" s="1648">
        <v>44974</v>
      </c>
      <c r="B1289" s="1655" t="s">
        <v>1168</v>
      </c>
      <c r="C1289" s="1664" t="s">
        <v>4430</v>
      </c>
      <c r="D1289" s="1664" t="s">
        <v>1216</v>
      </c>
      <c r="E1289" s="1655" t="s">
        <v>1168</v>
      </c>
      <c r="F1289" s="1655" t="s">
        <v>1170</v>
      </c>
      <c r="G1289" s="1655" t="s">
        <v>1170</v>
      </c>
      <c r="H1289" s="1655" t="s">
        <v>1170</v>
      </c>
      <c r="I1289" s="1655" t="s">
        <v>1170</v>
      </c>
      <c r="J1289" s="1698" t="s">
        <v>4431</v>
      </c>
      <c r="K1289" s="1664" t="s">
        <v>4432</v>
      </c>
      <c r="L1289" s="1655" t="s">
        <v>1170</v>
      </c>
      <c r="M1289" s="1655" t="s">
        <v>1170</v>
      </c>
      <c r="N1289" s="1655" t="s">
        <v>1170</v>
      </c>
      <c r="O1289" s="1755">
        <v>44508</v>
      </c>
      <c r="P1289" s="1755">
        <v>44872</v>
      </c>
      <c r="Q1289" s="1755">
        <v>45235</v>
      </c>
      <c r="R1289" s="1805">
        <v>20000</v>
      </c>
      <c r="S1289" s="1664" t="s">
        <v>4433</v>
      </c>
      <c r="T1289" s="1655" t="s">
        <v>1170</v>
      </c>
      <c r="U1289" s="1655" t="s">
        <v>1170</v>
      </c>
      <c r="V1289" s="1655"/>
      <c r="W1289" s="1664" t="s">
        <v>4434</v>
      </c>
      <c r="X1289" s="1723" t="s">
        <v>1175</v>
      </c>
      <c r="Y1289" s="1723" t="s">
        <v>251</v>
      </c>
      <c r="Z1289" s="1657" t="s">
        <v>1170</v>
      </c>
      <c r="AA1289" s="1657" t="s">
        <v>1170</v>
      </c>
      <c r="AB1289" s="1657" t="s">
        <v>1170</v>
      </c>
      <c r="AC1289" s="909" t="s">
        <v>4435</v>
      </c>
      <c r="AD1289" s="1657" t="s">
        <v>1170</v>
      </c>
      <c r="AE1289" s="1828">
        <v>20000</v>
      </c>
    </row>
    <row r="1290" spans="1:31">
      <c r="A1290" s="1648">
        <v>44974</v>
      </c>
      <c r="B1290" s="1655" t="s">
        <v>1168</v>
      </c>
      <c r="C1290" s="1664" t="s">
        <v>4430</v>
      </c>
      <c r="D1290" s="1664" t="s">
        <v>1216</v>
      </c>
      <c r="E1290" s="1655" t="s">
        <v>1168</v>
      </c>
      <c r="F1290" s="1655" t="s">
        <v>1170</v>
      </c>
      <c r="G1290" s="1655" t="s">
        <v>1170</v>
      </c>
      <c r="H1290" s="1655" t="s">
        <v>1170</v>
      </c>
      <c r="I1290" s="1655" t="s">
        <v>1170</v>
      </c>
      <c r="J1290" s="1698" t="s">
        <v>4431</v>
      </c>
      <c r="K1290" s="1664" t="s">
        <v>4432</v>
      </c>
      <c r="L1290" s="1655" t="s">
        <v>1170</v>
      </c>
      <c r="M1290" s="1655" t="s">
        <v>1170</v>
      </c>
      <c r="N1290" s="1655" t="s">
        <v>1170</v>
      </c>
      <c r="O1290" s="1755">
        <v>44508</v>
      </c>
      <c r="P1290" s="1755">
        <v>45237</v>
      </c>
      <c r="Q1290" s="1755">
        <v>45235</v>
      </c>
      <c r="R1290" s="1805">
        <v>20000</v>
      </c>
      <c r="S1290" s="1664" t="s">
        <v>4433</v>
      </c>
      <c r="T1290" s="1655" t="s">
        <v>1170</v>
      </c>
      <c r="U1290" s="1655" t="s">
        <v>1170</v>
      </c>
      <c r="V1290" s="1655"/>
      <c r="W1290" s="1664" t="s">
        <v>4434</v>
      </c>
      <c r="X1290" s="1723" t="s">
        <v>1175</v>
      </c>
      <c r="Y1290" s="1723" t="s">
        <v>251</v>
      </c>
      <c r="Z1290" s="1657" t="s">
        <v>1170</v>
      </c>
      <c r="AA1290" s="1657" t="s">
        <v>1170</v>
      </c>
      <c r="AB1290" s="1657" t="s">
        <v>1170</v>
      </c>
      <c r="AC1290" s="909" t="s">
        <v>4436</v>
      </c>
      <c r="AD1290" s="1657" t="s">
        <v>1170</v>
      </c>
      <c r="AE1290" s="1828">
        <v>20000</v>
      </c>
    </row>
    <row r="1291" spans="1:31" ht="58">
      <c r="A1291" s="1184"/>
      <c r="B1291" s="2755" t="s">
        <v>44</v>
      </c>
      <c r="C1291" s="4" t="s">
        <v>4437</v>
      </c>
      <c r="D1291" s="5" t="s">
        <v>32</v>
      </c>
      <c r="E1291" s="5"/>
      <c r="F1291" s="5"/>
      <c r="G1291" s="5"/>
      <c r="H1291" s="5" t="s">
        <v>80</v>
      </c>
      <c r="I1291" s="5" t="s">
        <v>47</v>
      </c>
      <c r="J1291" s="16" t="s">
        <v>4438</v>
      </c>
      <c r="K1291" s="16"/>
      <c r="L1291" s="5">
        <v>15</v>
      </c>
      <c r="M1291" s="199">
        <f>IFERROR(EDATE($N1291,-3),"Invalid procurement method or date entered")</f>
        <v>43960</v>
      </c>
      <c r="N1291" s="199">
        <f>IFERROR(EDATE(O1291,-L1291),"Invalid procurement method or date entered")</f>
        <v>44052</v>
      </c>
      <c r="O1291" s="182">
        <v>44509</v>
      </c>
      <c r="P1291" s="12">
        <v>54</v>
      </c>
      <c r="Q1291" s="7" t="s">
        <v>4439</v>
      </c>
      <c r="R1291" s="18">
        <v>4250000</v>
      </c>
      <c r="S1291" s="2751" t="s">
        <v>158</v>
      </c>
      <c r="T1291" s="52" t="s">
        <v>70</v>
      </c>
      <c r="U1291" s="210">
        <v>44431</v>
      </c>
      <c r="V1291" s="210"/>
      <c r="W1291" s="2751" t="s">
        <v>85</v>
      </c>
      <c r="X1291" s="80" t="s">
        <v>86</v>
      </c>
      <c r="Y1291" s="80" t="s">
        <v>40</v>
      </c>
      <c r="Z1291" s="80" t="s">
        <v>87</v>
      </c>
      <c r="AA1291" s="80" t="s">
        <v>70</v>
      </c>
      <c r="AB1291" s="354" t="s">
        <v>224</v>
      </c>
      <c r="AC1291" s="101" t="s">
        <v>89</v>
      </c>
      <c r="AD1291" s="76" t="s">
        <v>80</v>
      </c>
      <c r="AE1291" s="211">
        <v>945000</v>
      </c>
    </row>
    <row r="1292" spans="1:31" ht="37.5">
      <c r="A1292" s="1119"/>
      <c r="B1292" s="577" t="s">
        <v>56</v>
      </c>
      <c r="C1292" s="510" t="s">
        <v>60</v>
      </c>
      <c r="D1292" s="510" t="s">
        <v>56</v>
      </c>
      <c r="E1292" s="510"/>
      <c r="F1292" s="510"/>
      <c r="G1292" s="510"/>
      <c r="H1292" s="511" t="s">
        <v>57</v>
      </c>
      <c r="I1292" s="510" t="s">
        <v>47</v>
      </c>
      <c r="J1292" s="1580" t="s">
        <v>4440</v>
      </c>
      <c r="K1292" s="990"/>
      <c r="L1292" s="511">
        <v>3</v>
      </c>
      <c r="M1292" s="514">
        <f>IF(O1292="tbc","",(IFERROR(EDATE($N1292,-3),"Invalid procurement method or date entered")))</f>
        <v>44325</v>
      </c>
      <c r="N1292" s="514">
        <f>IF(O1292="tbc","",(IFERROR(EDATE(O1292,-L1292),"Invalid procurement method or date entered")))</f>
        <v>44417</v>
      </c>
      <c r="O1292" s="534">
        <v>44509</v>
      </c>
      <c r="P1292" s="535" t="s">
        <v>60</v>
      </c>
      <c r="Q1292" s="535" t="s">
        <v>60</v>
      </c>
      <c r="R1292" s="528">
        <v>40000</v>
      </c>
      <c r="S1292" s="515" t="s">
        <v>176</v>
      </c>
      <c r="T1292" s="515" t="s">
        <v>62</v>
      </c>
      <c r="U1292" s="515" t="s">
        <v>60</v>
      </c>
      <c r="V1292" s="515"/>
      <c r="W1292" s="510" t="s">
        <v>3935</v>
      </c>
    </row>
    <row r="1293" spans="1:31" ht="43.5">
      <c r="A1293" s="2893"/>
      <c r="B1293" s="2755" t="s">
        <v>44</v>
      </c>
      <c r="C1293" s="4" t="s">
        <v>4441</v>
      </c>
      <c r="D1293" s="5" t="s">
        <v>57</v>
      </c>
      <c r="E1293" s="5"/>
      <c r="F1293" s="5"/>
      <c r="G1293" s="5"/>
      <c r="H1293" s="5" t="s">
        <v>496</v>
      </c>
      <c r="I1293" s="5" t="s">
        <v>47</v>
      </c>
      <c r="J1293" s="16" t="s">
        <v>4442</v>
      </c>
      <c r="K1293" s="8"/>
      <c r="L1293" s="5">
        <v>0</v>
      </c>
      <c r="M1293" s="199">
        <v>44378</v>
      </c>
      <c r="N1293" s="199">
        <f>IFERROR(EDATE(O1293,-L1293),"Invalid procurement method or date entered")</f>
        <v>44510</v>
      </c>
      <c r="O1293" s="199">
        <v>44510</v>
      </c>
      <c r="P1293" s="5">
        <v>0</v>
      </c>
      <c r="Q1293" s="5">
        <v>0</v>
      </c>
      <c r="R1293" s="18">
        <v>136400</v>
      </c>
      <c r="S1293" s="5" t="s">
        <v>51</v>
      </c>
      <c r="T1293" s="5" t="s">
        <v>38</v>
      </c>
      <c r="U1293" s="12" t="s">
        <v>67</v>
      </c>
      <c r="V1293" s="12"/>
      <c r="W1293" s="5" t="s">
        <v>798</v>
      </c>
      <c r="X1293" s="2760" t="s">
        <v>254</v>
      </c>
      <c r="Y1293" s="80" t="s">
        <v>727</v>
      </c>
      <c r="Z1293" s="80"/>
      <c r="AA1293" s="80" t="s">
        <v>70</v>
      </c>
      <c r="AB1293" s="354" t="s">
        <v>224</v>
      </c>
      <c r="AC1293" s="1110" t="s">
        <v>4443</v>
      </c>
      <c r="AD1293" s="76" t="s">
        <v>165</v>
      </c>
      <c r="AE1293" s="211"/>
    </row>
    <row r="1294" spans="1:31">
      <c r="A1294" s="1648">
        <v>44974</v>
      </c>
      <c r="B1294" s="1655" t="s">
        <v>1168</v>
      </c>
      <c r="C1294" s="1664">
        <v>22778</v>
      </c>
      <c r="D1294" s="1664" t="s">
        <v>1243</v>
      </c>
      <c r="E1294" s="1655" t="s">
        <v>1168</v>
      </c>
      <c r="F1294" s="1655" t="s">
        <v>1170</v>
      </c>
      <c r="G1294" s="1655" t="s">
        <v>1170</v>
      </c>
      <c r="H1294" s="1655" t="s">
        <v>1170</v>
      </c>
      <c r="I1294" s="1655" t="s">
        <v>1170</v>
      </c>
      <c r="J1294" s="1698" t="s">
        <v>4444</v>
      </c>
      <c r="K1294" s="1664" t="s">
        <v>2985</v>
      </c>
      <c r="L1294" s="1655" t="s">
        <v>1170</v>
      </c>
      <c r="M1294" s="1655" t="s">
        <v>1170</v>
      </c>
      <c r="N1294" s="1655" t="s">
        <v>1170</v>
      </c>
      <c r="O1294" s="1755">
        <v>44522</v>
      </c>
      <c r="P1294" s="1755">
        <v>45251</v>
      </c>
      <c r="Q1294" s="1664" t="s">
        <v>589</v>
      </c>
      <c r="R1294" s="1805">
        <v>240000</v>
      </c>
      <c r="S1294" s="1664" t="s">
        <v>1189</v>
      </c>
      <c r="T1294" s="1655" t="s">
        <v>1170</v>
      </c>
      <c r="U1294" s="1655" t="s">
        <v>1170</v>
      </c>
      <c r="V1294" s="1655"/>
      <c r="W1294" s="1664" t="s">
        <v>2583</v>
      </c>
      <c r="X1294" s="1723" t="s">
        <v>1175</v>
      </c>
      <c r="Y1294" s="1723" t="s">
        <v>251</v>
      </c>
      <c r="Z1294" s="1657" t="s">
        <v>1170</v>
      </c>
      <c r="AA1294" s="1657" t="s">
        <v>1170</v>
      </c>
      <c r="AB1294" s="1657" t="s">
        <v>1170</v>
      </c>
      <c r="AC1294" s="909" t="s">
        <v>4445</v>
      </c>
      <c r="AD1294" s="1657" t="s">
        <v>1170</v>
      </c>
      <c r="AE1294" s="1828">
        <v>240000</v>
      </c>
    </row>
    <row r="1295" spans="1:31">
      <c r="A1295" s="1648">
        <v>44974</v>
      </c>
      <c r="B1295" s="1655" t="s">
        <v>1168</v>
      </c>
      <c r="C1295" s="1664" t="s">
        <v>4446</v>
      </c>
      <c r="D1295" s="1664" t="s">
        <v>2054</v>
      </c>
      <c r="E1295" s="1655" t="s">
        <v>1168</v>
      </c>
      <c r="F1295" s="1655" t="s">
        <v>1170</v>
      </c>
      <c r="G1295" s="1655" t="s">
        <v>1170</v>
      </c>
      <c r="H1295" s="1655" t="s">
        <v>1170</v>
      </c>
      <c r="I1295" s="1655" t="s">
        <v>1170</v>
      </c>
      <c r="J1295" s="1698" t="s">
        <v>4447</v>
      </c>
      <c r="K1295" s="1664" t="s">
        <v>4448</v>
      </c>
      <c r="L1295" s="1655" t="s">
        <v>1170</v>
      </c>
      <c r="M1295" s="1655" t="s">
        <v>1170</v>
      </c>
      <c r="N1295" s="1655" t="s">
        <v>1170</v>
      </c>
      <c r="O1295" s="1755">
        <v>44522</v>
      </c>
      <c r="P1295" s="1755">
        <v>45251</v>
      </c>
      <c r="Q1295" s="1664" t="s">
        <v>589</v>
      </c>
      <c r="R1295" s="1805">
        <v>47286</v>
      </c>
      <c r="S1295" s="1664" t="s">
        <v>1189</v>
      </c>
      <c r="T1295" s="1655" t="s">
        <v>1170</v>
      </c>
      <c r="U1295" s="1655" t="s">
        <v>1170</v>
      </c>
      <c r="V1295" s="1655"/>
      <c r="W1295" s="1664" t="s">
        <v>1211</v>
      </c>
      <c r="X1295" s="1723" t="s">
        <v>1175</v>
      </c>
      <c r="Y1295" s="1723" t="s">
        <v>251</v>
      </c>
      <c r="Z1295" s="1657" t="s">
        <v>1170</v>
      </c>
      <c r="AA1295" s="1657" t="s">
        <v>1170</v>
      </c>
      <c r="AB1295" s="1657" t="s">
        <v>1170</v>
      </c>
      <c r="AC1295" s="909" t="s">
        <v>4449</v>
      </c>
      <c r="AD1295" s="1657" t="s">
        <v>1170</v>
      </c>
      <c r="AE1295" s="1828">
        <v>47286</v>
      </c>
    </row>
    <row r="1296" spans="1:31" ht="37.5">
      <c r="A1296" s="1119"/>
      <c r="B1296" s="577" t="s">
        <v>56</v>
      </c>
      <c r="C1296" s="510" t="s">
        <v>60</v>
      </c>
      <c r="D1296" s="511" t="s">
        <v>57</v>
      </c>
      <c r="E1296" s="511"/>
      <c r="F1296" s="511"/>
      <c r="G1296" s="511"/>
      <c r="H1296" s="511" t="s">
        <v>58</v>
      </c>
      <c r="I1296" s="510" t="s">
        <v>47</v>
      </c>
      <c r="J1296" s="1580" t="s">
        <v>4450</v>
      </c>
      <c r="K1296" s="529"/>
      <c r="L1296" s="511">
        <v>2</v>
      </c>
      <c r="M1296" s="513">
        <f>IF(O1296="tbc","",(IFERROR(EDATE($N1296,-3),"Invalid procurement method or date entered")))</f>
        <v>44374</v>
      </c>
      <c r="N1296" s="514">
        <f>IF(O1296="tbc","",(IFERROR(EDATE(O1296,-L1296),"Invalid procurement method or date entered")))</f>
        <v>44466</v>
      </c>
      <c r="O1296" s="534">
        <v>44527</v>
      </c>
      <c r="P1296" s="535" t="s">
        <v>60</v>
      </c>
      <c r="Q1296" s="535" t="s">
        <v>60</v>
      </c>
      <c r="R1296" s="528">
        <v>35000</v>
      </c>
      <c r="S1296" s="515" t="s">
        <v>3325</v>
      </c>
      <c r="T1296" s="515" t="s">
        <v>62</v>
      </c>
      <c r="U1296" s="515" t="s">
        <v>60</v>
      </c>
      <c r="V1296" s="515"/>
      <c r="W1296" s="394" t="s">
        <v>70</v>
      </c>
    </row>
    <row r="1297" spans="1:32" ht="72.5">
      <c r="A1297" s="1185"/>
      <c r="B1297" s="120"/>
      <c r="C1297" s="2755" t="s">
        <v>4451</v>
      </c>
      <c r="D1297" s="9" t="s">
        <v>32</v>
      </c>
      <c r="E1297" s="9"/>
      <c r="F1297" s="9"/>
      <c r="G1297" s="9"/>
      <c r="H1297" s="5" t="s">
        <v>33</v>
      </c>
      <c r="I1297" s="5" t="s">
        <v>34</v>
      </c>
      <c r="J1297" s="16" t="s">
        <v>1822</v>
      </c>
      <c r="K1297" s="16"/>
      <c r="L1297" s="16"/>
      <c r="M1297" s="182">
        <v>43983</v>
      </c>
      <c r="N1297" s="182"/>
      <c r="O1297" s="182">
        <v>44531</v>
      </c>
      <c r="P1297" s="12">
        <v>48</v>
      </c>
      <c r="Q1297" s="12" t="s">
        <v>141</v>
      </c>
      <c r="R1297" s="18">
        <v>800000</v>
      </c>
      <c r="S1297" s="5" t="s">
        <v>130</v>
      </c>
      <c r="T1297" s="52" t="s">
        <v>70</v>
      </c>
      <c r="U1297" s="48" t="s">
        <v>45</v>
      </c>
      <c r="V1297" s="48"/>
      <c r="W1297" s="12" t="s">
        <v>4452</v>
      </c>
      <c r="X1297" s="80" t="s">
        <v>39</v>
      </c>
      <c r="Y1297" s="80" t="s">
        <v>40</v>
      </c>
      <c r="Z1297" s="80"/>
      <c r="AA1297" s="76"/>
      <c r="AB1297" s="354" t="s">
        <v>3016</v>
      </c>
      <c r="AC1297" s="101" t="s">
        <v>4453</v>
      </c>
      <c r="AD1297" s="76" t="s">
        <v>3256</v>
      </c>
      <c r="AE1297" s="339">
        <v>200000</v>
      </c>
    </row>
    <row r="1298" spans="1:32" ht="72.5">
      <c r="A1298" s="1119"/>
      <c r="B1298" s="120"/>
      <c r="C1298" s="2755" t="s">
        <v>4454</v>
      </c>
      <c r="D1298" s="5" t="s">
        <v>32</v>
      </c>
      <c r="E1298" s="5"/>
      <c r="F1298" s="5"/>
      <c r="G1298" s="5"/>
      <c r="H1298" s="5" t="s">
        <v>502</v>
      </c>
      <c r="I1298" s="12" t="s">
        <v>47</v>
      </c>
      <c r="J1298" s="16" t="s">
        <v>4455</v>
      </c>
      <c r="K1298" s="16"/>
      <c r="L1298" s="5" t="e">
        <f>IF(OR(S1298=#REF!,S1298=#REF!,S1298=#REF!,S1298=#REF!,S1298=#REF!,S1298=#REF!,S1298=#REF!,S1298=#REF!),12,IF(OR(S1298=#REF!,S1298=#REF!,S1298=#REF!,S1298=#REF!,S1298=#REF!,S1298=#REF!,S1298=#REF!),3,IF(S1298=#REF!,1,IF(S1298=#REF!,18,IF(OR(S1298=#REF!,S1298=#REF!,S1298=#REF!,S1298=#REF!,S1298=#REF!),14,"Invalid proposed procurement method")))))</f>
        <v>#REF!</v>
      </c>
      <c r="M1298" s="199" t="str">
        <f>IFERROR(EDATE($N1298,-3),"Invalid procurement method or date entered")</f>
        <v>Invalid procurement method or date entered</v>
      </c>
      <c r="N1298" s="199" t="str">
        <f>IFERROR(EDATE(O1298,-L1298),"Invalid procurement method or date entered")</f>
        <v>Invalid procurement method or date entered</v>
      </c>
      <c r="O1298" s="182">
        <v>44531</v>
      </c>
      <c r="P1298" s="12">
        <v>48</v>
      </c>
      <c r="Q1298" s="7" t="s">
        <v>258</v>
      </c>
      <c r="R1298" s="18">
        <v>50000000</v>
      </c>
      <c r="S1298" s="5" t="s">
        <v>91</v>
      </c>
      <c r="T1298" s="5" t="s">
        <v>38</v>
      </c>
      <c r="U1298" s="12" t="s">
        <v>67</v>
      </c>
      <c r="V1298" s="12"/>
      <c r="W1298" s="12" t="s">
        <v>517</v>
      </c>
      <c r="X1298" s="80" t="s">
        <v>86</v>
      </c>
      <c r="Y1298" s="80" t="s">
        <v>40</v>
      </c>
      <c r="Z1298" s="80"/>
      <c r="AA1298" s="76" t="s">
        <v>38</v>
      </c>
      <c r="AB1298" s="354" t="s">
        <v>41</v>
      </c>
      <c r="AC1298" s="101" t="s">
        <v>89</v>
      </c>
      <c r="AD1298" s="76" t="s">
        <v>979</v>
      </c>
      <c r="AE1298" s="339"/>
    </row>
    <row r="1299" spans="1:32" ht="72.5">
      <c r="A1299" s="1119"/>
      <c r="B1299" s="2755" t="s">
        <v>44</v>
      </c>
      <c r="C1299" s="2755" t="s">
        <v>4456</v>
      </c>
      <c r="D1299" s="9" t="s">
        <v>32</v>
      </c>
      <c r="E1299" s="9"/>
      <c r="F1299" s="9"/>
      <c r="G1299" s="9"/>
      <c r="H1299" s="5" t="s">
        <v>80</v>
      </c>
      <c r="I1299" s="5" t="s">
        <v>47</v>
      </c>
      <c r="J1299" s="16" t="s">
        <v>4457</v>
      </c>
      <c r="K1299" s="8"/>
      <c r="L1299" s="5" t="e">
        <f>IF(OR(S1299=#REF!,S1299=#REF!,S1299=#REF!,S1299=#REF!,S1299=#REF!,S1299=#REF!,S1299=#REF!,S1299=#REF!),12,IF(OR(S1299=#REF!,S1299=#REF!,S1299=#REF!,S1299=#REF!,S1299=#REF!,S1299=#REF!,S1299=#REF!),3,IF(S1299=#REF!,1,IF(S1299=#REF!,18,IF(OR(S1299=#REF!,S1299=#REF!,S1299=#REF!,S1299=#REF!,S1299=#REF!),14,"Invalid proposed procurement method")))))</f>
        <v>#REF!</v>
      </c>
      <c r="M1299" s="199" t="str">
        <f>IFERROR(EDATE($N1299,-3),"Invalid procurement method or date entered")</f>
        <v>Invalid procurement method or date entered</v>
      </c>
      <c r="N1299" s="199" t="str">
        <f>IFERROR(EDATE(O1299,-L1299),"Invalid procurement method or date entered")</f>
        <v>Invalid procurement method or date entered</v>
      </c>
      <c r="O1299" s="199">
        <v>44531</v>
      </c>
      <c r="P1299" s="5">
        <v>52</v>
      </c>
      <c r="Q1299" s="5" t="s">
        <v>4458</v>
      </c>
      <c r="R1299" s="18">
        <v>2800000</v>
      </c>
      <c r="S1299" s="5" t="s">
        <v>84</v>
      </c>
      <c r="T1299" s="52" t="s">
        <v>70</v>
      </c>
      <c r="U1299" s="210">
        <v>44519</v>
      </c>
      <c r="V1299" s="210"/>
      <c r="W1299" s="5" t="s">
        <v>85</v>
      </c>
      <c r="X1299" s="80" t="s">
        <v>86</v>
      </c>
      <c r="Y1299" s="80" t="s">
        <v>40</v>
      </c>
      <c r="Z1299" s="80" t="s">
        <v>87</v>
      </c>
      <c r="AA1299" s="80" t="s">
        <v>70</v>
      </c>
      <c r="AB1299" s="354" t="s">
        <v>224</v>
      </c>
      <c r="AC1299" s="101" t="s">
        <v>89</v>
      </c>
      <c r="AD1299" s="76" t="s">
        <v>80</v>
      </c>
      <c r="AE1299" s="339"/>
    </row>
    <row r="1300" spans="1:32" ht="116">
      <c r="A1300" s="1184"/>
      <c r="B1300" s="2755" t="s">
        <v>44</v>
      </c>
      <c r="C1300" s="16" t="s">
        <v>4459</v>
      </c>
      <c r="D1300" s="9" t="s">
        <v>32</v>
      </c>
      <c r="E1300" s="9"/>
      <c r="F1300" s="9"/>
      <c r="G1300" s="9"/>
      <c r="H1300" s="5" t="s">
        <v>33</v>
      </c>
      <c r="I1300" s="5" t="s">
        <v>47</v>
      </c>
      <c r="J1300" s="16" t="s">
        <v>4460</v>
      </c>
      <c r="K1300" s="16"/>
      <c r="L1300" s="5" t="e">
        <f>IF(OR(S1300=#REF!,S1300=#REF!,S1300=#REF!,S1300=#REF!,S1300=#REF!,S1300=#REF!,S1300=#REF!,S1300=#REF!),12,IF(OR(S1300=#REF!,S1300=#REF!,S1300=#REF!,S1300=#REF!,S1300=#REF!,S1300=#REF!,S1300=#REF!),3,IF(S1300=#REF!,1,IF(S1300=#REF!,18,IF(OR(S1300=#REF!,S1300=#REF!,S1300=#REF!,S1300=#REF!,S1300=#REF!),14,"Invalid proposed procurement method")))))</f>
        <v>#REF!</v>
      </c>
      <c r="M1300" s="199" t="str">
        <f>IFERROR(EDATE($N1300,-3),"Invalid procurement method or date entered")</f>
        <v>Invalid procurement method or date entered</v>
      </c>
      <c r="N1300" s="199" t="str">
        <f>IFERROR(EDATE(O1300,-L1300),"Invalid procurement method or date entered")</f>
        <v>Invalid procurement method or date entered</v>
      </c>
      <c r="O1300" s="182">
        <v>44531</v>
      </c>
      <c r="P1300" s="12">
        <v>48</v>
      </c>
      <c r="Q1300" s="12" t="s">
        <v>215</v>
      </c>
      <c r="R1300" s="18">
        <v>1033348</v>
      </c>
      <c r="S1300" s="5" t="s">
        <v>84</v>
      </c>
      <c r="T1300" s="52" t="s">
        <v>70</v>
      </c>
      <c r="U1300" s="210">
        <v>44518</v>
      </c>
      <c r="V1300" s="210"/>
      <c r="W1300" s="5" t="s">
        <v>4461</v>
      </c>
      <c r="X1300" s="80" t="s">
        <v>543</v>
      </c>
      <c r="Y1300" s="80" t="s">
        <v>40</v>
      </c>
      <c r="Z1300" s="80" t="s">
        <v>69</v>
      </c>
      <c r="AA1300" s="76" t="s">
        <v>70</v>
      </c>
      <c r="AB1300" s="354" t="s">
        <v>88</v>
      </c>
      <c r="AC1300" s="101" t="s">
        <v>4462</v>
      </c>
      <c r="AD1300" s="80" t="s">
        <v>164</v>
      </c>
      <c r="AE1300" s="197">
        <v>258337</v>
      </c>
    </row>
    <row r="1301" spans="1:32" ht="43.5">
      <c r="A1301" s="2756"/>
      <c r="B1301" s="2755" t="s">
        <v>44</v>
      </c>
      <c r="C1301" s="4"/>
      <c r="D1301" s="5" t="s">
        <v>57</v>
      </c>
      <c r="E1301" s="5"/>
      <c r="F1301" s="5"/>
      <c r="G1301" s="5"/>
      <c r="H1301" s="5" t="s">
        <v>33</v>
      </c>
      <c r="I1301" s="5" t="s">
        <v>47</v>
      </c>
      <c r="J1301" s="16" t="s">
        <v>4463</v>
      </c>
      <c r="K1301" s="16"/>
      <c r="L1301" s="5" t="e">
        <f>IF(OR(S1301=#REF!,S1301=#REF!,S1301=#REF!,S1301=#REF!,S1301=#REF!,S1301=#REF!,S1301=#REF!,S1301=#REF!),12,IF(OR(S1301=#REF!,S1301=#REF!,S1301=#REF!,S1301=#REF!,S1301=#REF!,S1301=#REF!,S1301=#REF!),3,IF(S1301=#REF!,1,IF(S1301=#REF!,18,IF(OR(S1301=#REF!,S1301=#REF!,S1301=#REF!,S1301=#REF!,S1301=#REF!),14,"Invalid proposed procurement method")))))</f>
        <v>#REF!</v>
      </c>
      <c r="M1301" s="199">
        <v>44166</v>
      </c>
      <c r="N1301" s="199">
        <v>44228</v>
      </c>
      <c r="O1301" s="199">
        <v>44531</v>
      </c>
      <c r="P1301" s="12">
        <v>36</v>
      </c>
      <c r="Q1301" s="12">
        <v>36</v>
      </c>
      <c r="R1301" s="18">
        <v>47145</v>
      </c>
      <c r="S1301" s="5" t="s">
        <v>51</v>
      </c>
      <c r="T1301" s="5" t="s">
        <v>38</v>
      </c>
      <c r="U1301" s="12" t="s">
        <v>67</v>
      </c>
      <c r="V1301" s="12"/>
      <c r="W1301" s="5" t="s">
        <v>340</v>
      </c>
      <c r="X1301" s="80" t="s">
        <v>162</v>
      </c>
      <c r="Y1301" s="80" t="s">
        <v>40</v>
      </c>
      <c r="Z1301" s="80"/>
      <c r="AA1301" s="80"/>
      <c r="AB1301" s="354" t="s">
        <v>224</v>
      </c>
      <c r="AC1301" s="101" t="s">
        <v>4464</v>
      </c>
      <c r="AD1301" s="80" t="s">
        <v>96</v>
      </c>
      <c r="AE1301" s="211"/>
    </row>
    <row r="1302" spans="1:32" ht="58">
      <c r="A1302" s="1184"/>
      <c r="B1302" s="2755" t="s">
        <v>44</v>
      </c>
      <c r="C1302" s="4" t="s">
        <v>45</v>
      </c>
      <c r="D1302" s="974" t="s">
        <v>32</v>
      </c>
      <c r="E1302" s="974"/>
      <c r="F1302" s="974"/>
      <c r="G1302" s="974"/>
      <c r="H1302" s="58" t="s">
        <v>595</v>
      </c>
      <c r="I1302" s="58" t="s">
        <v>47</v>
      </c>
      <c r="J1302" s="989" t="s">
        <v>4465</v>
      </c>
      <c r="K1302" s="989"/>
      <c r="L1302" s="58">
        <v>2</v>
      </c>
      <c r="M1302" s="205">
        <f>IFERROR(EDATE($N1302,-3),"Invalid procurement method or date entered")</f>
        <v>44378</v>
      </c>
      <c r="N1302" s="205">
        <f>IFERROR(EDATE(O1302,-L1302),"Invalid procurement method or date entered")</f>
        <v>44470</v>
      </c>
      <c r="O1302" s="221">
        <v>44531</v>
      </c>
      <c r="P1302" s="202">
        <v>24</v>
      </c>
      <c r="Q1302" s="202">
        <v>24</v>
      </c>
      <c r="R1302" s="201">
        <v>5400</v>
      </c>
      <c r="S1302" s="2906" t="s">
        <v>37</v>
      </c>
      <c r="T1302" s="58" t="s">
        <v>38</v>
      </c>
      <c r="U1302" s="14" t="s">
        <v>67</v>
      </c>
      <c r="V1302" s="328"/>
      <c r="W1302" s="58" t="s">
        <v>598</v>
      </c>
      <c r="X1302" s="80" t="s">
        <v>162</v>
      </c>
      <c r="Y1302" s="80" t="s">
        <v>40</v>
      </c>
      <c r="Z1302" s="80" t="s">
        <v>154</v>
      </c>
      <c r="AA1302" s="80" t="s">
        <v>70</v>
      </c>
      <c r="AB1302" s="354" t="s">
        <v>224</v>
      </c>
      <c r="AC1302" s="101" t="s">
        <v>4466</v>
      </c>
      <c r="AD1302" s="76" t="s">
        <v>79</v>
      </c>
      <c r="AE1302" s="339"/>
    </row>
    <row r="1303" spans="1:32" ht="72.5">
      <c r="A1303" s="2893"/>
      <c r="B1303" s="2755" t="s">
        <v>44</v>
      </c>
      <c r="C1303" s="4" t="s">
        <v>4467</v>
      </c>
      <c r="D1303" s="974" t="s">
        <v>57</v>
      </c>
      <c r="E1303" s="974"/>
      <c r="F1303" s="974"/>
      <c r="G1303" s="974"/>
      <c r="H1303" s="58" t="s">
        <v>4468</v>
      </c>
      <c r="I1303" s="58" t="s">
        <v>47</v>
      </c>
      <c r="J1303" s="989" t="s">
        <v>4469</v>
      </c>
      <c r="K1303" s="187"/>
      <c r="L1303" s="5" t="e">
        <f>IF(OR(S1303=#REF!,S1303=#REF!,S1303=#REF!,S1303=#REF!,S1303=#REF!,S1303=#REF!,S1303=#REF!,S1303=#REF!),12,IF(OR(S1303=#REF!,S1303=#REF!,S1303=#REF!,S1303=#REF!,S1303=#REF!,S1303=#REF!,S1303=#REF!),3,IF(S1303=#REF!,1,IF(S1303=#REF!,18,IF(OR(S1303=#REF!,S1303=#REF!,S1303=#REF!,S1303=#REF!,S1303=#REF!),14,"Invalid proposed procurement method")))))</f>
        <v>#REF!</v>
      </c>
      <c r="M1303" s="205">
        <v>44378</v>
      </c>
      <c r="N1303" s="205" t="str">
        <f>IFERROR(EDATE(O1303,-L1303),"Invalid procurement method or date entered")</f>
        <v>Invalid procurement method or date entered</v>
      </c>
      <c r="O1303" s="205">
        <v>44531</v>
      </c>
      <c r="P1303" s="2906">
        <v>6</v>
      </c>
      <c r="Q1303" s="2906">
        <v>6</v>
      </c>
      <c r="R1303" s="201">
        <v>39500</v>
      </c>
      <c r="S1303" s="2906" t="s">
        <v>176</v>
      </c>
      <c r="T1303" s="974" t="s">
        <v>38</v>
      </c>
      <c r="U1303" s="15" t="s">
        <v>67</v>
      </c>
      <c r="V1303" s="1776"/>
      <c r="W1303" s="58" t="s">
        <v>4470</v>
      </c>
      <c r="X1303" s="80" t="s">
        <v>86</v>
      </c>
      <c r="Y1303" s="80" t="s">
        <v>40</v>
      </c>
      <c r="Z1303" s="80" t="s">
        <v>87</v>
      </c>
      <c r="AA1303" s="80" t="s">
        <v>38</v>
      </c>
      <c r="AB1303" s="354" t="s">
        <v>224</v>
      </c>
      <c r="AC1303" s="101" t="s">
        <v>89</v>
      </c>
      <c r="AD1303" s="80" t="s">
        <v>46</v>
      </c>
      <c r="AE1303" s="211"/>
    </row>
    <row r="1304" spans="1:32" ht="58">
      <c r="A1304" s="2754"/>
      <c r="B1304" s="2755" t="s">
        <v>44</v>
      </c>
      <c r="C1304" s="4"/>
      <c r="D1304" s="9" t="s">
        <v>32</v>
      </c>
      <c r="E1304" s="9"/>
      <c r="F1304" s="9"/>
      <c r="G1304" s="9"/>
      <c r="H1304" s="5" t="s">
        <v>46</v>
      </c>
      <c r="I1304" s="5" t="s">
        <v>47</v>
      </c>
      <c r="J1304" s="16" t="s">
        <v>4471</v>
      </c>
      <c r="K1304" s="8"/>
      <c r="L1304" s="5" t="e">
        <f>IF(OR(S1304=#REF!,S1304=#REF!,S1304=#REF!,S1304=#REF!,S1304=#REF!,S1304=#REF!,S1304=#REF!,S1304=#REF!),12,IF(OR(S1304=#REF!,S1304=#REF!,S1304=#REF!,S1304=#REF!,S1304=#REF!,S1304=#REF!,S1304=#REF!),3,IF(S1304=#REF!,1,IF(S1304=#REF!,18,IF(OR(S1304=#REF!,S1304=#REF!,S1304=#REF!,S1304=#REF!,S1304=#REF!),14,"Invalid proposed procurement method")))))</f>
        <v>#REF!</v>
      </c>
      <c r="M1304" s="199">
        <v>44446</v>
      </c>
      <c r="N1304" s="199">
        <v>44446</v>
      </c>
      <c r="O1304" s="199">
        <v>44531</v>
      </c>
      <c r="P1304" s="5">
        <v>24</v>
      </c>
      <c r="Q1304" s="7" t="s">
        <v>391</v>
      </c>
      <c r="R1304" s="18">
        <v>38000000</v>
      </c>
      <c r="S1304" s="5" t="s">
        <v>158</v>
      </c>
      <c r="T1304" s="50" t="s">
        <v>70</v>
      </c>
      <c r="U1304" s="210">
        <v>44453</v>
      </c>
      <c r="V1304" s="210"/>
      <c r="W1304" s="5" t="s">
        <v>4472</v>
      </c>
      <c r="X1304" s="80" t="s">
        <v>162</v>
      </c>
      <c r="Y1304" s="80" t="s">
        <v>40</v>
      </c>
      <c r="Z1304" s="80"/>
      <c r="AA1304" s="80" t="s">
        <v>38</v>
      </c>
      <c r="AB1304" s="354" t="s">
        <v>88</v>
      </c>
      <c r="AC1304" s="101" t="s">
        <v>4473</v>
      </c>
      <c r="AD1304" s="76" t="s">
        <v>46</v>
      </c>
      <c r="AE1304" s="211"/>
    </row>
    <row r="1305" spans="1:32" ht="58">
      <c r="A1305" s="1191"/>
      <c r="B1305" s="362" t="s">
        <v>100</v>
      </c>
      <c r="C1305" s="362"/>
      <c r="D1305" s="8" t="s">
        <v>110</v>
      </c>
      <c r="E1305" s="8"/>
      <c r="F1305" s="8"/>
      <c r="G1305" s="8"/>
      <c r="H1305" s="8" t="s">
        <v>103</v>
      </c>
      <c r="I1305" s="8" t="s">
        <v>34</v>
      </c>
      <c r="J1305" s="16" t="s">
        <v>4474</v>
      </c>
      <c r="K1305" s="8"/>
      <c r="L1305" s="84">
        <v>12</v>
      </c>
      <c r="M1305" s="436">
        <f>IFERROR(EDATE(N1305,-3),"Invalid procurement method or date entered")</f>
        <v>44075</v>
      </c>
      <c r="N1305" s="386">
        <f>IFERROR(EDATE(O1305,-L1305),"Invalid procurement method or date entered")</f>
        <v>44166</v>
      </c>
      <c r="O1305" s="367">
        <v>44531</v>
      </c>
      <c r="P1305" s="369">
        <v>84</v>
      </c>
      <c r="Q1305" s="369" t="s">
        <v>112</v>
      </c>
      <c r="R1305" s="46" t="s">
        <v>45</v>
      </c>
      <c r="S1305" s="5" t="s">
        <v>130</v>
      </c>
      <c r="T1305" s="190" t="s">
        <v>70</v>
      </c>
      <c r="U1305" s="190" t="s">
        <v>4475</v>
      </c>
      <c r="V1305" s="190"/>
      <c r="W1305" s="8" t="s">
        <v>1275</v>
      </c>
      <c r="X1305" s="101" t="s">
        <v>120</v>
      </c>
      <c r="Y1305" s="101" t="s">
        <v>727</v>
      </c>
      <c r="Z1305" s="101"/>
      <c r="AA1305" s="101" t="s">
        <v>87</v>
      </c>
      <c r="AB1305" s="1099"/>
      <c r="AC1305" s="432">
        <v>44358</v>
      </c>
      <c r="AD1305" s="432"/>
      <c r="AE1305" s="432"/>
    </row>
    <row r="1306" spans="1:32" ht="72.5">
      <c r="A1306" s="1191"/>
      <c r="B1306" s="2755" t="s">
        <v>44</v>
      </c>
      <c r="C1306" s="4">
        <v>24244</v>
      </c>
      <c r="D1306" s="9" t="s">
        <v>57</v>
      </c>
      <c r="E1306" s="9"/>
      <c r="F1306" s="9"/>
      <c r="G1306" s="9"/>
      <c r="H1306" s="5" t="s">
        <v>4468</v>
      </c>
      <c r="I1306" s="5" t="s">
        <v>47</v>
      </c>
      <c r="J1306" s="16" t="s">
        <v>4476</v>
      </c>
      <c r="K1306" s="8"/>
      <c r="L1306" s="5" t="e">
        <f>IF(OR(S1306=#REF!,S1306=#REF!,S1306=#REF!,S1306=#REF!,S1306=#REF!,S1306=#REF!,S1306=#REF!,S1306=#REF!),12,IF(OR(S1306=#REF!,S1306=#REF!,S1306=#REF!,S1306=#REF!,S1306=#REF!,S1306=#REF!,S1306=#REF!),3,IF(S1306=#REF!,1,IF(S1306=#REF!,18,IF(OR(S1306=#REF!,S1306=#REF!,S1306=#REF!,S1306=#REF!,S1306=#REF!),14,"Invalid proposed procurement method")))))</f>
        <v>#REF!</v>
      </c>
      <c r="M1306" s="199">
        <v>44378</v>
      </c>
      <c r="N1306" s="199" t="str">
        <f>IFERROR(EDATE(O1306,-L1306),"Invalid procurement method or date entered")</f>
        <v>Invalid procurement method or date entered</v>
      </c>
      <c r="O1306" s="199">
        <v>44531</v>
      </c>
      <c r="P1306" s="2751">
        <v>7</v>
      </c>
      <c r="Q1306" s="2751">
        <v>7</v>
      </c>
      <c r="R1306" s="18">
        <v>330000</v>
      </c>
      <c r="S1306" s="2751" t="s">
        <v>84</v>
      </c>
      <c r="T1306" s="50" t="s">
        <v>62</v>
      </c>
      <c r="U1306" s="48" t="s">
        <v>71</v>
      </c>
      <c r="V1306" s="48"/>
      <c r="W1306" s="5" t="s">
        <v>3746</v>
      </c>
      <c r="X1306" s="80" t="s">
        <v>94</v>
      </c>
      <c r="Y1306" s="80" t="s">
        <v>40</v>
      </c>
      <c r="Z1306" s="80" t="s">
        <v>87</v>
      </c>
      <c r="AA1306" s="80" t="s">
        <v>38</v>
      </c>
      <c r="AB1306" s="2772" t="s">
        <v>88</v>
      </c>
      <c r="AC1306" s="101" t="s">
        <v>4477</v>
      </c>
      <c r="AD1306" s="80" t="s">
        <v>46</v>
      </c>
      <c r="AE1306" s="211"/>
    </row>
    <row r="1307" spans="1:32" ht="37.5">
      <c r="A1307" s="1119"/>
      <c r="B1307" s="577" t="s">
        <v>56</v>
      </c>
      <c r="C1307" s="510" t="s">
        <v>60</v>
      </c>
      <c r="D1307" s="510" t="s">
        <v>56</v>
      </c>
      <c r="E1307" s="510"/>
      <c r="F1307" s="510"/>
      <c r="G1307" s="510"/>
      <c r="H1307" s="511" t="s">
        <v>57</v>
      </c>
      <c r="I1307" s="519" t="s">
        <v>47</v>
      </c>
      <c r="J1307" s="1578" t="s">
        <v>4478</v>
      </c>
      <c r="K1307" s="529"/>
      <c r="L1307" s="511">
        <v>1</v>
      </c>
      <c r="M1307" s="514">
        <f>IF(O1307="tbc","",(IFERROR(EDATE($N1307,-3),"Invalid procurement method or date entered")))</f>
        <v>44409</v>
      </c>
      <c r="N1307" s="514">
        <f>IF(O1307="tbc","",(IFERROR(EDATE(O1307,-L1307),"Invalid procurement method or date entered")))</f>
        <v>44501</v>
      </c>
      <c r="O1307" s="515">
        <v>44531</v>
      </c>
      <c r="P1307" s="516">
        <v>1</v>
      </c>
      <c r="Q1307" s="516">
        <v>1</v>
      </c>
      <c r="R1307" s="528">
        <v>75000</v>
      </c>
      <c r="S1307" s="515" t="s">
        <v>176</v>
      </c>
      <c r="T1307" s="515" t="s">
        <v>62</v>
      </c>
      <c r="U1307" s="515" t="s">
        <v>60</v>
      </c>
      <c r="V1307" s="515"/>
      <c r="W1307" s="569" t="s">
        <v>577</v>
      </c>
    </row>
    <row r="1308" spans="1:32" ht="87.5">
      <c r="A1308" s="1119"/>
      <c r="B1308" s="577" t="s">
        <v>56</v>
      </c>
      <c r="C1308" s="510" t="s">
        <v>60</v>
      </c>
      <c r="D1308" s="511" t="s">
        <v>57</v>
      </c>
      <c r="E1308" s="511"/>
      <c r="F1308" s="511"/>
      <c r="G1308" s="511"/>
      <c r="H1308" s="511" t="s">
        <v>58</v>
      </c>
      <c r="I1308" s="519" t="s">
        <v>47</v>
      </c>
      <c r="J1308" s="1578" t="s">
        <v>4479</v>
      </c>
      <c r="K1308" s="603"/>
      <c r="L1308" s="511">
        <v>1</v>
      </c>
      <c r="M1308" s="513">
        <f>IF(O1308="tbc","",(IFERROR(EDATE($N1308,-3),"Invalid procurement method or date entered")))</f>
        <v>44409</v>
      </c>
      <c r="N1308" s="514">
        <f>IF(O1308="tbc","",(IFERROR(EDATE(O1308,-L1308),"Invalid procurement method or date entered")))</f>
        <v>44501</v>
      </c>
      <c r="O1308" s="515">
        <v>44531</v>
      </c>
      <c r="P1308" s="516">
        <v>1</v>
      </c>
      <c r="Q1308" s="516">
        <v>1</v>
      </c>
      <c r="R1308" s="528">
        <f>75000+75000</f>
        <v>150000</v>
      </c>
      <c r="S1308" s="515" t="s">
        <v>176</v>
      </c>
      <c r="T1308" s="515" t="s">
        <v>62</v>
      </c>
      <c r="U1308" s="515" t="s">
        <v>60</v>
      </c>
      <c r="V1308" s="515"/>
      <c r="W1308" s="521" t="s">
        <v>70</v>
      </c>
    </row>
    <row r="1309" spans="1:32" ht="52">
      <c r="A1309" s="911" t="s">
        <v>71</v>
      </c>
      <c r="B1309" s="695" t="s">
        <v>44</v>
      </c>
      <c r="C1309" s="738" t="s">
        <v>4480</v>
      </c>
      <c r="D1309" s="808" t="s">
        <v>32</v>
      </c>
      <c r="E1309" s="730" t="s">
        <v>449</v>
      </c>
      <c r="F1309" s="808" t="s">
        <v>361</v>
      </c>
      <c r="G1309" s="808" t="s">
        <v>569</v>
      </c>
      <c r="H1309" s="710" t="s">
        <v>33</v>
      </c>
      <c r="I1309" s="710" t="s">
        <v>268</v>
      </c>
      <c r="J1309" s="1609" t="s">
        <v>4481</v>
      </c>
      <c r="K1309" s="1253"/>
      <c r="L1309" s="710" t="e">
        <f>IF(OR(S1309=#REF!,S1309=#REF!,S1309=#REF!,S1309=#REF!,S1309=#REF!,S1309=#REF!,S1309=#REF!,S1309=#REF!),12,IF(OR(S1309=#REF!,S1309=#REF!,S1309=#REF!,S1309=#REF!,S1309=#REF!,S1309=#REF!,S1309=#REF!),3,IF(S1309=#REF!,1,IF(S1309=#REF!,18,IF(OR(S1309=#REF!,S1309=#REF!,S1309=#REF!,S1309=#REF!,S1309=#REF!),14,"Invalid proposed procurement method")))))</f>
        <v>#REF!</v>
      </c>
      <c r="M1309" s="769">
        <v>44256</v>
      </c>
      <c r="N1309" s="769" t="str">
        <f>IFERROR(EDATE(O1309,-L1309),"Invalid procurement method or date entered")</f>
        <v>Invalid procurement method or date entered</v>
      </c>
      <c r="O1309" s="1236">
        <v>44531</v>
      </c>
      <c r="P1309" s="1253">
        <v>36</v>
      </c>
      <c r="Q1309" s="1254" t="s">
        <v>98</v>
      </c>
      <c r="R1309" s="772" t="s">
        <v>4482</v>
      </c>
      <c r="S1309" s="1253" t="s">
        <v>84</v>
      </c>
      <c r="T1309" s="769" t="s">
        <v>70</v>
      </c>
      <c r="U1309" s="769">
        <v>44463</v>
      </c>
      <c r="V1309" s="769"/>
      <c r="W1309" s="738" t="s">
        <v>262</v>
      </c>
      <c r="X1309" s="843" t="s">
        <v>54</v>
      </c>
      <c r="Y1309" s="843" t="s">
        <v>727</v>
      </c>
      <c r="Z1309" s="843" t="s">
        <v>69</v>
      </c>
      <c r="AA1309" s="843" t="s">
        <v>70</v>
      </c>
      <c r="AB1309" s="1499">
        <v>44960</v>
      </c>
      <c r="AC1309" s="1716" t="s">
        <v>4483</v>
      </c>
      <c r="AD1309" s="843" t="s">
        <v>264</v>
      </c>
      <c r="AE1309" s="889"/>
      <c r="AF1309" s="906"/>
    </row>
    <row r="1310" spans="1:32">
      <c r="A1310" s="1648">
        <v>44974</v>
      </c>
      <c r="B1310" s="1655" t="s">
        <v>1168</v>
      </c>
      <c r="C1310" s="1664">
        <v>24317</v>
      </c>
      <c r="D1310" s="1664" t="s">
        <v>1216</v>
      </c>
      <c r="E1310" s="1655" t="s">
        <v>1168</v>
      </c>
      <c r="F1310" s="1655" t="s">
        <v>1170</v>
      </c>
      <c r="G1310" s="1655" t="s">
        <v>1170</v>
      </c>
      <c r="H1310" s="1655" t="s">
        <v>1170</v>
      </c>
      <c r="I1310" s="1655" t="s">
        <v>1170</v>
      </c>
      <c r="J1310" s="1698" t="s">
        <v>4484</v>
      </c>
      <c r="K1310" s="1664" t="s">
        <v>4485</v>
      </c>
      <c r="L1310" s="1655" t="s">
        <v>1170</v>
      </c>
      <c r="M1310" s="1655" t="s">
        <v>1170</v>
      </c>
      <c r="N1310" s="1655" t="s">
        <v>1170</v>
      </c>
      <c r="O1310" s="1755">
        <v>44531</v>
      </c>
      <c r="P1310" s="1755">
        <v>44651</v>
      </c>
      <c r="Q1310" s="1664" t="s">
        <v>589</v>
      </c>
      <c r="R1310" s="1805">
        <v>22875</v>
      </c>
      <c r="S1310" s="1664" t="s">
        <v>4486</v>
      </c>
      <c r="T1310" s="1655" t="s">
        <v>1170</v>
      </c>
      <c r="U1310" s="1655" t="s">
        <v>1170</v>
      </c>
      <c r="V1310" s="1655"/>
      <c r="W1310" s="1664" t="s">
        <v>1220</v>
      </c>
      <c r="X1310" s="1723" t="s">
        <v>1175</v>
      </c>
      <c r="Y1310" s="1723" t="s">
        <v>251</v>
      </c>
      <c r="Z1310" s="1657" t="s">
        <v>1170</v>
      </c>
      <c r="AA1310" s="1657" t="s">
        <v>1170</v>
      </c>
      <c r="AB1310" s="1657" t="s">
        <v>1170</v>
      </c>
      <c r="AC1310" s="909" t="s">
        <v>4487</v>
      </c>
      <c r="AD1310" s="1657" t="s">
        <v>1170</v>
      </c>
      <c r="AE1310" s="1828">
        <v>22875</v>
      </c>
    </row>
    <row r="1311" spans="1:32">
      <c r="A1311" s="1648">
        <v>44974</v>
      </c>
      <c r="B1311" s="1655" t="s">
        <v>1168</v>
      </c>
      <c r="C1311" s="1664">
        <v>24320</v>
      </c>
      <c r="D1311" s="1664" t="s">
        <v>1216</v>
      </c>
      <c r="E1311" s="1655" t="s">
        <v>1168</v>
      </c>
      <c r="F1311" s="1655" t="s">
        <v>1170</v>
      </c>
      <c r="G1311" s="1655" t="s">
        <v>1170</v>
      </c>
      <c r="H1311" s="1655" t="s">
        <v>1170</v>
      </c>
      <c r="I1311" s="1655" t="s">
        <v>1170</v>
      </c>
      <c r="J1311" s="1698" t="s">
        <v>4488</v>
      </c>
      <c r="K1311" s="1664" t="s">
        <v>4485</v>
      </c>
      <c r="L1311" s="1655" t="s">
        <v>1170</v>
      </c>
      <c r="M1311" s="1655" t="s">
        <v>1170</v>
      </c>
      <c r="N1311" s="1655" t="s">
        <v>1170</v>
      </c>
      <c r="O1311" s="1755">
        <v>44531</v>
      </c>
      <c r="P1311" s="1755">
        <v>44651</v>
      </c>
      <c r="Q1311" s="1664" t="s">
        <v>589</v>
      </c>
      <c r="R1311" s="1805">
        <v>5999</v>
      </c>
      <c r="S1311" s="1664" t="s">
        <v>4486</v>
      </c>
      <c r="T1311" s="1655" t="s">
        <v>1170</v>
      </c>
      <c r="U1311" s="1655" t="s">
        <v>1170</v>
      </c>
      <c r="V1311" s="1655"/>
      <c r="W1311" s="1664" t="s">
        <v>1220</v>
      </c>
      <c r="X1311" s="1723" t="s">
        <v>1175</v>
      </c>
      <c r="Y1311" s="1723" t="s">
        <v>251</v>
      </c>
      <c r="Z1311" s="1657" t="s">
        <v>1170</v>
      </c>
      <c r="AA1311" s="1657" t="s">
        <v>1170</v>
      </c>
      <c r="AB1311" s="1657" t="s">
        <v>1170</v>
      </c>
      <c r="AC1311" s="909" t="s">
        <v>4487</v>
      </c>
      <c r="AD1311" s="1657" t="s">
        <v>1170</v>
      </c>
      <c r="AE1311" s="1828">
        <v>5999</v>
      </c>
    </row>
    <row r="1312" spans="1:32" ht="37.5">
      <c r="A1312" s="1119"/>
      <c r="B1312" s="577" t="s">
        <v>56</v>
      </c>
      <c r="C1312" s="510" t="s">
        <v>4489</v>
      </c>
      <c r="D1312" s="511" t="s">
        <v>57</v>
      </c>
      <c r="E1312" s="511"/>
      <c r="F1312" s="511"/>
      <c r="G1312" s="511"/>
      <c r="H1312" s="511" t="s">
        <v>58</v>
      </c>
      <c r="I1312" s="519" t="s">
        <v>47</v>
      </c>
      <c r="J1312" s="606" t="s">
        <v>4490</v>
      </c>
      <c r="K1312" s="529"/>
      <c r="L1312" s="511">
        <v>3</v>
      </c>
      <c r="M1312" s="514">
        <f>IF(O1312="tbc","",(IFERROR(EDATE($N1312,-3),"Invalid procurement method or date entered")))</f>
        <v>44350</v>
      </c>
      <c r="N1312" s="514">
        <f>IF(O1312="tbc","",(IFERROR(EDATE(O1312,-L1312),"Invalid procurement method or date entered")))</f>
        <v>44442</v>
      </c>
      <c r="O1312" s="515">
        <v>44533</v>
      </c>
      <c r="P1312" s="530" t="s">
        <v>60</v>
      </c>
      <c r="Q1312" s="530" t="s">
        <v>60</v>
      </c>
      <c r="R1312" s="528">
        <v>30000</v>
      </c>
      <c r="S1312" s="515" t="s">
        <v>176</v>
      </c>
      <c r="T1312" s="515" t="s">
        <v>62</v>
      </c>
      <c r="U1312" s="515" t="s">
        <v>60</v>
      </c>
      <c r="V1312" s="515"/>
      <c r="W1312" s="394" t="s">
        <v>70</v>
      </c>
    </row>
    <row r="1313" spans="1:32" ht="43.5">
      <c r="A1313" s="1184"/>
      <c r="B1313" s="2755" t="s">
        <v>44</v>
      </c>
      <c r="C1313" s="4" t="s">
        <v>2670</v>
      </c>
      <c r="D1313" s="5" t="s">
        <v>32</v>
      </c>
      <c r="E1313" s="5"/>
      <c r="F1313" s="5"/>
      <c r="G1313" s="5"/>
      <c r="H1313" s="5" t="s">
        <v>33</v>
      </c>
      <c r="I1313" s="5" t="s">
        <v>34</v>
      </c>
      <c r="J1313" s="16" t="s">
        <v>2359</v>
      </c>
      <c r="K1313" s="16"/>
      <c r="L1313" s="5">
        <v>6</v>
      </c>
      <c r="M1313" s="199">
        <f>IFERROR(EDATE($N1313,-3),"Invalid procurement method or date entered")</f>
        <v>44259</v>
      </c>
      <c r="N1313" s="199">
        <f>IFERROR(EDATE(O1313,-L1313),"Invalid procurement method or date entered")</f>
        <v>44351</v>
      </c>
      <c r="O1313" s="182">
        <v>44534</v>
      </c>
      <c r="P1313" s="12">
        <v>60</v>
      </c>
      <c r="Q1313" s="7" t="s">
        <v>3624</v>
      </c>
      <c r="R1313" s="19">
        <v>87414.38</v>
      </c>
      <c r="S1313" s="5" t="s">
        <v>130</v>
      </c>
      <c r="T1313" s="5" t="s">
        <v>70</v>
      </c>
      <c r="U1313" s="12" t="s">
        <v>45</v>
      </c>
      <c r="V1313" s="12"/>
      <c r="W1313" s="5" t="s">
        <v>383</v>
      </c>
      <c r="X1313" s="80" t="s">
        <v>39</v>
      </c>
      <c r="Y1313" s="80" t="s">
        <v>40</v>
      </c>
      <c r="Z1313" s="80" t="s">
        <v>69</v>
      </c>
      <c r="AA1313" s="80" t="s">
        <v>70</v>
      </c>
      <c r="AB1313" s="354" t="s">
        <v>224</v>
      </c>
      <c r="AC1313" s="101" t="s">
        <v>4491</v>
      </c>
      <c r="AD1313" s="80" t="s">
        <v>385</v>
      </c>
      <c r="AE1313" s="339">
        <v>17482</v>
      </c>
    </row>
    <row r="1314" spans="1:32" ht="39">
      <c r="A1314" s="911" t="s">
        <v>71</v>
      </c>
      <c r="B1314" s="695" t="s">
        <v>44</v>
      </c>
      <c r="C1314" s="738"/>
      <c r="D1314" s="710" t="s">
        <v>32</v>
      </c>
      <c r="E1314" s="730" t="s">
        <v>449</v>
      </c>
      <c r="F1314" s="710" t="s">
        <v>361</v>
      </c>
      <c r="G1314" s="808" t="s">
        <v>569</v>
      </c>
      <c r="H1314" s="710" t="s">
        <v>33</v>
      </c>
      <c r="I1314" s="710" t="s">
        <v>47</v>
      </c>
      <c r="J1314" s="1608" t="s">
        <v>4492</v>
      </c>
      <c r="K1314" s="710"/>
      <c r="L1314" s="710">
        <v>4</v>
      </c>
      <c r="M1314" s="769">
        <f>IFERROR(EDATE($N1314,-3),"Invalid procurement method or date entered")</f>
        <v>44327</v>
      </c>
      <c r="N1314" s="769">
        <f>IFERROR(EDATE(O1314,-L1314),"Invalid procurement method or date entered")</f>
        <v>44419</v>
      </c>
      <c r="O1314" s="947">
        <v>44541</v>
      </c>
      <c r="P1314" s="738">
        <v>12</v>
      </c>
      <c r="Q1314" s="884" t="s">
        <v>50</v>
      </c>
      <c r="R1314" s="772">
        <v>4096</v>
      </c>
      <c r="S1314" s="710" t="s">
        <v>45</v>
      </c>
      <c r="T1314" s="796" t="s">
        <v>38</v>
      </c>
      <c r="U1314" s="707" t="s">
        <v>67</v>
      </c>
      <c r="V1314" s="707"/>
      <c r="W1314" s="710" t="s">
        <v>383</v>
      </c>
      <c r="X1314" s="843" t="s">
        <v>289</v>
      </c>
      <c r="Y1314" s="843" t="s">
        <v>115</v>
      </c>
      <c r="Z1314" s="843" t="s">
        <v>154</v>
      </c>
      <c r="AA1314" s="843" t="s">
        <v>70</v>
      </c>
      <c r="AB1314" s="1499" t="s">
        <v>71</v>
      </c>
      <c r="AC1314" s="945" t="s">
        <v>729</v>
      </c>
      <c r="AD1314" s="843" t="s">
        <v>385</v>
      </c>
      <c r="AE1314" s="806"/>
      <c r="AF1314" s="908"/>
    </row>
    <row r="1315" spans="1:32" ht="319">
      <c r="A1315" s="1185"/>
      <c r="B1315" s="2755" t="s">
        <v>44</v>
      </c>
      <c r="C1315" s="2755" t="s">
        <v>4493</v>
      </c>
      <c r="D1315" s="9" t="s">
        <v>122</v>
      </c>
      <c r="E1315" s="9"/>
      <c r="F1315" s="9"/>
      <c r="G1315" s="9"/>
      <c r="H1315" s="5" t="s">
        <v>127</v>
      </c>
      <c r="I1315" s="5" t="s">
        <v>47</v>
      </c>
      <c r="J1315" s="16" t="s">
        <v>4494</v>
      </c>
      <c r="K1315" s="8"/>
      <c r="L1315" s="5" t="e">
        <f>IF(OR(S1315=#REF!,S1315=#REF!,S1315=#REF!,S1315=#REF!,S1315=#REF!,S1315=#REF!,S1315=#REF!,S1315=#REF!),12,IF(OR(S1315=#REF!,S1315=#REF!,S1315=#REF!,S1315=#REF!,S1315=#REF!,S1315=#REF!,S1315=#REF!),3,IF(S1315=#REF!,1,IF(S1315=#REF!,18,IF(OR(S1315=#REF!,S1315=#REF!,S1315=#REF!,S1315=#REF!,S1315=#REF!),14,"Invalid proposed procurement method")))))</f>
        <v>#REF!</v>
      </c>
      <c r="M1315" s="199" t="str">
        <f>IFERROR(EDATE($N1315,-3),"Invalid procurement method or date entered")</f>
        <v>Invalid procurement method or date entered</v>
      </c>
      <c r="N1315" s="199" t="str">
        <f>IFERROR(EDATE(O1315,-L1315),"Invalid procurement method or date entered")</f>
        <v>Invalid procurement method or date entered</v>
      </c>
      <c r="O1315" s="182">
        <v>44543</v>
      </c>
      <c r="P1315" s="12">
        <v>84</v>
      </c>
      <c r="Q1315" s="12" t="s">
        <v>4495</v>
      </c>
      <c r="R1315" s="18">
        <v>65000</v>
      </c>
      <c r="S1315" s="5" t="s">
        <v>176</v>
      </c>
      <c r="T1315" s="5" t="s">
        <v>38</v>
      </c>
      <c r="U1315" s="12" t="s">
        <v>67</v>
      </c>
      <c r="V1315" s="12"/>
      <c r="W1315" s="5" t="s">
        <v>2376</v>
      </c>
      <c r="X1315" s="80" t="s">
        <v>162</v>
      </c>
      <c r="Y1315" s="80" t="s">
        <v>290</v>
      </c>
      <c r="Z1315" s="80" t="s">
        <v>154</v>
      </c>
      <c r="AA1315" s="80" t="s">
        <v>70</v>
      </c>
      <c r="AB1315" s="354" t="s">
        <v>224</v>
      </c>
      <c r="AC1315" s="101" t="s">
        <v>4496</v>
      </c>
      <c r="AD1315" s="76" t="s">
        <v>127</v>
      </c>
      <c r="AE1315" s="1131">
        <v>65000</v>
      </c>
    </row>
    <row r="1316" spans="1:32" ht="362.5">
      <c r="A1316" s="2754"/>
      <c r="B1316" s="2755" t="s">
        <v>44</v>
      </c>
      <c r="C1316" s="10">
        <v>50346</v>
      </c>
      <c r="D1316" s="5" t="s">
        <v>32</v>
      </c>
      <c r="E1316" s="5"/>
      <c r="F1316" s="5"/>
      <c r="G1316" s="5"/>
      <c r="H1316" s="5" t="s">
        <v>33</v>
      </c>
      <c r="I1316" s="5" t="s">
        <v>47</v>
      </c>
      <c r="J1316" s="16" t="s">
        <v>4497</v>
      </c>
      <c r="K1316" s="16"/>
      <c r="L1316" s="5"/>
      <c r="M1316" s="199">
        <v>44405</v>
      </c>
      <c r="N1316" s="199"/>
      <c r="O1316" s="14">
        <v>44544</v>
      </c>
      <c r="P1316" s="12">
        <v>60</v>
      </c>
      <c r="Q1316" s="5" t="s">
        <v>4498</v>
      </c>
      <c r="R1316" s="18" t="s">
        <v>4499</v>
      </c>
      <c r="S1316" s="5" t="s">
        <v>84</v>
      </c>
      <c r="T1316" s="14" t="s">
        <v>38</v>
      </c>
      <c r="U1316" s="14" t="s">
        <v>71</v>
      </c>
      <c r="V1316" s="14"/>
      <c r="W1316" s="5" t="s">
        <v>262</v>
      </c>
      <c r="X1316" s="80" t="s">
        <v>162</v>
      </c>
      <c r="Y1316" s="80" t="s">
        <v>40</v>
      </c>
      <c r="Z1316" s="80"/>
      <c r="AA1316" s="80" t="s">
        <v>38</v>
      </c>
      <c r="AB1316" s="354" t="s">
        <v>88</v>
      </c>
      <c r="AC1316" s="101" t="s">
        <v>4500</v>
      </c>
      <c r="AD1316" s="80" t="s">
        <v>264</v>
      </c>
      <c r="AE1316" s="1131" t="s">
        <v>45</v>
      </c>
    </row>
    <row r="1317" spans="1:32" ht="43.5">
      <c r="A1317" s="2754"/>
      <c r="B1317" s="338"/>
      <c r="C1317" s="4" t="s">
        <v>45</v>
      </c>
      <c r="D1317" s="5" t="s">
        <v>32</v>
      </c>
      <c r="E1317" s="5"/>
      <c r="F1317" s="5"/>
      <c r="G1317" s="5"/>
      <c r="H1317" s="5" t="s">
        <v>33</v>
      </c>
      <c r="I1317" s="5" t="s">
        <v>47</v>
      </c>
      <c r="J1317" s="16" t="s">
        <v>728</v>
      </c>
      <c r="K1317" s="8"/>
      <c r="L1317" s="5">
        <v>6</v>
      </c>
      <c r="M1317" s="199">
        <f>IFERROR(EDATE($N1317,-3),"Invalid procurement method or date entered")</f>
        <v>44275</v>
      </c>
      <c r="N1317" s="199">
        <f>IFERROR(EDATE(O1317,-L1317),"Invalid procurement method or date entered")</f>
        <v>44367</v>
      </c>
      <c r="O1317" s="182">
        <v>44550</v>
      </c>
      <c r="P1317" s="12">
        <v>12</v>
      </c>
      <c r="Q1317" s="7" t="s">
        <v>50</v>
      </c>
      <c r="R1317" s="18">
        <v>2355.1999999999998</v>
      </c>
      <c r="S1317" s="5" t="s">
        <v>37</v>
      </c>
      <c r="T1317" s="11" t="s">
        <v>38</v>
      </c>
      <c r="U1317" s="71" t="s">
        <v>67</v>
      </c>
      <c r="V1317" s="71"/>
      <c r="W1317" s="5" t="s">
        <v>383</v>
      </c>
      <c r="X1317" s="80" t="s">
        <v>289</v>
      </c>
      <c r="Y1317" s="80" t="s">
        <v>115</v>
      </c>
      <c r="Z1317" s="80" t="s">
        <v>154</v>
      </c>
      <c r="AA1317" s="80" t="s">
        <v>70</v>
      </c>
      <c r="AB1317" s="354" t="s">
        <v>271</v>
      </c>
      <c r="AC1317" s="101" t="s">
        <v>571</v>
      </c>
      <c r="AD1317" s="80" t="s">
        <v>385</v>
      </c>
      <c r="AE1317" s="339"/>
    </row>
    <row r="1318" spans="1:32">
      <c r="A1318" s="1648">
        <v>44974</v>
      </c>
      <c r="B1318" s="1655" t="s">
        <v>1168</v>
      </c>
      <c r="C1318" s="1664">
        <v>22766</v>
      </c>
      <c r="D1318" s="1664" t="s">
        <v>1254</v>
      </c>
      <c r="E1318" s="1655" t="s">
        <v>1168</v>
      </c>
      <c r="F1318" s="1655" t="s">
        <v>1170</v>
      </c>
      <c r="G1318" s="1655" t="s">
        <v>1170</v>
      </c>
      <c r="H1318" s="1655" t="s">
        <v>1170</v>
      </c>
      <c r="I1318" s="1655" t="s">
        <v>1170</v>
      </c>
      <c r="J1318" s="1698" t="s">
        <v>4501</v>
      </c>
      <c r="K1318" s="1664" t="s">
        <v>3565</v>
      </c>
      <c r="L1318" s="1655" t="s">
        <v>1170</v>
      </c>
      <c r="M1318" s="1655" t="s">
        <v>1170</v>
      </c>
      <c r="N1318" s="1655" t="s">
        <v>1170</v>
      </c>
      <c r="O1318" s="1755">
        <v>44552</v>
      </c>
      <c r="P1318" s="1755">
        <v>45281</v>
      </c>
      <c r="Q1318" s="1664" t="s">
        <v>4502</v>
      </c>
      <c r="R1318" s="1805">
        <v>58053</v>
      </c>
      <c r="S1318" s="1664" t="s">
        <v>3561</v>
      </c>
      <c r="T1318" s="1655" t="s">
        <v>1170</v>
      </c>
      <c r="U1318" s="1655" t="s">
        <v>1170</v>
      </c>
      <c r="V1318" s="1655"/>
      <c r="W1318" s="1664" t="s">
        <v>1257</v>
      </c>
      <c r="X1318" s="1723" t="s">
        <v>1175</v>
      </c>
      <c r="Y1318" s="1723" t="s">
        <v>251</v>
      </c>
      <c r="Z1318" s="1657" t="s">
        <v>1170</v>
      </c>
      <c r="AA1318" s="1657" t="s">
        <v>1170</v>
      </c>
      <c r="AB1318" s="1657" t="s">
        <v>1170</v>
      </c>
      <c r="AC1318" s="909" t="s">
        <v>4503</v>
      </c>
      <c r="AD1318" s="1657" t="s">
        <v>1170</v>
      </c>
      <c r="AE1318" s="1828">
        <v>58053</v>
      </c>
    </row>
    <row r="1319" spans="1:32" ht="145">
      <c r="A1319" s="2754"/>
      <c r="B1319" s="2757"/>
      <c r="C1319" s="4" t="s">
        <v>45</v>
      </c>
      <c r="D1319" s="9" t="s">
        <v>32</v>
      </c>
      <c r="E1319" s="9"/>
      <c r="F1319" s="9"/>
      <c r="G1319" s="9"/>
      <c r="H1319" s="5" t="s">
        <v>33</v>
      </c>
      <c r="I1319" s="5" t="s">
        <v>47</v>
      </c>
      <c r="J1319" s="16" t="s">
        <v>2370</v>
      </c>
      <c r="K1319" s="16"/>
      <c r="L1319" s="5" t="e">
        <f>IF(OR(S1319=#REF!,S1319=#REF!,S1319=#REF!,S1319=#REF!,S1319=#REF!,S1319=#REF!,S1319=#REF!,S1319=#REF!),12,IF(OR(S1319=#REF!,S1319=#REF!,S1319=#REF!,S1319=#REF!,S1319=#REF!,S1319=#REF!,S1319=#REF!),3,IF(S1319=#REF!,1,IF(S1319=#REF!,18,IF(OR(S1319=#REF!,S1319=#REF!,S1319=#REF!,S1319=#REF!,S1319=#REF!),14,"Invalid proposed procurement method")))))</f>
        <v>#REF!</v>
      </c>
      <c r="M1319" s="199">
        <v>44197</v>
      </c>
      <c r="N1319" s="199" t="str">
        <f>IFERROR(EDATE(O1319,-L1319),"Invalid procurement method or date entered")</f>
        <v>Invalid procurement method or date entered</v>
      </c>
      <c r="O1319" s="182">
        <v>44561</v>
      </c>
      <c r="P1319" s="12">
        <v>12</v>
      </c>
      <c r="Q1319" s="7" t="s">
        <v>50</v>
      </c>
      <c r="R1319" s="18">
        <v>12400</v>
      </c>
      <c r="S1319" s="5" t="s">
        <v>37</v>
      </c>
      <c r="T1319" s="9" t="s">
        <v>38</v>
      </c>
      <c r="U1319" s="15" t="s">
        <v>67</v>
      </c>
      <c r="V1319" s="15"/>
      <c r="W1319" s="5" t="s">
        <v>383</v>
      </c>
      <c r="X1319" s="80" t="s">
        <v>289</v>
      </c>
      <c r="Y1319" s="80" t="s">
        <v>290</v>
      </c>
      <c r="Z1319" s="80" t="s">
        <v>154</v>
      </c>
      <c r="AA1319" s="80" t="s">
        <v>70</v>
      </c>
      <c r="AB1319" s="354" t="s">
        <v>224</v>
      </c>
      <c r="AC1319" s="1110" t="s">
        <v>4504</v>
      </c>
      <c r="AD1319" s="80" t="s">
        <v>385</v>
      </c>
      <c r="AE1319" s="339">
        <v>12400</v>
      </c>
    </row>
    <row r="1320" spans="1:32" ht="72.5">
      <c r="A1320" s="2756"/>
      <c r="B1320" s="4"/>
      <c r="C1320" s="4" t="s">
        <v>4505</v>
      </c>
      <c r="D1320" s="9" t="s">
        <v>32</v>
      </c>
      <c r="E1320" s="9"/>
      <c r="F1320" s="9"/>
      <c r="G1320" s="9"/>
      <c r="H1320" s="5" t="s">
        <v>80</v>
      </c>
      <c r="I1320" s="272" t="s">
        <v>47</v>
      </c>
      <c r="J1320" s="16" t="s">
        <v>4506</v>
      </c>
      <c r="K1320" s="16"/>
      <c r="L1320" s="5" t="e">
        <f>IF(OR(S1320=#REF!,S1320=#REF!,S1320=#REF!,S1320=#REF!,S1320=#REF!,S1320=#REF!,S1320=#REF!,S1320=#REF!),12,IF(OR(S1320=#REF!,S1320=#REF!,S1320=#REF!,S1320=#REF!,S1320=#REF!,S1320=#REF!,S1320=#REF!),3,IF(S1320=#REF!,1,IF(S1320=#REF!,18,IF(OR(S1320=#REF!,S1320=#REF!,S1320=#REF!,S1320=#REF!,S1320=#REF!),14,"Invalid proposed procurement method")))))</f>
        <v>#REF!</v>
      </c>
      <c r="M1320" s="199" t="str">
        <f>IFERROR(EDATE($N1320,-3),"Invalid procurement method or date entered")</f>
        <v>Invalid procurement method or date entered</v>
      </c>
      <c r="N1320" s="199" t="str">
        <f>IFERROR(EDATE(O1320,-L1320),"Invalid procurement method or date entered")</f>
        <v>Invalid procurement method or date entered</v>
      </c>
      <c r="O1320" s="182">
        <v>44562</v>
      </c>
      <c r="P1320" s="12">
        <v>9</v>
      </c>
      <c r="Q1320" s="7" t="s">
        <v>2676</v>
      </c>
      <c r="R1320" s="18">
        <v>7000</v>
      </c>
      <c r="S1320" s="5" t="s">
        <v>84</v>
      </c>
      <c r="T1320" s="11" t="s">
        <v>38</v>
      </c>
      <c r="U1320" s="15" t="s">
        <v>67</v>
      </c>
      <c r="V1320" s="15"/>
      <c r="W1320" s="5" t="s">
        <v>4507</v>
      </c>
      <c r="X1320" s="80" t="s">
        <v>86</v>
      </c>
      <c r="Y1320" s="80" t="s">
        <v>40</v>
      </c>
      <c r="Z1320" s="80" t="s">
        <v>154</v>
      </c>
      <c r="AA1320" s="80" t="s">
        <v>70</v>
      </c>
      <c r="AB1320" s="354" t="s">
        <v>143</v>
      </c>
      <c r="AC1320" s="101" t="s">
        <v>267</v>
      </c>
      <c r="AD1320" s="80" t="s">
        <v>145</v>
      </c>
      <c r="AE1320" s="197">
        <v>28785</v>
      </c>
    </row>
    <row r="1321" spans="1:32" ht="58">
      <c r="A1321" s="1184"/>
      <c r="B1321" s="2755" t="s">
        <v>44</v>
      </c>
      <c r="C1321" s="4" t="s">
        <v>4508</v>
      </c>
      <c r="D1321" s="5" t="s">
        <v>32</v>
      </c>
      <c r="E1321" s="5"/>
      <c r="F1321" s="5"/>
      <c r="G1321" s="5"/>
      <c r="H1321" s="5" t="s">
        <v>1837</v>
      </c>
      <c r="I1321" s="5" t="s">
        <v>47</v>
      </c>
      <c r="J1321" s="16" t="s">
        <v>4509</v>
      </c>
      <c r="K1321" s="8"/>
      <c r="L1321" s="5">
        <v>12</v>
      </c>
      <c r="M1321" s="199">
        <f>IFERROR(EDATE($N1321,-3),"Invalid procurement method or date entered")</f>
        <v>44105</v>
      </c>
      <c r="N1321" s="199">
        <f>IFERROR(EDATE(O1321,-L1321),"Invalid procurement method or date entered")</f>
        <v>44197</v>
      </c>
      <c r="O1321" s="182">
        <v>44562</v>
      </c>
      <c r="P1321" s="12">
        <v>48</v>
      </c>
      <c r="Q1321" s="7" t="s">
        <v>258</v>
      </c>
      <c r="R1321" s="18">
        <v>582000</v>
      </c>
      <c r="S1321" s="5" t="s">
        <v>158</v>
      </c>
      <c r="T1321" s="5" t="s">
        <v>62</v>
      </c>
      <c r="U1321" s="182">
        <v>44498</v>
      </c>
      <c r="V1321" s="182"/>
      <c r="W1321" s="5" t="s">
        <v>4152</v>
      </c>
      <c r="X1321" s="80" t="s">
        <v>254</v>
      </c>
      <c r="Y1321" s="80" t="s">
        <v>40</v>
      </c>
      <c r="Z1321" s="80" t="s">
        <v>154</v>
      </c>
      <c r="AA1321" s="80" t="s">
        <v>70</v>
      </c>
      <c r="AB1321" s="354" t="s">
        <v>88</v>
      </c>
      <c r="AC1321" s="101" t="s">
        <v>4185</v>
      </c>
      <c r="AD1321" s="80" t="s">
        <v>285</v>
      </c>
      <c r="AE1321" s="211">
        <v>100000</v>
      </c>
    </row>
    <row r="1322" spans="1:32" ht="29">
      <c r="A1322" s="1184"/>
      <c r="B1322" s="2755" t="s">
        <v>44</v>
      </c>
      <c r="C1322" s="4" t="s">
        <v>45</v>
      </c>
      <c r="D1322" s="9" t="s">
        <v>32</v>
      </c>
      <c r="E1322" s="9"/>
      <c r="F1322" s="9"/>
      <c r="G1322" s="9"/>
      <c r="H1322" s="9" t="s">
        <v>4510</v>
      </c>
      <c r="I1322" s="9" t="s">
        <v>47</v>
      </c>
      <c r="J1322" s="16" t="s">
        <v>4511</v>
      </c>
      <c r="K1322" s="16"/>
      <c r="L1322" s="5">
        <v>1</v>
      </c>
      <c r="M1322" s="199">
        <v>44637</v>
      </c>
      <c r="N1322" s="199">
        <f>IFERROR(EDATE(O1322,-L1322),"Invalid procurement method or date entered")</f>
        <v>44531</v>
      </c>
      <c r="O1322" s="182">
        <v>44562</v>
      </c>
      <c r="P1322" s="12">
        <v>24</v>
      </c>
      <c r="Q1322" s="7" t="s">
        <v>391</v>
      </c>
      <c r="R1322" s="1547">
        <v>33300</v>
      </c>
      <c r="S1322" s="5" t="s">
        <v>84</v>
      </c>
      <c r="T1322" s="5" t="s">
        <v>612</v>
      </c>
      <c r="U1322" s="12" t="s">
        <v>67</v>
      </c>
      <c r="V1322" s="12"/>
      <c r="W1322" s="5" t="s">
        <v>1738</v>
      </c>
      <c r="X1322" s="80" t="s">
        <v>54</v>
      </c>
      <c r="Y1322" s="80" t="s">
        <v>40</v>
      </c>
      <c r="Z1322" s="80" t="s">
        <v>154</v>
      </c>
      <c r="AA1322" s="80" t="s">
        <v>38</v>
      </c>
      <c r="AB1322" s="354" t="s">
        <v>88</v>
      </c>
      <c r="AC1322" s="101" t="s">
        <v>1376</v>
      </c>
      <c r="AD1322" s="76" t="s">
        <v>4035</v>
      </c>
      <c r="AE1322" s="211">
        <v>16650</v>
      </c>
    </row>
    <row r="1323" spans="1:32" ht="43.5">
      <c r="A1323" s="1184"/>
      <c r="B1323" s="200" t="s">
        <v>100</v>
      </c>
      <c r="C1323" s="200" t="s">
        <v>4512</v>
      </c>
      <c r="D1323" s="8" t="s">
        <v>122</v>
      </c>
      <c r="E1323" s="8"/>
      <c r="F1323" s="8"/>
      <c r="G1323" s="8"/>
      <c r="H1323" s="16" t="s">
        <v>103</v>
      </c>
      <c r="I1323" s="16" t="s">
        <v>34</v>
      </c>
      <c r="J1323" s="63" t="s">
        <v>4513</v>
      </c>
      <c r="K1323" s="6"/>
      <c r="L1323" s="5">
        <v>12</v>
      </c>
      <c r="M1323" s="199">
        <f>IFERROR(EDATE(N1323,-3),"Invalid procurement method or date entered")</f>
        <v>44105</v>
      </c>
      <c r="N1323" s="149">
        <f>IFERROR(EDATE(O1323,-L1323),"Invalid procurement method or date entered")</f>
        <v>44197</v>
      </c>
      <c r="O1323" s="367">
        <v>44562</v>
      </c>
      <c r="P1323" s="369">
        <v>60</v>
      </c>
      <c r="Q1323" s="369" t="s">
        <v>2276</v>
      </c>
      <c r="R1323" s="159">
        <v>2250000</v>
      </c>
      <c r="S1323" s="5" t="s">
        <v>130</v>
      </c>
      <c r="T1323" s="395" t="s">
        <v>70</v>
      </c>
      <c r="U1323" s="393">
        <v>44537</v>
      </c>
      <c r="V1323" s="393"/>
      <c r="W1323" s="8" t="s">
        <v>3173</v>
      </c>
      <c r="X1323" s="111" t="s">
        <v>120</v>
      </c>
      <c r="Y1323" s="111" t="s">
        <v>1161</v>
      </c>
      <c r="Z1323" s="111"/>
      <c r="AA1323" s="1091" t="s">
        <v>87</v>
      </c>
      <c r="AB1323" s="1101" t="s">
        <v>70</v>
      </c>
      <c r="AC1323" s="432">
        <v>44690</v>
      </c>
      <c r="AD1323" s="432"/>
      <c r="AE1323" s="432"/>
    </row>
    <row r="1324" spans="1:32">
      <c r="A1324" s="1648">
        <v>44974</v>
      </c>
      <c r="B1324" s="1655" t="s">
        <v>1168</v>
      </c>
      <c r="C1324" s="1664">
        <v>28008</v>
      </c>
      <c r="D1324" s="1664" t="s">
        <v>1227</v>
      </c>
      <c r="E1324" s="1655" t="s">
        <v>1168</v>
      </c>
      <c r="F1324" s="1655" t="s">
        <v>1170</v>
      </c>
      <c r="G1324" s="1655" t="s">
        <v>1170</v>
      </c>
      <c r="H1324" s="1655" t="s">
        <v>1170</v>
      </c>
      <c r="I1324" s="1655" t="s">
        <v>1170</v>
      </c>
      <c r="J1324" s="1698" t="s">
        <v>4514</v>
      </c>
      <c r="K1324" s="1664" t="s">
        <v>4515</v>
      </c>
      <c r="L1324" s="1655" t="s">
        <v>1170</v>
      </c>
      <c r="M1324" s="1655" t="s">
        <v>1170</v>
      </c>
      <c r="N1324" s="1655" t="s">
        <v>1170</v>
      </c>
      <c r="O1324" s="1755">
        <v>44562</v>
      </c>
      <c r="P1324" s="1755">
        <v>44926</v>
      </c>
      <c r="Q1324" s="1664" t="s">
        <v>589</v>
      </c>
      <c r="R1324" s="1805">
        <v>18990</v>
      </c>
      <c r="S1324" s="1664" t="s">
        <v>2086</v>
      </c>
      <c r="T1324" s="1655" t="s">
        <v>1170</v>
      </c>
      <c r="U1324" s="1655" t="s">
        <v>1170</v>
      </c>
      <c r="V1324" s="1655"/>
      <c r="W1324" s="1664" t="s">
        <v>1232</v>
      </c>
      <c r="X1324" s="1723" t="s">
        <v>1175</v>
      </c>
      <c r="Y1324" s="1723" t="s">
        <v>251</v>
      </c>
      <c r="Z1324" s="1657" t="s">
        <v>1170</v>
      </c>
      <c r="AA1324" s="1657" t="s">
        <v>1170</v>
      </c>
      <c r="AB1324" s="1657" t="s">
        <v>1170</v>
      </c>
      <c r="AC1324" s="909" t="s">
        <v>4516</v>
      </c>
      <c r="AD1324" s="1657" t="s">
        <v>1170</v>
      </c>
      <c r="AE1324" s="1828">
        <v>18990</v>
      </c>
    </row>
    <row r="1325" spans="1:32">
      <c r="A1325" s="1648">
        <v>44974</v>
      </c>
      <c r="B1325" s="1655" t="s">
        <v>1168</v>
      </c>
      <c r="C1325" s="1664">
        <v>29008</v>
      </c>
      <c r="D1325" s="1664" t="s">
        <v>2054</v>
      </c>
      <c r="E1325" s="1655" t="s">
        <v>1168</v>
      </c>
      <c r="F1325" s="1655" t="s">
        <v>1170</v>
      </c>
      <c r="G1325" s="1655" t="s">
        <v>1170</v>
      </c>
      <c r="H1325" s="1655" t="s">
        <v>1170</v>
      </c>
      <c r="I1325" s="1655" t="s">
        <v>1170</v>
      </c>
      <c r="J1325" s="1698" t="s">
        <v>4517</v>
      </c>
      <c r="K1325" s="1664" t="s">
        <v>2056</v>
      </c>
      <c r="L1325" s="1655" t="s">
        <v>1170</v>
      </c>
      <c r="M1325" s="1655" t="s">
        <v>1170</v>
      </c>
      <c r="N1325" s="1655" t="s">
        <v>1170</v>
      </c>
      <c r="O1325" s="1755">
        <v>44562</v>
      </c>
      <c r="P1325" s="1755">
        <v>45291</v>
      </c>
      <c r="Q1325" s="1664" t="s">
        <v>589</v>
      </c>
      <c r="R1325" s="1805">
        <v>30000</v>
      </c>
      <c r="S1325" s="1664" t="s">
        <v>4518</v>
      </c>
      <c r="T1325" s="1655" t="s">
        <v>1170</v>
      </c>
      <c r="U1325" s="1655" t="s">
        <v>1170</v>
      </c>
      <c r="V1325" s="1655"/>
      <c r="W1325" s="1664" t="s">
        <v>4519</v>
      </c>
      <c r="X1325" s="1723" t="s">
        <v>1175</v>
      </c>
      <c r="Y1325" s="1723" t="s">
        <v>251</v>
      </c>
      <c r="Z1325" s="1657" t="s">
        <v>1170</v>
      </c>
      <c r="AA1325" s="1657" t="s">
        <v>1170</v>
      </c>
      <c r="AB1325" s="1657" t="s">
        <v>1170</v>
      </c>
      <c r="AC1325" s="909" t="s">
        <v>4520</v>
      </c>
      <c r="AD1325" s="1657" t="s">
        <v>1170</v>
      </c>
      <c r="AE1325" s="1828">
        <v>30000</v>
      </c>
    </row>
    <row r="1326" spans="1:32" ht="43.5">
      <c r="A1326" s="1184"/>
      <c r="B1326" s="2755" t="s">
        <v>44</v>
      </c>
      <c r="C1326" s="4" t="s">
        <v>4521</v>
      </c>
      <c r="D1326" s="9" t="s">
        <v>32</v>
      </c>
      <c r="E1326" s="9"/>
      <c r="F1326" s="9"/>
      <c r="G1326" s="9"/>
      <c r="H1326" s="5" t="s">
        <v>1810</v>
      </c>
      <c r="I1326" s="5" t="s">
        <v>47</v>
      </c>
      <c r="J1326" s="16" t="s">
        <v>4522</v>
      </c>
      <c r="K1326" s="16"/>
      <c r="L1326" s="5">
        <v>12</v>
      </c>
      <c r="M1326" s="199">
        <f>IFERROR(EDATE($N1326,-3),"Invalid procurement method or date entered")</f>
        <v>44106</v>
      </c>
      <c r="N1326" s="199">
        <f>IFERROR(EDATE(O1326,-L1326),"Invalid procurement method or date entered")</f>
        <v>44198</v>
      </c>
      <c r="O1326" s="182">
        <v>44563</v>
      </c>
      <c r="P1326" s="12">
        <v>36</v>
      </c>
      <c r="Q1326" s="7" t="s">
        <v>160</v>
      </c>
      <c r="R1326" s="18">
        <v>150000</v>
      </c>
      <c r="S1326" s="5" t="s">
        <v>176</v>
      </c>
      <c r="T1326" s="11" t="s">
        <v>62</v>
      </c>
      <c r="U1326" s="15" t="s">
        <v>67</v>
      </c>
      <c r="V1326" s="15"/>
      <c r="W1326" s="5" t="s">
        <v>4523</v>
      </c>
      <c r="X1326" s="1076" t="s">
        <v>94</v>
      </c>
      <c r="Y1326" s="80" t="s">
        <v>40</v>
      </c>
      <c r="Z1326" s="80" t="s">
        <v>154</v>
      </c>
      <c r="AA1326" s="80" t="s">
        <v>70</v>
      </c>
      <c r="AB1326" s="354" t="s">
        <v>224</v>
      </c>
      <c r="AC1326" s="101" t="s">
        <v>4524</v>
      </c>
      <c r="AD1326" s="80" t="s">
        <v>285</v>
      </c>
      <c r="AE1326" s="1131">
        <v>3580</v>
      </c>
    </row>
    <row r="1327" spans="1:32" ht="58">
      <c r="A1327" s="2754"/>
      <c r="B1327" s="2755" t="s">
        <v>44</v>
      </c>
      <c r="C1327" s="4" t="s">
        <v>4525</v>
      </c>
      <c r="D1327" s="5" t="s">
        <v>32</v>
      </c>
      <c r="E1327" s="5"/>
      <c r="F1327" s="5"/>
      <c r="G1327" s="5"/>
      <c r="H1327" s="5" t="s">
        <v>33</v>
      </c>
      <c r="I1327" s="5" t="s">
        <v>34</v>
      </c>
      <c r="J1327" s="16" t="s">
        <v>4526</v>
      </c>
      <c r="K1327" s="16"/>
      <c r="L1327" s="5" t="e">
        <f>IF(OR(S1327=#REF!,S1327=#REF!,S1327=#REF!,S1327=#REF!,S1327=#REF!,S1327=#REF!,S1327=#REF!,S1327=#REF!),12,IF(OR(S1327=#REF!,S1327=#REF!,S1327=#REF!,S1327=#REF!,S1327=#REF!,S1327=#REF!,S1327=#REF!),3,IF(S1327=#REF!,1,IF(S1327=#REF!,18,IF(OR(S1327=#REF!,S1327=#REF!,S1327=#REF!,S1327=#REF!,S1327=#REF!),14,"Invalid proposed procurement method")))))</f>
        <v>#REF!</v>
      </c>
      <c r="M1327" s="199">
        <f>IFERROR(EDATE($N1327,-3),"Invalid procurement method or date entered")</f>
        <v>44474</v>
      </c>
      <c r="N1327" s="199">
        <v>44566</v>
      </c>
      <c r="O1327" s="182">
        <v>44566</v>
      </c>
      <c r="P1327" s="12">
        <v>48</v>
      </c>
      <c r="Q1327" s="13" t="s">
        <v>141</v>
      </c>
      <c r="R1327" s="112">
        <v>63340</v>
      </c>
      <c r="S1327" s="5" t="s">
        <v>130</v>
      </c>
      <c r="T1327" s="12" t="s">
        <v>38</v>
      </c>
      <c r="U1327" s="12" t="s">
        <v>67</v>
      </c>
      <c r="V1327" s="12"/>
      <c r="W1327" s="5" t="s">
        <v>4527</v>
      </c>
      <c r="X1327" s="80" t="s">
        <v>39</v>
      </c>
      <c r="Y1327" s="80" t="s">
        <v>40</v>
      </c>
      <c r="Z1327" s="80" t="s">
        <v>4528</v>
      </c>
      <c r="AA1327" s="80" t="s">
        <v>70</v>
      </c>
      <c r="AB1327" s="354" t="s">
        <v>224</v>
      </c>
      <c r="AC1327" s="101" t="s">
        <v>4529</v>
      </c>
      <c r="AD1327" s="80" t="s">
        <v>164</v>
      </c>
      <c r="AE1327" s="1131"/>
    </row>
    <row r="1328" spans="1:32" ht="72.5">
      <c r="A1328" s="1184"/>
      <c r="B1328" s="120"/>
      <c r="C1328" s="4" t="s">
        <v>4525</v>
      </c>
      <c r="D1328" s="5" t="s">
        <v>32</v>
      </c>
      <c r="E1328" s="5"/>
      <c r="F1328" s="5"/>
      <c r="G1328" s="5"/>
      <c r="H1328" s="5" t="s">
        <v>33</v>
      </c>
      <c r="I1328" s="5" t="s">
        <v>34</v>
      </c>
      <c r="J1328" s="16" t="s">
        <v>4530</v>
      </c>
      <c r="K1328" s="16"/>
      <c r="L1328" s="16"/>
      <c r="M1328" s="199">
        <v>44354</v>
      </c>
      <c r="N1328" s="199"/>
      <c r="O1328" s="199">
        <v>44567</v>
      </c>
      <c r="P1328" s="199"/>
      <c r="Q1328" s="13" t="s">
        <v>316</v>
      </c>
      <c r="R1328" s="112">
        <v>63340</v>
      </c>
      <c r="S1328" s="2755" t="s">
        <v>4531</v>
      </c>
      <c r="T1328" s="9" t="s">
        <v>38</v>
      </c>
      <c r="U1328" s="15" t="s">
        <v>67</v>
      </c>
      <c r="V1328" s="15"/>
      <c r="W1328" s="12" t="s">
        <v>4532</v>
      </c>
      <c r="X1328" s="76" t="s">
        <v>39</v>
      </c>
      <c r="AA1328" s="76" t="s">
        <v>3129</v>
      </c>
      <c r="AB1328" s="354" t="s">
        <v>41</v>
      </c>
      <c r="AC1328" s="101" t="s">
        <v>4533</v>
      </c>
      <c r="AD1328" s="76" t="s">
        <v>4534</v>
      </c>
      <c r="AE1328" s="1138">
        <v>11235</v>
      </c>
    </row>
    <row r="1329" spans="1:32" ht="52">
      <c r="A1329" s="889" t="s">
        <v>71</v>
      </c>
      <c r="B1329" s="707" t="s">
        <v>100</v>
      </c>
      <c r="C1329" s="707" t="s">
        <v>45</v>
      </c>
      <c r="D1329" s="710" t="s">
        <v>110</v>
      </c>
      <c r="E1329" s="710"/>
      <c r="F1329" s="710"/>
      <c r="G1329" s="710"/>
      <c r="H1329" s="710" t="s">
        <v>103</v>
      </c>
      <c r="I1329" s="710" t="s">
        <v>4535</v>
      </c>
      <c r="J1329" s="1706" t="s">
        <v>4536</v>
      </c>
      <c r="K1329" s="843" t="s">
        <v>821</v>
      </c>
      <c r="L1329" s="1736">
        <v>3</v>
      </c>
      <c r="M1329" s="804">
        <f>IFERROR(EDATE(N1329,-3),"Invalid procurement method or date entered")</f>
        <v>44386</v>
      </c>
      <c r="N1329" s="805">
        <f>IFERROR(EDATE(O1329,-L1329),"Invalid procurement method or date entered")</f>
        <v>44478</v>
      </c>
      <c r="O1329" s="713">
        <v>44570</v>
      </c>
      <c r="P1329" s="777">
        <v>36</v>
      </c>
      <c r="Q1329" s="777" t="s">
        <v>160</v>
      </c>
      <c r="R1329" s="772">
        <v>620000</v>
      </c>
      <c r="S1329" s="710" t="s">
        <v>270</v>
      </c>
      <c r="T1329" s="710" t="s">
        <v>45</v>
      </c>
      <c r="U1329" s="710" t="s">
        <v>45</v>
      </c>
      <c r="V1329" s="710"/>
      <c r="W1329" s="710" t="s">
        <v>419</v>
      </c>
      <c r="X1329" s="843" t="s">
        <v>283</v>
      </c>
      <c r="Y1329" s="843" t="s">
        <v>40</v>
      </c>
      <c r="Z1329" s="843" t="s">
        <v>69</v>
      </c>
      <c r="AA1329" s="1092" t="s">
        <v>70</v>
      </c>
      <c r="AB1329" s="1499">
        <v>44873</v>
      </c>
      <c r="AC1329" s="945" t="s">
        <v>4537</v>
      </c>
      <c r="AD1329" s="843"/>
      <c r="AE1329" s="843"/>
      <c r="AF1329" s="906"/>
    </row>
    <row r="1330" spans="1:32" ht="72.5">
      <c r="A1330" s="2754"/>
      <c r="B1330" s="2755" t="s">
        <v>44</v>
      </c>
      <c r="C1330" s="10">
        <v>26725</v>
      </c>
      <c r="D1330" s="9" t="s">
        <v>32</v>
      </c>
      <c r="E1330" s="9"/>
      <c r="F1330" s="9"/>
      <c r="G1330" s="9"/>
      <c r="H1330" s="5" t="s">
        <v>33</v>
      </c>
      <c r="I1330" s="5" t="s">
        <v>47</v>
      </c>
      <c r="J1330" s="16" t="s">
        <v>4538</v>
      </c>
      <c r="K1330" s="16"/>
      <c r="L1330" s="5" t="e">
        <f>IF(OR(S1330=#REF!,S1330=#REF!,S1330=#REF!,S1330=#REF!,S1330=#REF!,S1330=#REF!,S1330=#REF!,S1330=#REF!),12,IF(OR(S1330=#REF!,S1330=#REF!,S1330=#REF!,S1330=#REF!,S1330=#REF!,S1330=#REF!,S1330=#REF!),3,IF(S1330=#REF!,1,IF(S1330=#REF!,18,IF(OR(S1330=#REF!,S1330=#REF!,S1330=#REF!,S1330=#REF!,S1330=#REF!),14,"Invalid proposed procurement method")))))</f>
        <v>#REF!</v>
      </c>
      <c r="M1330" s="199" t="str">
        <f>IFERROR(EDATE($N1330,-3),"Invalid procurement method or date entered")</f>
        <v>Invalid procurement method or date entered</v>
      </c>
      <c r="N1330" s="199" t="str">
        <f>IFERROR(EDATE(O1330,-L1330),"Invalid procurement method or date entered")</f>
        <v>Invalid procurement method or date entered</v>
      </c>
      <c r="O1330" s="182">
        <v>44571</v>
      </c>
      <c r="P1330" s="12">
        <v>36</v>
      </c>
      <c r="Q1330" s="7" t="s">
        <v>98</v>
      </c>
      <c r="R1330" s="18">
        <v>70000</v>
      </c>
      <c r="S1330" s="5" t="s">
        <v>75</v>
      </c>
      <c r="T1330" s="9" t="s">
        <v>38</v>
      </c>
      <c r="U1330" s="15" t="s">
        <v>67</v>
      </c>
      <c r="V1330" s="15"/>
      <c r="W1330" s="5" t="s">
        <v>4126</v>
      </c>
      <c r="X1330" s="1076" t="s">
        <v>86</v>
      </c>
      <c r="Y1330" s="80" t="s">
        <v>40</v>
      </c>
      <c r="Z1330" s="80" t="s">
        <v>69</v>
      </c>
      <c r="AA1330" s="80" t="s">
        <v>70</v>
      </c>
      <c r="AB1330" s="354" t="s">
        <v>88</v>
      </c>
      <c r="AC1330" s="101" t="s">
        <v>89</v>
      </c>
      <c r="AD1330" s="80" t="s">
        <v>96</v>
      </c>
      <c r="AE1330" s="1131"/>
    </row>
    <row r="1331" spans="1:32" ht="87">
      <c r="A1331" s="2754"/>
      <c r="B1331" s="2755" t="s">
        <v>44</v>
      </c>
      <c r="C1331" s="16" t="s">
        <v>4539</v>
      </c>
      <c r="D1331" s="9" t="s">
        <v>57</v>
      </c>
      <c r="E1331" s="9"/>
      <c r="F1331" s="9"/>
      <c r="G1331" s="9"/>
      <c r="H1331" s="9" t="s">
        <v>165</v>
      </c>
      <c r="I1331" s="5" t="s">
        <v>47</v>
      </c>
      <c r="J1331" s="16" t="s">
        <v>4540</v>
      </c>
      <c r="K1331" s="8"/>
      <c r="L1331" s="5">
        <v>12</v>
      </c>
      <c r="M1331" s="199">
        <f>IFERROR(EDATE($N1331,-3),"Invalid procurement method or date entered")</f>
        <v>44118</v>
      </c>
      <c r="N1331" s="199">
        <f>IFERROR(EDATE(O1331,-L1331),"Invalid procurement method or date entered")</f>
        <v>44210</v>
      </c>
      <c r="O1331" s="199">
        <v>44575</v>
      </c>
      <c r="P1331" s="5">
        <v>63</v>
      </c>
      <c r="Q1331" s="5" t="s">
        <v>4541</v>
      </c>
      <c r="R1331" s="18">
        <v>157248.82</v>
      </c>
      <c r="S1331" s="5" t="s">
        <v>176</v>
      </c>
      <c r="T1331" s="52" t="s">
        <v>62</v>
      </c>
      <c r="U1331" s="48" t="s">
        <v>71</v>
      </c>
      <c r="V1331" s="48"/>
      <c r="W1331" s="5" t="s">
        <v>633</v>
      </c>
      <c r="X1331" s="80" t="s">
        <v>54</v>
      </c>
      <c r="Y1331" s="80" t="s">
        <v>40</v>
      </c>
      <c r="Z1331" s="80" t="s">
        <v>154</v>
      </c>
      <c r="AA1331" s="1076" t="s">
        <v>38</v>
      </c>
      <c r="AB1331" s="354" t="s">
        <v>88</v>
      </c>
      <c r="AC1331" s="101" t="s">
        <v>4542</v>
      </c>
      <c r="AD1331" s="76" t="s">
        <v>165</v>
      </c>
      <c r="AE1331" s="339"/>
    </row>
    <row r="1332" spans="1:32" ht="43.5">
      <c r="A1332" s="2754"/>
      <c r="B1332" s="2755" t="s">
        <v>44</v>
      </c>
      <c r="C1332" s="4" t="s">
        <v>45</v>
      </c>
      <c r="D1332" s="9" t="s">
        <v>32</v>
      </c>
      <c r="E1332" s="9"/>
      <c r="F1332" s="9"/>
      <c r="G1332" s="9"/>
      <c r="H1332" s="5" t="s">
        <v>33</v>
      </c>
      <c r="I1332" s="5" t="s">
        <v>47</v>
      </c>
      <c r="J1332" s="1590" t="s">
        <v>4543</v>
      </c>
      <c r="K1332" s="64"/>
      <c r="L1332" s="5">
        <v>6</v>
      </c>
      <c r="M1332" s="199">
        <f>IFERROR(EDATE($N1332,-3),"Invalid procurement method or date entered")</f>
        <v>44301</v>
      </c>
      <c r="N1332" s="199">
        <f>IFERROR(EDATE(O1332,-L1332),"Invalid procurement method or date entered")</f>
        <v>44392</v>
      </c>
      <c r="O1332" s="182">
        <v>44576</v>
      </c>
      <c r="P1332" s="12">
        <v>12</v>
      </c>
      <c r="Q1332" s="12">
        <v>12</v>
      </c>
      <c r="R1332" s="18">
        <v>3419</v>
      </c>
      <c r="S1332" s="5" t="s">
        <v>37</v>
      </c>
      <c r="T1332" s="52" t="s">
        <v>38</v>
      </c>
      <c r="U1332" s="48" t="s">
        <v>67</v>
      </c>
      <c r="V1332" s="48"/>
      <c r="W1332" s="12" t="s">
        <v>262</v>
      </c>
      <c r="X1332" s="1076" t="s">
        <v>289</v>
      </c>
      <c r="Y1332" s="80" t="s">
        <v>727</v>
      </c>
      <c r="Z1332" s="80" t="s">
        <v>154</v>
      </c>
      <c r="AA1332" s="80" t="s">
        <v>38</v>
      </c>
      <c r="AB1332" s="354" t="s">
        <v>88</v>
      </c>
      <c r="AC1332" s="1111"/>
      <c r="AD1332" s="80" t="s">
        <v>264</v>
      </c>
      <c r="AE1332" s="197"/>
    </row>
    <row r="1333" spans="1:32" ht="50">
      <c r="A1333" s="1119"/>
      <c r="B1333" s="577" t="s">
        <v>56</v>
      </c>
      <c r="C1333" s="510" t="s">
        <v>4544</v>
      </c>
      <c r="D1333" s="511" t="s">
        <v>57</v>
      </c>
      <c r="E1333" s="511"/>
      <c r="F1333" s="511"/>
      <c r="G1333" s="511"/>
      <c r="H1333" s="511" t="s">
        <v>58</v>
      </c>
      <c r="I1333" s="519" t="s">
        <v>47</v>
      </c>
      <c r="J1333" s="1578" t="s">
        <v>4545</v>
      </c>
      <c r="K1333" s="990"/>
      <c r="L1333" s="511">
        <v>12</v>
      </c>
      <c r="M1333" s="514">
        <f>IF(O1333="tbc","",(IFERROR(EDATE($N1333,-3),"Invalid procurement method or date entered")))</f>
        <v>44486</v>
      </c>
      <c r="N1333" s="514">
        <v>44578</v>
      </c>
      <c r="O1333" s="515">
        <v>44578</v>
      </c>
      <c r="P1333" s="516">
        <v>2</v>
      </c>
      <c r="Q1333" s="516">
        <v>2</v>
      </c>
      <c r="R1333" s="528">
        <v>600000</v>
      </c>
      <c r="S1333" s="515" t="s">
        <v>75</v>
      </c>
      <c r="T1333" s="515" t="s">
        <v>62</v>
      </c>
      <c r="U1333" s="515" t="s">
        <v>38</v>
      </c>
      <c r="V1333" s="515"/>
      <c r="W1333" s="394" t="s">
        <v>70</v>
      </c>
    </row>
    <row r="1334" spans="1:32" ht="72.5">
      <c r="A1334" s="1184"/>
      <c r="B1334" s="120"/>
      <c r="C1334" s="4" t="s">
        <v>3623</v>
      </c>
      <c r="D1334" s="5" t="s">
        <v>32</v>
      </c>
      <c r="E1334" s="5"/>
      <c r="F1334" s="5"/>
      <c r="G1334" s="5"/>
      <c r="H1334" s="5" t="s">
        <v>323</v>
      </c>
      <c r="I1334" s="5" t="s">
        <v>34</v>
      </c>
      <c r="J1334" s="16" t="s">
        <v>457</v>
      </c>
      <c r="K1334" s="8"/>
      <c r="L1334" s="5" t="e">
        <f>IF(OR(S1334=#REF!,S1334=#REF!,S1334=#REF!,S1334=#REF!,S1334=#REF!,S1334=#REF!,S1334=#REF!,S1334=#REF!),12,IF(OR(S1334=#REF!,S1334=#REF!,S1334=#REF!,S1334=#REF!,S1334=#REF!,S1334=#REF!,S1334=#REF!),3,IF(S1334=#REF!,1,IF(S1334=#REF!,18,IF(OR(S1334=#REF!,S1334=#REF!,S1334=#REF!,S1334=#REF!,S1334=#REF!),14,"Invalid proposed procurement method")))))</f>
        <v>#REF!</v>
      </c>
      <c r="M1334" s="199" t="str">
        <f>IFERROR(EDATE($N1334,-3),"Invalid procurement method or date entered")</f>
        <v>Invalid procurement method or date entered</v>
      </c>
      <c r="N1334" s="199" t="str">
        <f>IFERROR(EDATE(O1334,-L1334),"Invalid procurement method or date entered")</f>
        <v>Invalid procurement method or date entered</v>
      </c>
      <c r="O1334" s="199">
        <v>44593</v>
      </c>
      <c r="P1334" s="5">
        <v>60</v>
      </c>
      <c r="Q1334" s="5" t="s">
        <v>3624</v>
      </c>
      <c r="R1334" s="18">
        <v>740000</v>
      </c>
      <c r="S1334" s="5" t="s">
        <v>130</v>
      </c>
      <c r="T1334" s="5" t="s">
        <v>70</v>
      </c>
      <c r="U1334" s="182">
        <v>44089</v>
      </c>
      <c r="V1334" s="182"/>
      <c r="W1334" s="5" t="s">
        <v>3625</v>
      </c>
      <c r="X1334" s="80" t="s">
        <v>283</v>
      </c>
      <c r="Y1334" s="80" t="s">
        <v>40</v>
      </c>
      <c r="Z1334" s="80"/>
      <c r="AA1334" s="80" t="s">
        <v>70</v>
      </c>
      <c r="AB1334" s="354" t="s">
        <v>132</v>
      </c>
      <c r="AC1334" s="101" t="s">
        <v>4546</v>
      </c>
      <c r="AD1334" s="76" t="s">
        <v>285</v>
      </c>
      <c r="AE1334" s="211">
        <v>148000</v>
      </c>
    </row>
    <row r="1335" spans="1:32" ht="29">
      <c r="A1335" s="1184"/>
      <c r="B1335" s="4"/>
      <c r="C1335" s="4" t="s">
        <v>45</v>
      </c>
      <c r="D1335" s="9" t="s">
        <v>32</v>
      </c>
      <c r="E1335" s="9"/>
      <c r="F1335" s="9"/>
      <c r="G1335" s="9"/>
      <c r="H1335" s="5" t="s">
        <v>33</v>
      </c>
      <c r="I1335" s="5" t="s">
        <v>47</v>
      </c>
      <c r="J1335" s="1590" t="s">
        <v>3627</v>
      </c>
      <c r="K1335" s="64"/>
      <c r="L1335" s="5">
        <v>6</v>
      </c>
      <c r="M1335" s="199">
        <f>IFERROR(EDATE($N1335,-3),"Invalid procurement method or date entered")</f>
        <v>44317</v>
      </c>
      <c r="N1335" s="199">
        <f>IFERROR(EDATE(O1335,-L1335),"Invalid procurement method or date entered")</f>
        <v>44409</v>
      </c>
      <c r="O1335" s="182">
        <v>44593</v>
      </c>
      <c r="P1335" s="12">
        <v>12</v>
      </c>
      <c r="Q1335" s="12">
        <v>12</v>
      </c>
      <c r="R1335" s="18">
        <v>2500</v>
      </c>
      <c r="S1335" s="5" t="s">
        <v>37</v>
      </c>
      <c r="T1335" s="52" t="s">
        <v>38</v>
      </c>
      <c r="U1335" s="48" t="s">
        <v>67</v>
      </c>
      <c r="V1335" s="48"/>
      <c r="W1335" s="12" t="s">
        <v>262</v>
      </c>
      <c r="X1335" s="80" t="s">
        <v>289</v>
      </c>
      <c r="Y1335" s="80" t="s">
        <v>371</v>
      </c>
      <c r="Z1335" s="80" t="s">
        <v>154</v>
      </c>
      <c r="AA1335" s="80" t="s">
        <v>70</v>
      </c>
      <c r="AB1335" s="354" t="s">
        <v>224</v>
      </c>
      <c r="AC1335" s="1111"/>
      <c r="AD1335" s="80" t="s">
        <v>79</v>
      </c>
      <c r="AE1335" s="1130"/>
    </row>
    <row r="1336" spans="1:32" ht="43.5">
      <c r="A1336" s="2756"/>
      <c r="B1336" s="2755" t="s">
        <v>44</v>
      </c>
      <c r="C1336" s="4" t="s">
        <v>45</v>
      </c>
      <c r="D1336" s="9" t="s">
        <v>32</v>
      </c>
      <c r="E1336" s="9"/>
      <c r="F1336" s="9"/>
      <c r="G1336" s="9"/>
      <c r="H1336" s="5" t="s">
        <v>33</v>
      </c>
      <c r="I1336" s="5" t="s">
        <v>47</v>
      </c>
      <c r="J1336" s="1590" t="s">
        <v>4547</v>
      </c>
      <c r="K1336" s="64"/>
      <c r="L1336" s="5">
        <v>6</v>
      </c>
      <c r="M1336" s="199">
        <f>IFERROR(EDATE($N1336,-3),"Invalid procurement method or date entered")</f>
        <v>44317</v>
      </c>
      <c r="N1336" s="199">
        <f>IFERROR(EDATE(O1336,-L1336),"Invalid procurement method or date entered")</f>
        <v>44409</v>
      </c>
      <c r="O1336" s="182">
        <v>44593</v>
      </c>
      <c r="P1336" s="12">
        <v>12</v>
      </c>
      <c r="Q1336" s="12">
        <v>12</v>
      </c>
      <c r="R1336" s="18">
        <v>1171</v>
      </c>
      <c r="S1336" s="5" t="s">
        <v>37</v>
      </c>
      <c r="T1336" s="52" t="s">
        <v>38</v>
      </c>
      <c r="U1336" s="48" t="s">
        <v>67</v>
      </c>
      <c r="V1336" s="48"/>
      <c r="W1336" s="12" t="s">
        <v>262</v>
      </c>
      <c r="X1336" s="1076" t="s">
        <v>289</v>
      </c>
      <c r="Y1336" s="80" t="s">
        <v>727</v>
      </c>
      <c r="Z1336" s="80" t="s">
        <v>154</v>
      </c>
      <c r="AA1336" s="80" t="s">
        <v>38</v>
      </c>
      <c r="AB1336" s="354" t="s">
        <v>88</v>
      </c>
      <c r="AC1336" s="1111"/>
      <c r="AD1336" s="80" t="s">
        <v>264</v>
      </c>
      <c r="AE1336" s="197"/>
    </row>
    <row r="1337" spans="1:32" ht="43.5">
      <c r="A1337" s="2754"/>
      <c r="B1337" s="2755" t="s">
        <v>44</v>
      </c>
      <c r="C1337" s="2755"/>
      <c r="D1337" s="2755" t="s">
        <v>32</v>
      </c>
      <c r="E1337" s="2755"/>
      <c r="F1337" s="2755"/>
      <c r="G1337" s="2755"/>
      <c r="H1337" s="2755" t="s">
        <v>33</v>
      </c>
      <c r="I1337" s="2763" t="s">
        <v>47</v>
      </c>
      <c r="J1337" s="2755" t="s">
        <v>4548</v>
      </c>
      <c r="K1337" s="2755"/>
      <c r="L1337" s="2763">
        <v>1</v>
      </c>
      <c r="M1337" s="199">
        <v>44547</v>
      </c>
      <c r="N1337" s="199">
        <v>44562</v>
      </c>
      <c r="O1337" s="183">
        <v>44593</v>
      </c>
      <c r="P1337" s="269">
        <v>12</v>
      </c>
      <c r="Q1337" s="269">
        <v>12</v>
      </c>
      <c r="R1337" s="1547">
        <v>25000</v>
      </c>
      <c r="S1337" s="5" t="s">
        <v>37</v>
      </c>
      <c r="T1337" s="2763" t="s">
        <v>612</v>
      </c>
      <c r="U1337" s="2763" t="s">
        <v>613</v>
      </c>
      <c r="V1337" s="2763"/>
      <c r="W1337" s="5" t="s">
        <v>161</v>
      </c>
      <c r="X1337" s="1082" t="s">
        <v>289</v>
      </c>
      <c r="Y1337" s="2773" t="s">
        <v>727</v>
      </c>
      <c r="Z1337" s="80" t="s">
        <v>154</v>
      </c>
      <c r="AA1337" s="1077" t="s">
        <v>38</v>
      </c>
      <c r="AB1337" s="354" t="s">
        <v>88</v>
      </c>
      <c r="AC1337" s="2781" t="s">
        <v>4549</v>
      </c>
      <c r="AD1337" s="80" t="s">
        <v>164</v>
      </c>
      <c r="AE1337" s="2773"/>
    </row>
    <row r="1338" spans="1:32" ht="43.5">
      <c r="A1338" s="2754"/>
      <c r="B1338" s="2755" t="s">
        <v>44</v>
      </c>
      <c r="C1338" s="4"/>
      <c r="D1338" s="2751" t="s">
        <v>32</v>
      </c>
      <c r="E1338" s="2751"/>
      <c r="F1338" s="2751"/>
      <c r="G1338" s="2751"/>
      <c r="H1338" s="5" t="s">
        <v>46</v>
      </c>
      <c r="I1338" s="2751" t="s">
        <v>47</v>
      </c>
      <c r="J1338" s="2752" t="s">
        <v>4550</v>
      </c>
      <c r="K1338" s="2758"/>
      <c r="L1338" s="5"/>
      <c r="M1338" s="199">
        <v>44562</v>
      </c>
      <c r="N1338" s="199"/>
      <c r="O1338" s="2759">
        <v>44593</v>
      </c>
      <c r="P1338" s="12">
        <v>3</v>
      </c>
      <c r="Q1338" s="2751">
        <v>3</v>
      </c>
      <c r="R1338" s="1547">
        <v>10000</v>
      </c>
      <c r="S1338" s="1547" t="s">
        <v>37</v>
      </c>
      <c r="T1338" s="322" t="s">
        <v>38</v>
      </c>
      <c r="U1338" s="1548" t="s">
        <v>67</v>
      </c>
      <c r="V1338" s="1548"/>
      <c r="W1338" s="5" t="s">
        <v>3970</v>
      </c>
      <c r="X1338" s="80" t="s">
        <v>54</v>
      </c>
      <c r="Y1338" s="2760" t="s">
        <v>727</v>
      </c>
      <c r="Z1338" s="80"/>
      <c r="AA1338" s="80" t="s">
        <v>38</v>
      </c>
      <c r="AB1338" s="354" t="s">
        <v>88</v>
      </c>
      <c r="AC1338" s="2761" t="s">
        <v>4551</v>
      </c>
      <c r="AD1338" s="76" t="s">
        <v>46</v>
      </c>
      <c r="AE1338" s="339">
        <v>750</v>
      </c>
    </row>
    <row r="1339" spans="1:32" ht="43.5">
      <c r="A1339" s="2754"/>
      <c r="B1339" s="2755" t="s">
        <v>44</v>
      </c>
      <c r="C1339" s="4" t="s">
        <v>45</v>
      </c>
      <c r="D1339" s="9" t="s">
        <v>32</v>
      </c>
      <c r="E1339" s="9"/>
      <c r="F1339" s="9"/>
      <c r="G1339" s="9"/>
      <c r="H1339" s="5" t="s">
        <v>33</v>
      </c>
      <c r="I1339" s="5" t="s">
        <v>47</v>
      </c>
      <c r="J1339" s="16" t="s">
        <v>1332</v>
      </c>
      <c r="K1339" s="8"/>
      <c r="L1339" s="5">
        <v>1</v>
      </c>
      <c r="M1339" s="199">
        <v>44603</v>
      </c>
      <c r="N1339" s="199">
        <v>44603</v>
      </c>
      <c r="O1339" s="14">
        <v>44593</v>
      </c>
      <c r="P1339" s="5">
        <v>36</v>
      </c>
      <c r="Q1339" s="5" t="s">
        <v>1538</v>
      </c>
      <c r="R1339" s="61">
        <v>104016</v>
      </c>
      <c r="S1339" s="5" t="s">
        <v>529</v>
      </c>
      <c r="T1339" s="322" t="s">
        <v>62</v>
      </c>
      <c r="U1339" s="323" t="s">
        <v>67</v>
      </c>
      <c r="V1339" s="323"/>
      <c r="W1339" s="5" t="s">
        <v>383</v>
      </c>
      <c r="X1339" s="80" t="s">
        <v>162</v>
      </c>
      <c r="Y1339" s="80" t="s">
        <v>40</v>
      </c>
      <c r="Z1339" s="80"/>
      <c r="AA1339" s="80" t="s">
        <v>38</v>
      </c>
      <c r="AB1339" s="354">
        <v>44685</v>
      </c>
      <c r="AC1339" s="1111" t="s">
        <v>4552</v>
      </c>
      <c r="AD1339" s="80" t="s">
        <v>385</v>
      </c>
      <c r="AE1339" s="211"/>
    </row>
    <row r="1340" spans="1:32" ht="58">
      <c r="A1340" s="1184"/>
      <c r="B1340" s="200" t="s">
        <v>100</v>
      </c>
      <c r="C1340" s="200" t="s">
        <v>45</v>
      </c>
      <c r="D1340" s="8" t="s">
        <v>110</v>
      </c>
      <c r="E1340" s="8"/>
      <c r="F1340" s="8"/>
      <c r="G1340" s="8"/>
      <c r="H1340" s="16" t="s">
        <v>103</v>
      </c>
      <c r="I1340" s="16" t="s">
        <v>34</v>
      </c>
      <c r="J1340" s="16" t="s">
        <v>4553</v>
      </c>
      <c r="K1340" s="8"/>
      <c r="L1340" s="5">
        <v>12</v>
      </c>
      <c r="M1340" s="199">
        <f>IFERROR(EDATE(N1340,-3),"Invalid procurement method or date entered")</f>
        <v>44136</v>
      </c>
      <c r="N1340" s="149">
        <f>IFERROR(EDATE(O1340,-L1340),"Invalid procurement method or date entered")</f>
        <v>44228</v>
      </c>
      <c r="O1340" s="367">
        <v>44593</v>
      </c>
      <c r="P1340" s="46">
        <v>60</v>
      </c>
      <c r="Q1340" s="359">
        <v>60</v>
      </c>
      <c r="R1340" s="159">
        <v>11500000</v>
      </c>
      <c r="S1340" s="159" t="s">
        <v>130</v>
      </c>
      <c r="T1340" s="365" t="s">
        <v>70</v>
      </c>
      <c r="U1340" s="365" t="s">
        <v>4554</v>
      </c>
      <c r="V1340" s="365"/>
      <c r="W1340" s="8" t="s">
        <v>4555</v>
      </c>
      <c r="X1340" s="111" t="s">
        <v>120</v>
      </c>
      <c r="Y1340" s="111" t="s">
        <v>790</v>
      </c>
      <c r="Z1340" s="111"/>
      <c r="AA1340" s="1091" t="s">
        <v>87</v>
      </c>
      <c r="AB1340" s="1101" t="s">
        <v>70</v>
      </c>
      <c r="AC1340" s="491">
        <v>44770</v>
      </c>
      <c r="AD1340" s="491"/>
      <c r="AE1340" s="491"/>
    </row>
    <row r="1341" spans="1:32" ht="51" customHeight="1">
      <c r="A1341" s="1119"/>
      <c r="B1341" s="577" t="s">
        <v>56</v>
      </c>
      <c r="C1341" s="673" t="s">
        <v>4556</v>
      </c>
      <c r="D1341" s="674" t="s">
        <v>122</v>
      </c>
      <c r="E1341" s="674"/>
      <c r="F1341" s="674"/>
      <c r="G1341" s="674"/>
      <c r="H1341" s="674" t="s">
        <v>308</v>
      </c>
      <c r="I1341" s="673" t="s">
        <v>47</v>
      </c>
      <c r="J1341" s="1597" t="s">
        <v>4557</v>
      </c>
      <c r="K1341" s="529"/>
      <c r="L1341" s="511">
        <v>12</v>
      </c>
      <c r="M1341" s="514">
        <f>IF(O1341="tbc","",(IFERROR(EDATE($N1341,-3),"Invalid procurement method or date entered")))</f>
        <v>44347</v>
      </c>
      <c r="N1341" s="514">
        <v>44439</v>
      </c>
      <c r="O1341" s="534">
        <v>44593</v>
      </c>
      <c r="P1341" s="535">
        <v>3</v>
      </c>
      <c r="Q1341" s="535">
        <v>3</v>
      </c>
      <c r="R1341" s="528">
        <v>178000</v>
      </c>
      <c r="S1341" s="515" t="s">
        <v>75</v>
      </c>
      <c r="T1341" s="515" t="s">
        <v>62</v>
      </c>
      <c r="U1341" s="515" t="s">
        <v>60</v>
      </c>
      <c r="V1341" s="515"/>
      <c r="W1341" s="394" t="s">
        <v>70</v>
      </c>
    </row>
    <row r="1342" spans="1:32" ht="76">
      <c r="A1342" s="1119"/>
      <c r="B1342" s="577" t="s">
        <v>56</v>
      </c>
      <c r="C1342" s="510">
        <v>46476</v>
      </c>
      <c r="D1342" s="511" t="s">
        <v>32</v>
      </c>
      <c r="E1342" s="511"/>
      <c r="F1342" s="511"/>
      <c r="G1342" s="511"/>
      <c r="H1342" s="511" t="s">
        <v>308</v>
      </c>
      <c r="I1342" s="519" t="s">
        <v>47</v>
      </c>
      <c r="J1342" s="1578" t="s">
        <v>4558</v>
      </c>
      <c r="K1342" s="529"/>
      <c r="L1342" s="511">
        <v>12</v>
      </c>
      <c r="M1342" s="514">
        <v>44567</v>
      </c>
      <c r="N1342" s="514">
        <v>44228</v>
      </c>
      <c r="O1342" s="515">
        <v>44593</v>
      </c>
      <c r="P1342" s="516">
        <v>48</v>
      </c>
      <c r="Q1342" s="516" t="s">
        <v>215</v>
      </c>
      <c r="R1342" s="528">
        <v>570000</v>
      </c>
      <c r="S1342" s="515" t="s">
        <v>91</v>
      </c>
      <c r="T1342" s="515" t="s">
        <v>310</v>
      </c>
      <c r="U1342" s="510" t="s">
        <v>60</v>
      </c>
      <c r="V1342" s="510"/>
      <c r="W1342" s="394" t="s">
        <v>70</v>
      </c>
    </row>
    <row r="1343" spans="1:32" ht="50">
      <c r="A1343" s="1119"/>
      <c r="B1343" s="577" t="s">
        <v>56</v>
      </c>
      <c r="C1343" s="510">
        <v>47315</v>
      </c>
      <c r="D1343" s="511" t="s">
        <v>57</v>
      </c>
      <c r="E1343" s="511"/>
      <c r="F1343" s="511"/>
      <c r="G1343" s="511"/>
      <c r="H1343" s="511" t="s">
        <v>58</v>
      </c>
      <c r="I1343" s="519" t="s">
        <v>47</v>
      </c>
      <c r="J1343" s="1578" t="s">
        <v>4559</v>
      </c>
      <c r="K1343" s="529"/>
      <c r="L1343" s="511">
        <v>3</v>
      </c>
      <c r="M1343" s="514">
        <v>44504</v>
      </c>
      <c r="N1343" s="514">
        <f>IF(O1343="tbc","",(IFERROR(EDATE(O1343,-L1343),"Invalid procurement method or date entered")))</f>
        <v>44501</v>
      </c>
      <c r="O1343" s="534">
        <v>44593</v>
      </c>
      <c r="P1343" s="510">
        <v>1</v>
      </c>
      <c r="Q1343" s="535">
        <v>1</v>
      </c>
      <c r="R1343" s="528">
        <v>30000</v>
      </c>
      <c r="S1343" s="555" t="s">
        <v>61</v>
      </c>
      <c r="T1343" s="556" t="s">
        <v>60</v>
      </c>
      <c r="U1343" s="515" t="s">
        <v>60</v>
      </c>
      <c r="V1343" s="515"/>
      <c r="W1343" s="394" t="s">
        <v>70</v>
      </c>
    </row>
    <row r="1344" spans="1:32" ht="87.5">
      <c r="A1344" s="1119"/>
      <c r="B1344" s="577" t="s">
        <v>56</v>
      </c>
      <c r="C1344" s="510">
        <v>46439</v>
      </c>
      <c r="D1344" s="511" t="s">
        <v>32</v>
      </c>
      <c r="E1344" s="511"/>
      <c r="F1344" s="511"/>
      <c r="G1344" s="511"/>
      <c r="H1344" s="511" t="s">
        <v>308</v>
      </c>
      <c r="I1344" s="519" t="s">
        <v>47</v>
      </c>
      <c r="J1344" s="1578" t="s">
        <v>4560</v>
      </c>
      <c r="K1344" s="990"/>
      <c r="L1344" s="511">
        <v>12</v>
      </c>
      <c r="M1344" s="513">
        <f>IF(O1344="tbc","",(IFERROR(EDATE($N1344,-3),"Invalid procurement method or date entered")))</f>
        <v>44136</v>
      </c>
      <c r="N1344" s="514">
        <f>IF(O1344="tbc","",(IFERROR(EDATE(O1344,-L1344),"Invalid procurement method or date entered")))</f>
        <v>44228</v>
      </c>
      <c r="O1344" s="515">
        <v>44593</v>
      </c>
      <c r="P1344" s="516">
        <v>48</v>
      </c>
      <c r="Q1344" s="516" t="s">
        <v>215</v>
      </c>
      <c r="R1344" s="528">
        <v>8510000</v>
      </c>
      <c r="S1344" s="515" t="s">
        <v>91</v>
      </c>
      <c r="T1344" s="515" t="s">
        <v>310</v>
      </c>
      <c r="U1344" s="510" t="s">
        <v>60</v>
      </c>
      <c r="V1344" s="510"/>
      <c r="W1344" s="394" t="s">
        <v>70</v>
      </c>
    </row>
    <row r="1345" spans="1:32" ht="87.5">
      <c r="A1345" s="1119"/>
      <c r="B1345" s="577" t="s">
        <v>56</v>
      </c>
      <c r="C1345" s="510">
        <v>46476</v>
      </c>
      <c r="D1345" s="511" t="s">
        <v>32</v>
      </c>
      <c r="E1345" s="511"/>
      <c r="F1345" s="511"/>
      <c r="G1345" s="511"/>
      <c r="H1345" s="511" t="s">
        <v>308</v>
      </c>
      <c r="I1345" s="519" t="s">
        <v>47</v>
      </c>
      <c r="J1345" s="1578" t="s">
        <v>4561</v>
      </c>
      <c r="K1345" s="990"/>
      <c r="L1345" s="511">
        <v>12</v>
      </c>
      <c r="M1345" s="513">
        <f>IF(O1345="tbc","",(IFERROR(EDATE($N1345,-3),"Invalid procurement method or date entered")))</f>
        <v>44136</v>
      </c>
      <c r="N1345" s="514">
        <f>IF(O1345="tbc","",(IFERROR(EDATE(O1345,-L1345),"Invalid procurement method or date entered")))</f>
        <v>44228</v>
      </c>
      <c r="O1345" s="515">
        <v>44593</v>
      </c>
      <c r="P1345" s="516">
        <v>48</v>
      </c>
      <c r="Q1345" s="516" t="s">
        <v>215</v>
      </c>
      <c r="R1345" s="528">
        <v>570000</v>
      </c>
      <c r="S1345" s="515" t="s">
        <v>91</v>
      </c>
      <c r="T1345" s="515" t="s">
        <v>310</v>
      </c>
      <c r="U1345" s="510" t="s">
        <v>60</v>
      </c>
      <c r="V1345" s="510"/>
      <c r="W1345" s="394" t="s">
        <v>70</v>
      </c>
    </row>
    <row r="1346" spans="1:32" ht="26">
      <c r="A1346" s="889" t="s">
        <v>71</v>
      </c>
      <c r="B1346" s="707" t="s">
        <v>100</v>
      </c>
      <c r="C1346" s="707" t="s">
        <v>45</v>
      </c>
      <c r="D1346" s="707" t="s">
        <v>110</v>
      </c>
      <c r="E1346" s="707"/>
      <c r="F1346" s="707"/>
      <c r="G1346" s="707"/>
      <c r="H1346" s="707" t="s">
        <v>103</v>
      </c>
      <c r="I1346" s="710" t="s">
        <v>47</v>
      </c>
      <c r="J1346" s="1608" t="s">
        <v>4562</v>
      </c>
      <c r="K1346" s="710"/>
      <c r="L1346" s="710">
        <v>12</v>
      </c>
      <c r="M1346" s="711">
        <f>IFERROR(EDATE(N1346,-3),"Invalid procurement method or date entered")</f>
        <v>44136</v>
      </c>
      <c r="N1346" s="712">
        <f>IFERROR(EDATE(O1346,-L1346),"Invalid procurement method or date entered")</f>
        <v>44228</v>
      </c>
      <c r="O1346" s="711">
        <v>44593</v>
      </c>
      <c r="P1346" s="707" t="s">
        <v>45</v>
      </c>
      <c r="Q1346" s="707" t="s">
        <v>45</v>
      </c>
      <c r="R1346" s="772">
        <v>45000</v>
      </c>
      <c r="S1346" s="758" t="s">
        <v>176</v>
      </c>
      <c r="T1346" s="707" t="s">
        <v>38</v>
      </c>
      <c r="U1346" s="707" t="s">
        <v>71</v>
      </c>
      <c r="V1346" s="707"/>
      <c r="W1346" s="707" t="s">
        <v>2944</v>
      </c>
      <c r="X1346" s="779" t="s">
        <v>125</v>
      </c>
      <c r="Y1346" s="843" t="s">
        <v>40</v>
      </c>
      <c r="Z1346" s="779" t="s">
        <v>45</v>
      </c>
      <c r="AA1346" s="779" t="s">
        <v>70</v>
      </c>
      <c r="AB1346" s="1499">
        <v>44871</v>
      </c>
      <c r="AC1346" s="1115" t="s">
        <v>4563</v>
      </c>
      <c r="AD1346" s="922"/>
      <c r="AE1346" s="922"/>
      <c r="AF1346" s="1"/>
    </row>
    <row r="1347" spans="1:32" ht="26">
      <c r="A1347" s="889" t="s">
        <v>71</v>
      </c>
      <c r="B1347" s="707" t="s">
        <v>100</v>
      </c>
      <c r="C1347" s="707" t="s">
        <v>45</v>
      </c>
      <c r="D1347" s="707" t="s">
        <v>110</v>
      </c>
      <c r="E1347" s="707"/>
      <c r="F1347" s="707"/>
      <c r="G1347" s="707"/>
      <c r="H1347" s="710" t="s">
        <v>103</v>
      </c>
      <c r="I1347" s="710" t="s">
        <v>731</v>
      </c>
      <c r="J1347" s="1608" t="s">
        <v>4564</v>
      </c>
      <c r="K1347" s="710"/>
      <c r="L1347" s="710">
        <v>1</v>
      </c>
      <c r="M1347" s="711">
        <f>IFERROR(EDATE(N1347,-3),"Invalid procurement method or date entered")</f>
        <v>44470</v>
      </c>
      <c r="N1347" s="712">
        <f>IFERROR(EDATE(O1347,-L1347),"Invalid procurement method or date entered")</f>
        <v>44562</v>
      </c>
      <c r="O1347" s="711">
        <v>44593</v>
      </c>
      <c r="P1347" s="710">
        <v>3</v>
      </c>
      <c r="Q1347" s="707">
        <v>3</v>
      </c>
      <c r="R1347" s="772">
        <v>25000</v>
      </c>
      <c r="S1347" s="758" t="s">
        <v>37</v>
      </c>
      <c r="T1347" s="710" t="s">
        <v>38</v>
      </c>
      <c r="U1347" s="710" t="s">
        <v>71</v>
      </c>
      <c r="V1347" s="710"/>
      <c r="W1347" s="710" t="s">
        <v>490</v>
      </c>
      <c r="X1347" s="843" t="s">
        <v>289</v>
      </c>
      <c r="Y1347" s="843" t="s">
        <v>40</v>
      </c>
      <c r="Z1347" s="843" t="s">
        <v>45</v>
      </c>
      <c r="AA1347" s="1092" t="s">
        <v>70</v>
      </c>
      <c r="AB1347" s="1499">
        <v>44871</v>
      </c>
      <c r="AC1347" s="945" t="s">
        <v>4565</v>
      </c>
      <c r="AD1347" s="843"/>
      <c r="AE1347" s="843"/>
      <c r="AF1347" s="906"/>
    </row>
    <row r="1348" spans="1:32" ht="26">
      <c r="A1348" s="889" t="s">
        <v>71</v>
      </c>
      <c r="B1348" s="707" t="s">
        <v>100</v>
      </c>
      <c r="C1348" s="707" t="s">
        <v>45</v>
      </c>
      <c r="D1348" s="707" t="s">
        <v>110</v>
      </c>
      <c r="E1348" s="707"/>
      <c r="F1348" s="707"/>
      <c r="G1348" s="707"/>
      <c r="H1348" s="710" t="s">
        <v>103</v>
      </c>
      <c r="I1348" s="710" t="s">
        <v>731</v>
      </c>
      <c r="J1348" s="1608" t="s">
        <v>4566</v>
      </c>
      <c r="K1348" s="710"/>
      <c r="L1348" s="710">
        <v>1</v>
      </c>
      <c r="M1348" s="711">
        <f>IFERROR(EDATE(N1348,-3),"Invalid procurement method or date entered")</f>
        <v>44470</v>
      </c>
      <c r="N1348" s="712">
        <f>IFERROR(EDATE(O1348,-L1348),"Invalid procurement method or date entered")</f>
        <v>44562</v>
      </c>
      <c r="O1348" s="711">
        <v>44593</v>
      </c>
      <c r="P1348" s="710">
        <v>3</v>
      </c>
      <c r="Q1348" s="707">
        <v>3</v>
      </c>
      <c r="R1348" s="772">
        <v>25000</v>
      </c>
      <c r="S1348" s="758" t="s">
        <v>37</v>
      </c>
      <c r="T1348" s="710" t="s">
        <v>38</v>
      </c>
      <c r="U1348" s="710" t="s">
        <v>71</v>
      </c>
      <c r="V1348" s="710"/>
      <c r="W1348" s="710" t="s">
        <v>2883</v>
      </c>
      <c r="X1348" s="843" t="s">
        <v>125</v>
      </c>
      <c r="Y1348" s="843" t="s">
        <v>40</v>
      </c>
      <c r="Z1348" s="843" t="s">
        <v>45</v>
      </c>
      <c r="AA1348" s="1092" t="s">
        <v>70</v>
      </c>
      <c r="AB1348" s="1499">
        <v>44871</v>
      </c>
      <c r="AC1348" s="945" t="s">
        <v>4567</v>
      </c>
      <c r="AD1348" s="843"/>
      <c r="AE1348" s="843"/>
      <c r="AF1348" s="906"/>
    </row>
    <row r="1349" spans="1:32" ht="78">
      <c r="A1349" s="911">
        <v>44708</v>
      </c>
      <c r="B1349" s="726" t="s">
        <v>56</v>
      </c>
      <c r="C1349" s="726" t="s">
        <v>60</v>
      </c>
      <c r="D1349" s="730" t="s">
        <v>32</v>
      </c>
      <c r="E1349" s="730"/>
      <c r="F1349" s="730"/>
      <c r="G1349" s="730"/>
      <c r="H1349" s="730" t="s">
        <v>308</v>
      </c>
      <c r="I1349" s="726" t="s">
        <v>268</v>
      </c>
      <c r="J1349" s="1604" t="s">
        <v>4568</v>
      </c>
      <c r="K1349" s="726" t="s">
        <v>4569</v>
      </c>
      <c r="L1349" s="730">
        <v>3</v>
      </c>
      <c r="M1349" s="731" t="s">
        <v>71</v>
      </c>
      <c r="N1349" s="712" t="s">
        <v>71</v>
      </c>
      <c r="O1349" s="759">
        <v>44593</v>
      </c>
      <c r="P1349" s="891">
        <v>48</v>
      </c>
      <c r="Q1349" s="891" t="s">
        <v>3071</v>
      </c>
      <c r="R1349" s="772" t="s">
        <v>4570</v>
      </c>
      <c r="S1349" s="711" t="s">
        <v>182</v>
      </c>
      <c r="T1349" s="711" t="s">
        <v>589</v>
      </c>
      <c r="U1349" s="711" t="s">
        <v>60</v>
      </c>
      <c r="V1349" s="711"/>
      <c r="W1349" s="726" t="s">
        <v>379</v>
      </c>
      <c r="X1349" s="922" t="s">
        <v>283</v>
      </c>
      <c r="Y1349" s="900" t="s">
        <v>40</v>
      </c>
      <c r="Z1349" s="900" t="s">
        <v>69</v>
      </c>
      <c r="AA1349" s="889" t="s">
        <v>70</v>
      </c>
      <c r="AB1349" s="1499" t="s">
        <v>1061</v>
      </c>
      <c r="AC1349" s="1912" t="s">
        <v>4571</v>
      </c>
      <c r="AD1349" s="1759"/>
      <c r="AE1349" s="1759"/>
      <c r="AF1349" s="906"/>
    </row>
    <row r="1350" spans="1:32">
      <c r="A1350" s="1648">
        <v>44974</v>
      </c>
      <c r="B1350" s="1655" t="s">
        <v>1168</v>
      </c>
      <c r="C1350" s="1664">
        <v>27843</v>
      </c>
      <c r="D1350" s="1664" t="s">
        <v>2054</v>
      </c>
      <c r="E1350" s="1655" t="s">
        <v>1168</v>
      </c>
      <c r="F1350" s="1655" t="s">
        <v>1170</v>
      </c>
      <c r="G1350" s="1655" t="s">
        <v>1170</v>
      </c>
      <c r="H1350" s="1655" t="s">
        <v>1170</v>
      </c>
      <c r="I1350" s="1655" t="s">
        <v>1170</v>
      </c>
      <c r="J1350" s="1698" t="s">
        <v>4572</v>
      </c>
      <c r="K1350" s="1664" t="s">
        <v>4573</v>
      </c>
      <c r="L1350" s="1655" t="s">
        <v>1170</v>
      </c>
      <c r="M1350" s="1655" t="s">
        <v>1170</v>
      </c>
      <c r="N1350" s="1655" t="s">
        <v>1170</v>
      </c>
      <c r="O1350" s="1755">
        <v>44593</v>
      </c>
      <c r="P1350" s="1755">
        <v>44804</v>
      </c>
      <c r="Q1350" s="1664" t="s">
        <v>589</v>
      </c>
      <c r="R1350" s="1805">
        <v>7380</v>
      </c>
      <c r="S1350" s="1664" t="s">
        <v>1189</v>
      </c>
      <c r="T1350" s="1655" t="s">
        <v>1170</v>
      </c>
      <c r="U1350" s="1655" t="s">
        <v>1170</v>
      </c>
      <c r="V1350" s="1655"/>
      <c r="W1350" s="1664" t="s">
        <v>4574</v>
      </c>
      <c r="X1350" s="1723" t="s">
        <v>1175</v>
      </c>
      <c r="Y1350" s="1723" t="s">
        <v>251</v>
      </c>
      <c r="Z1350" s="1657" t="s">
        <v>1170</v>
      </c>
      <c r="AA1350" s="1657" t="s">
        <v>1170</v>
      </c>
      <c r="AB1350" s="1657" t="s">
        <v>1170</v>
      </c>
      <c r="AC1350" s="909" t="s">
        <v>4575</v>
      </c>
      <c r="AD1350" s="1657" t="s">
        <v>1170</v>
      </c>
      <c r="AE1350" s="1828">
        <v>7380</v>
      </c>
    </row>
    <row r="1351" spans="1:32">
      <c r="A1351" s="1648">
        <v>44974</v>
      </c>
      <c r="B1351" s="1655" t="s">
        <v>1168</v>
      </c>
      <c r="C1351" s="1664">
        <v>27844</v>
      </c>
      <c r="D1351" s="1664" t="s">
        <v>2054</v>
      </c>
      <c r="E1351" s="1655" t="s">
        <v>1168</v>
      </c>
      <c r="F1351" s="1655" t="s">
        <v>1170</v>
      </c>
      <c r="G1351" s="1655" t="s">
        <v>1170</v>
      </c>
      <c r="H1351" s="1655" t="s">
        <v>1170</v>
      </c>
      <c r="I1351" s="1655" t="s">
        <v>1170</v>
      </c>
      <c r="J1351" s="1698" t="s">
        <v>4576</v>
      </c>
      <c r="K1351" s="1664" t="s">
        <v>4573</v>
      </c>
      <c r="L1351" s="1655" t="s">
        <v>1170</v>
      </c>
      <c r="M1351" s="1655" t="s">
        <v>1170</v>
      </c>
      <c r="N1351" s="1655" t="s">
        <v>1170</v>
      </c>
      <c r="O1351" s="1755">
        <v>44593</v>
      </c>
      <c r="P1351" s="1755">
        <v>44804</v>
      </c>
      <c r="Q1351" s="1664" t="s">
        <v>589</v>
      </c>
      <c r="R1351" s="1805">
        <v>5760</v>
      </c>
      <c r="S1351" s="1664" t="s">
        <v>1189</v>
      </c>
      <c r="T1351" s="1655" t="s">
        <v>1170</v>
      </c>
      <c r="U1351" s="1655" t="s">
        <v>1170</v>
      </c>
      <c r="V1351" s="1655"/>
      <c r="W1351" s="1664" t="s">
        <v>4574</v>
      </c>
      <c r="X1351" s="1723" t="s">
        <v>1175</v>
      </c>
      <c r="Y1351" s="1723" t="s">
        <v>251</v>
      </c>
      <c r="Z1351" s="1657" t="s">
        <v>1170</v>
      </c>
      <c r="AA1351" s="1657" t="s">
        <v>1170</v>
      </c>
      <c r="AB1351" s="1657" t="s">
        <v>1170</v>
      </c>
      <c r="AC1351" s="909" t="s">
        <v>4575</v>
      </c>
      <c r="AD1351" s="1657" t="s">
        <v>1170</v>
      </c>
      <c r="AE1351" s="1828">
        <v>5760</v>
      </c>
    </row>
    <row r="1352" spans="1:32" ht="37.5">
      <c r="A1352" s="1119"/>
      <c r="B1352" s="577" t="s">
        <v>56</v>
      </c>
      <c r="C1352" s="510" t="s">
        <v>60</v>
      </c>
      <c r="D1352" s="511" t="s">
        <v>57</v>
      </c>
      <c r="E1352" s="511"/>
      <c r="F1352" s="511"/>
      <c r="G1352" s="511"/>
      <c r="H1352" s="511" t="s">
        <v>58</v>
      </c>
      <c r="I1352" s="510" t="s">
        <v>47</v>
      </c>
      <c r="J1352" s="1580" t="s">
        <v>4577</v>
      </c>
      <c r="K1352" s="990"/>
      <c r="L1352" s="511">
        <v>3</v>
      </c>
      <c r="M1352" s="514">
        <f>IF(O1352="tbc","",(IFERROR(EDATE($N1352,-3),"Invalid procurement method or date entered")))</f>
        <v>44413</v>
      </c>
      <c r="N1352" s="514">
        <f>IF(O1352="tbc","",(IFERROR(EDATE(O1352,-L1352),"Invalid procurement method or date entered")))</f>
        <v>44505</v>
      </c>
      <c r="O1352" s="534">
        <v>44597</v>
      </c>
      <c r="P1352" s="535">
        <v>1</v>
      </c>
      <c r="Q1352" s="535">
        <v>1</v>
      </c>
      <c r="R1352" s="528">
        <v>50000</v>
      </c>
      <c r="S1352" s="515" t="s">
        <v>176</v>
      </c>
      <c r="T1352" s="515" t="s">
        <v>62</v>
      </c>
      <c r="U1352" s="515" t="s">
        <v>60</v>
      </c>
      <c r="V1352" s="515"/>
      <c r="W1352" s="394" t="s">
        <v>70</v>
      </c>
    </row>
    <row r="1353" spans="1:32" ht="87">
      <c r="A1353" s="2756"/>
      <c r="B1353" s="2755" t="s">
        <v>44</v>
      </c>
      <c r="C1353" s="4" t="s">
        <v>3651</v>
      </c>
      <c r="D1353" s="5" t="s">
        <v>32</v>
      </c>
      <c r="E1353" s="5"/>
      <c r="F1353" s="5"/>
      <c r="G1353" s="5"/>
      <c r="H1353" s="5" t="s">
        <v>33</v>
      </c>
      <c r="I1353" s="5" t="s">
        <v>34</v>
      </c>
      <c r="J1353" s="16" t="s">
        <v>3652</v>
      </c>
      <c r="K1353" s="16"/>
      <c r="L1353" s="5">
        <v>12</v>
      </c>
      <c r="M1353" s="199">
        <f>IFERROR(EDATE($N1353,-3),"Invalid procurement method or date entered")</f>
        <v>44141</v>
      </c>
      <c r="N1353" s="199">
        <f>IFERROR(EDATE(O1353,-L1353),"Invalid procurement method or date entered")</f>
        <v>44233</v>
      </c>
      <c r="O1353" s="182">
        <v>44598</v>
      </c>
      <c r="P1353" s="12">
        <v>24</v>
      </c>
      <c r="Q1353" s="12" t="s">
        <v>3816</v>
      </c>
      <c r="R1353" s="18">
        <v>20000</v>
      </c>
      <c r="S1353" s="5" t="s">
        <v>130</v>
      </c>
      <c r="T1353" s="5" t="s">
        <v>38</v>
      </c>
      <c r="U1353" s="182" t="s">
        <v>67</v>
      </c>
      <c r="V1353" s="182"/>
      <c r="W1353" s="5" t="s">
        <v>3653</v>
      </c>
      <c r="X1353" s="80" t="s">
        <v>39</v>
      </c>
      <c r="Y1353" s="80" t="s">
        <v>40</v>
      </c>
      <c r="Z1353" s="80" t="s">
        <v>154</v>
      </c>
      <c r="AA1353" s="80" t="s">
        <v>70</v>
      </c>
      <c r="AB1353" s="354" t="s">
        <v>88</v>
      </c>
      <c r="AC1353" s="101" t="s">
        <v>4578</v>
      </c>
      <c r="AD1353" s="80" t="s">
        <v>145</v>
      </c>
      <c r="AE1353" s="1135"/>
    </row>
    <row r="1354" spans="1:32">
      <c r="A1354" s="1648">
        <v>44974</v>
      </c>
      <c r="B1354" s="1655" t="s">
        <v>1168</v>
      </c>
      <c r="C1354" s="1664">
        <v>33125</v>
      </c>
      <c r="D1354" s="1664" t="s">
        <v>1178</v>
      </c>
      <c r="E1354" s="1655" t="s">
        <v>1168</v>
      </c>
      <c r="F1354" s="1655" t="s">
        <v>1170</v>
      </c>
      <c r="G1354" s="1655" t="s">
        <v>1170</v>
      </c>
      <c r="H1354" s="1655" t="s">
        <v>1170</v>
      </c>
      <c r="I1354" s="1655" t="s">
        <v>1170</v>
      </c>
      <c r="J1354" s="1698" t="s">
        <v>2419</v>
      </c>
      <c r="K1354" s="1664" t="s">
        <v>390</v>
      </c>
      <c r="L1354" s="1655" t="s">
        <v>1170</v>
      </c>
      <c r="M1354" s="1655" t="s">
        <v>1170</v>
      </c>
      <c r="N1354" s="1655" t="s">
        <v>1170</v>
      </c>
      <c r="O1354" s="1755">
        <v>44598</v>
      </c>
      <c r="P1354" s="1755">
        <v>44963</v>
      </c>
      <c r="Q1354" s="1664" t="s">
        <v>1538</v>
      </c>
      <c r="R1354" s="1805">
        <v>28140</v>
      </c>
      <c r="S1354" s="1664" t="s">
        <v>1240</v>
      </c>
      <c r="T1354" s="1655" t="s">
        <v>1170</v>
      </c>
      <c r="U1354" s="1655" t="s">
        <v>1170</v>
      </c>
      <c r="V1354" s="1655"/>
      <c r="W1354" s="1664" t="s">
        <v>1190</v>
      </c>
      <c r="X1354" s="1723" t="s">
        <v>1175</v>
      </c>
      <c r="Y1354" s="1723" t="s">
        <v>251</v>
      </c>
      <c r="Z1354" s="1657" t="s">
        <v>1170</v>
      </c>
      <c r="AA1354" s="1657" t="s">
        <v>1170</v>
      </c>
      <c r="AB1354" s="1657" t="s">
        <v>1170</v>
      </c>
      <c r="AC1354" s="909" t="s">
        <v>4579</v>
      </c>
      <c r="AD1354" s="1657" t="s">
        <v>1170</v>
      </c>
      <c r="AE1354" s="1828">
        <v>28140</v>
      </c>
    </row>
    <row r="1355" spans="1:32">
      <c r="A1355" s="1648">
        <v>44974</v>
      </c>
      <c r="B1355" s="1655" t="s">
        <v>1168</v>
      </c>
      <c r="C1355" s="1664">
        <v>33125</v>
      </c>
      <c r="D1355" s="1664" t="s">
        <v>1178</v>
      </c>
      <c r="E1355" s="1655" t="s">
        <v>1168</v>
      </c>
      <c r="F1355" s="1655" t="s">
        <v>1170</v>
      </c>
      <c r="G1355" s="1655" t="s">
        <v>1170</v>
      </c>
      <c r="H1355" s="1655" t="s">
        <v>1170</v>
      </c>
      <c r="I1355" s="1655" t="s">
        <v>1170</v>
      </c>
      <c r="J1355" s="1698" t="s">
        <v>2419</v>
      </c>
      <c r="K1355" s="1664" t="s">
        <v>390</v>
      </c>
      <c r="L1355" s="1655" t="s">
        <v>1170</v>
      </c>
      <c r="M1355" s="1655" t="s">
        <v>1170</v>
      </c>
      <c r="N1355" s="1655" t="s">
        <v>1170</v>
      </c>
      <c r="O1355" s="1755">
        <v>44598</v>
      </c>
      <c r="P1355" s="1755">
        <v>45328</v>
      </c>
      <c r="Q1355" s="1664" t="s">
        <v>1538</v>
      </c>
      <c r="R1355" s="1805">
        <v>28140</v>
      </c>
      <c r="S1355" s="1664" t="s">
        <v>1240</v>
      </c>
      <c r="T1355" s="1655" t="s">
        <v>1170</v>
      </c>
      <c r="U1355" s="1655" t="s">
        <v>1170</v>
      </c>
      <c r="V1355" s="1655"/>
      <c r="W1355" s="1664" t="s">
        <v>1190</v>
      </c>
      <c r="X1355" s="1723" t="s">
        <v>1175</v>
      </c>
      <c r="Y1355" s="1723" t="s">
        <v>251</v>
      </c>
      <c r="Z1355" s="1657" t="s">
        <v>1170</v>
      </c>
      <c r="AA1355" s="1657" t="s">
        <v>1170</v>
      </c>
      <c r="AB1355" s="1657" t="s">
        <v>1170</v>
      </c>
      <c r="AC1355" s="909" t="s">
        <v>4580</v>
      </c>
      <c r="AD1355" s="1657" t="s">
        <v>1170</v>
      </c>
      <c r="AE1355" s="1828">
        <v>28140</v>
      </c>
    </row>
    <row r="1356" spans="1:32" ht="43.5">
      <c r="A1356" s="1184"/>
      <c r="B1356" s="2755" t="s">
        <v>44</v>
      </c>
      <c r="C1356" s="4" t="s">
        <v>3660</v>
      </c>
      <c r="D1356" s="9" t="s">
        <v>32</v>
      </c>
      <c r="E1356" s="9"/>
      <c r="F1356" s="9"/>
      <c r="G1356" s="9"/>
      <c r="H1356" s="5" t="s">
        <v>33</v>
      </c>
      <c r="I1356" s="5" t="s">
        <v>34</v>
      </c>
      <c r="J1356" s="2752" t="s">
        <v>4581</v>
      </c>
      <c r="K1356" s="2752"/>
      <c r="L1356" s="5">
        <v>6</v>
      </c>
      <c r="M1356" s="199">
        <f>IFERROR(EDATE($N1356,-3),"Invalid procurement method or date entered")</f>
        <v>44326</v>
      </c>
      <c r="N1356" s="199">
        <f>IFERROR(EDATE(O1356,-L1356),"Invalid procurement method or date entered")</f>
        <v>44418</v>
      </c>
      <c r="O1356" s="2764">
        <v>44602</v>
      </c>
      <c r="P1356" s="2763">
        <v>36</v>
      </c>
      <c r="Q1356" s="5" t="s">
        <v>611</v>
      </c>
      <c r="R1356" s="18">
        <v>90305</v>
      </c>
      <c r="S1356" s="5" t="s">
        <v>130</v>
      </c>
      <c r="T1356" s="50" t="s">
        <v>62</v>
      </c>
      <c r="U1356" s="48" t="s">
        <v>71</v>
      </c>
      <c r="V1356" s="48"/>
      <c r="W1356" s="5" t="s">
        <v>153</v>
      </c>
      <c r="X1356" s="2765" t="s">
        <v>39</v>
      </c>
      <c r="Y1356" s="80" t="s">
        <v>40</v>
      </c>
      <c r="Z1356" s="80" t="s">
        <v>154</v>
      </c>
      <c r="AA1356" s="80" t="s">
        <v>70</v>
      </c>
      <c r="AB1356" s="354" t="s">
        <v>224</v>
      </c>
      <c r="AC1356" s="2761" t="s">
        <v>1990</v>
      </c>
      <c r="AD1356" s="80" t="s">
        <v>164</v>
      </c>
      <c r="AE1356" s="339"/>
    </row>
    <row r="1357" spans="1:32">
      <c r="A1357" s="1648">
        <v>44974</v>
      </c>
      <c r="B1357" s="1655" t="s">
        <v>1168</v>
      </c>
      <c r="C1357" s="1664">
        <v>29030</v>
      </c>
      <c r="D1357" s="1664" t="s">
        <v>1254</v>
      </c>
      <c r="E1357" s="1655" t="s">
        <v>1168</v>
      </c>
      <c r="F1357" s="1655" t="s">
        <v>1170</v>
      </c>
      <c r="G1357" s="1655" t="s">
        <v>1170</v>
      </c>
      <c r="H1357" s="1655" t="s">
        <v>1170</v>
      </c>
      <c r="I1357" s="1655" t="s">
        <v>1170</v>
      </c>
      <c r="J1357" s="1698" t="s">
        <v>4582</v>
      </c>
      <c r="K1357" s="1664" t="s">
        <v>4215</v>
      </c>
      <c r="L1357" s="1655" t="s">
        <v>1170</v>
      </c>
      <c r="M1357" s="1655" t="s">
        <v>1170</v>
      </c>
      <c r="N1357" s="1655" t="s">
        <v>1170</v>
      </c>
      <c r="O1357" s="1755">
        <v>44609</v>
      </c>
      <c r="P1357" s="1755">
        <v>44974</v>
      </c>
      <c r="Q1357" s="1664" t="s">
        <v>589</v>
      </c>
      <c r="R1357" s="1805">
        <v>24819</v>
      </c>
      <c r="S1357" s="1664" t="s">
        <v>1189</v>
      </c>
      <c r="T1357" s="1655" t="s">
        <v>1170</v>
      </c>
      <c r="U1357" s="1655" t="s">
        <v>1170</v>
      </c>
      <c r="V1357" s="1655"/>
      <c r="W1357" s="1664" t="s">
        <v>4216</v>
      </c>
      <c r="X1357" s="1723" t="s">
        <v>1175</v>
      </c>
      <c r="Y1357" s="1723" t="s">
        <v>251</v>
      </c>
      <c r="Z1357" s="1657" t="s">
        <v>1170</v>
      </c>
      <c r="AA1357" s="1657" t="s">
        <v>1170</v>
      </c>
      <c r="AB1357" s="1657" t="s">
        <v>1170</v>
      </c>
      <c r="AC1357" s="909" t="s">
        <v>4583</v>
      </c>
      <c r="AD1357" s="1657" t="s">
        <v>1170</v>
      </c>
      <c r="AE1357" s="1828">
        <v>24819</v>
      </c>
    </row>
    <row r="1358" spans="1:32" ht="43.5">
      <c r="A1358" s="2756"/>
      <c r="B1358" s="2755" t="s">
        <v>44</v>
      </c>
      <c r="C1358" s="4" t="s">
        <v>45</v>
      </c>
      <c r="D1358" s="9" t="s">
        <v>32</v>
      </c>
      <c r="E1358" s="9"/>
      <c r="F1358" s="9"/>
      <c r="G1358" s="9"/>
      <c r="H1358" s="5" t="s">
        <v>33</v>
      </c>
      <c r="I1358" s="5" t="s">
        <v>47</v>
      </c>
      <c r="J1358" s="1590" t="s">
        <v>4584</v>
      </c>
      <c r="K1358" s="64"/>
      <c r="L1358" s="5">
        <v>6</v>
      </c>
      <c r="M1358" s="199">
        <f>IFERROR(EDATE($N1358,-3),"Invalid procurement method or date entered")</f>
        <v>44339</v>
      </c>
      <c r="N1358" s="199">
        <f>IFERROR(EDATE(O1358,-L1358),"Invalid procurement method or date entered")</f>
        <v>44431</v>
      </c>
      <c r="O1358" s="182">
        <v>44615</v>
      </c>
      <c r="P1358" s="12">
        <v>12</v>
      </c>
      <c r="Q1358" s="12">
        <v>12</v>
      </c>
      <c r="R1358" s="18">
        <v>15000</v>
      </c>
      <c r="S1358" s="5" t="s">
        <v>37</v>
      </c>
      <c r="T1358" s="52" t="s">
        <v>38</v>
      </c>
      <c r="U1358" s="48" t="s">
        <v>67</v>
      </c>
      <c r="V1358" s="48"/>
      <c r="W1358" s="12" t="s">
        <v>262</v>
      </c>
      <c r="X1358" s="80" t="s">
        <v>289</v>
      </c>
      <c r="Y1358" s="80" t="s">
        <v>40</v>
      </c>
      <c r="Z1358" s="80" t="s">
        <v>154</v>
      </c>
      <c r="AA1358" s="80" t="s">
        <v>70</v>
      </c>
      <c r="AB1358" s="354" t="s">
        <v>88</v>
      </c>
      <c r="AC1358" s="1111" t="s">
        <v>4585</v>
      </c>
      <c r="AD1358" s="80" t="s">
        <v>264</v>
      </c>
      <c r="AE1358" s="211">
        <v>15000</v>
      </c>
    </row>
    <row r="1359" spans="1:32" ht="43.5">
      <c r="A1359" s="2754"/>
      <c r="B1359" s="2757"/>
      <c r="C1359" s="4" t="s">
        <v>45</v>
      </c>
      <c r="D1359" s="9" t="s">
        <v>32</v>
      </c>
      <c r="E1359" s="9"/>
      <c r="F1359" s="9"/>
      <c r="G1359" s="9"/>
      <c r="H1359" s="5" t="s">
        <v>33</v>
      </c>
      <c r="I1359" s="5" t="s">
        <v>47</v>
      </c>
      <c r="J1359" s="1590" t="s">
        <v>3689</v>
      </c>
      <c r="K1359" s="64"/>
      <c r="L1359" s="5">
        <v>3</v>
      </c>
      <c r="M1359" s="199">
        <f>IFERROR(EDATE($N1359,-3),"Invalid procurement method or date entered")</f>
        <v>44440</v>
      </c>
      <c r="N1359" s="199">
        <f>IFERROR(EDATE(O1359,-L1359),"Invalid procurement method or date entered")</f>
        <v>44531</v>
      </c>
      <c r="O1359" s="182">
        <v>44621</v>
      </c>
      <c r="P1359" s="12">
        <v>12</v>
      </c>
      <c r="Q1359" s="12">
        <v>12</v>
      </c>
      <c r="R1359" s="18">
        <v>5000</v>
      </c>
      <c r="S1359" s="5" t="s">
        <v>37</v>
      </c>
      <c r="T1359" s="52" t="s">
        <v>38</v>
      </c>
      <c r="U1359" s="48" t="s">
        <v>67</v>
      </c>
      <c r="V1359" s="48"/>
      <c r="W1359" s="12" t="s">
        <v>262</v>
      </c>
      <c r="X1359" s="1076" t="s">
        <v>289</v>
      </c>
      <c r="Y1359" s="80" t="s">
        <v>371</v>
      </c>
      <c r="Z1359" s="80" t="s">
        <v>154</v>
      </c>
      <c r="AA1359" s="80" t="s">
        <v>70</v>
      </c>
      <c r="AB1359" s="354" t="s">
        <v>224</v>
      </c>
      <c r="AC1359" s="1111"/>
      <c r="AD1359" s="80" t="s">
        <v>264</v>
      </c>
      <c r="AE1359" s="1135"/>
    </row>
    <row r="1360" spans="1:32" ht="43.5">
      <c r="A1360" s="2754"/>
      <c r="B1360" s="2755" t="s">
        <v>44</v>
      </c>
      <c r="C1360" s="2755" t="s">
        <v>45</v>
      </c>
      <c r="D1360" s="9" t="s">
        <v>32</v>
      </c>
      <c r="E1360" s="9"/>
      <c r="F1360" s="9"/>
      <c r="G1360" s="9"/>
      <c r="H1360" s="5" t="s">
        <v>65</v>
      </c>
      <c r="I1360" s="5" t="s">
        <v>47</v>
      </c>
      <c r="J1360" s="16" t="s">
        <v>455</v>
      </c>
      <c r="K1360" s="8"/>
      <c r="L1360" s="5">
        <v>1</v>
      </c>
      <c r="M1360" s="199">
        <v>44624</v>
      </c>
      <c r="N1360" s="199">
        <f>IFERROR(EDATE(O1360,-L1360),"Invalid procurement method or date entered")</f>
        <v>44593</v>
      </c>
      <c r="O1360" s="199">
        <v>44621</v>
      </c>
      <c r="P1360" s="5">
        <v>12</v>
      </c>
      <c r="Q1360" s="5">
        <v>12</v>
      </c>
      <c r="R1360" s="18">
        <v>27243</v>
      </c>
      <c r="S1360" s="5" t="s">
        <v>51</v>
      </c>
      <c r="T1360" s="5" t="s">
        <v>38</v>
      </c>
      <c r="U1360" s="12" t="s">
        <v>67</v>
      </c>
      <c r="V1360" s="12"/>
      <c r="W1360" s="5" t="s">
        <v>379</v>
      </c>
      <c r="X1360" s="80" t="s">
        <v>54</v>
      </c>
      <c r="Y1360" s="80" t="s">
        <v>727</v>
      </c>
      <c r="Z1360" s="80" t="s">
        <v>154</v>
      </c>
      <c r="AA1360" s="80" t="s">
        <v>38</v>
      </c>
      <c r="AB1360" s="354" t="s">
        <v>88</v>
      </c>
      <c r="AC1360" s="101" t="s">
        <v>2525</v>
      </c>
      <c r="AD1360" s="76" t="s">
        <v>79</v>
      </c>
      <c r="AE1360" s="339"/>
    </row>
    <row r="1361" spans="1:32" ht="29">
      <c r="A1361" s="1195"/>
      <c r="B1361" s="200" t="s">
        <v>100</v>
      </c>
      <c r="C1361" s="382" t="s">
        <v>45</v>
      </c>
      <c r="D1361" s="1549" t="s">
        <v>32</v>
      </c>
      <c r="E1361" s="1549"/>
      <c r="F1361" s="1549"/>
      <c r="G1361" s="1549"/>
      <c r="H1361" s="16" t="s">
        <v>103</v>
      </c>
      <c r="I1361" s="16" t="s">
        <v>268</v>
      </c>
      <c r="J1361" s="16" t="s">
        <v>4586</v>
      </c>
      <c r="K1361" s="8"/>
      <c r="L1361" s="5">
        <v>3</v>
      </c>
      <c r="M1361" s="199">
        <f>IFERROR(EDATE(N1361,-3),"Invalid procurement method or date entered")</f>
        <v>44440</v>
      </c>
      <c r="N1361" s="149">
        <f>IFERROR(EDATE(O1361,-L1361),"Invalid procurement method or date entered")</f>
        <v>44531</v>
      </c>
      <c r="O1361" s="367">
        <v>44621</v>
      </c>
      <c r="P1361" s="368">
        <v>6</v>
      </c>
      <c r="Q1361" s="368">
        <v>6</v>
      </c>
      <c r="R1361" s="1550">
        <v>325000</v>
      </c>
      <c r="S1361" s="1550" t="s">
        <v>270</v>
      </c>
      <c r="T1361" s="1551" t="s">
        <v>38</v>
      </c>
      <c r="U1361" s="1551" t="s">
        <v>71</v>
      </c>
      <c r="V1361" s="1551"/>
      <c r="W1361" s="8" t="s">
        <v>3312</v>
      </c>
      <c r="X1361" s="1552" t="s">
        <v>39</v>
      </c>
      <c r="Y1361" s="111" t="s">
        <v>40</v>
      </c>
      <c r="Z1361" s="111"/>
      <c r="AA1361" s="1552" t="s">
        <v>69</v>
      </c>
      <c r="AB1361" s="1553" t="s">
        <v>70</v>
      </c>
      <c r="AC1361" s="491">
        <v>44722</v>
      </c>
      <c r="AD1361" s="491"/>
      <c r="AE1361" s="491"/>
    </row>
    <row r="1362" spans="1:32" ht="117">
      <c r="A1362" s="1652" t="s">
        <v>71</v>
      </c>
      <c r="B1362" s="1218" t="s">
        <v>100</v>
      </c>
      <c r="C1362" s="1218" t="s">
        <v>3078</v>
      </c>
      <c r="D1362" s="1216" t="s">
        <v>110</v>
      </c>
      <c r="E1362" s="1216"/>
      <c r="F1362" s="1216"/>
      <c r="G1362" s="1216"/>
      <c r="H1362" s="1211" t="s">
        <v>103</v>
      </c>
      <c r="I1362" s="1211" t="s">
        <v>34</v>
      </c>
      <c r="J1362" s="1618" t="s">
        <v>3079</v>
      </c>
      <c r="K1362" s="709"/>
      <c r="L1362" s="710">
        <v>3</v>
      </c>
      <c r="M1362" s="1213">
        <f>IFERROR(EDATE(N1362,-3),"Invalid procurement method or date entered")</f>
        <v>44440</v>
      </c>
      <c r="N1362" s="1219">
        <f>IFERROR(EDATE(O1362,-L1362),"Invalid procurement method or date entered")</f>
        <v>44531</v>
      </c>
      <c r="O1362" s="1220">
        <v>44621</v>
      </c>
      <c r="P1362" s="1223">
        <v>60</v>
      </c>
      <c r="Q1362" s="1221" t="s">
        <v>171</v>
      </c>
      <c r="R1362" s="1820">
        <v>30000</v>
      </c>
      <c r="S1362" s="1226" t="s">
        <v>51</v>
      </c>
      <c r="T1362" s="1216" t="s">
        <v>38</v>
      </c>
      <c r="U1362" s="1216" t="s">
        <v>71</v>
      </c>
      <c r="V1362" s="1216"/>
      <c r="W1362" s="1211" t="s">
        <v>490</v>
      </c>
      <c r="X1362" s="1868" t="s">
        <v>189</v>
      </c>
      <c r="Y1362" s="1868" t="s">
        <v>40</v>
      </c>
      <c r="Z1362" s="1868" t="s">
        <v>69</v>
      </c>
      <c r="AA1362" s="1885" t="s">
        <v>70</v>
      </c>
      <c r="AB1362" s="1896">
        <v>44691</v>
      </c>
      <c r="AC1362" s="1862" t="s">
        <v>4587</v>
      </c>
      <c r="AD1362" s="1868"/>
      <c r="AE1362" s="1868"/>
      <c r="AF1362" s="1217"/>
    </row>
    <row r="1363" spans="1:32" ht="143">
      <c r="A1363" s="911"/>
      <c r="B1363" s="726" t="s">
        <v>56</v>
      </c>
      <c r="C1363" s="726" t="s">
        <v>60</v>
      </c>
      <c r="D1363" s="730" t="s">
        <v>4428</v>
      </c>
      <c r="E1363" s="730"/>
      <c r="F1363" s="730"/>
      <c r="G1363" s="730"/>
      <c r="H1363" s="728" t="s">
        <v>58</v>
      </c>
      <c r="I1363" s="709" t="s">
        <v>47</v>
      </c>
      <c r="J1363" s="1604" t="s">
        <v>4588</v>
      </c>
      <c r="K1363" s="729"/>
      <c r="L1363" s="730">
        <v>12</v>
      </c>
      <c r="M1363" s="731">
        <f>IF(O1363="tbc","",(IFERROR(EDATE($N1363,-3),"Invalid procurement method or date entered")))</f>
        <v>44166</v>
      </c>
      <c r="N1363" s="712">
        <f>IF(O1363="tbc","",(IFERROR(EDATE(O1363,-L1363),"Invalid procurement method or date entered")))</f>
        <v>44256</v>
      </c>
      <c r="O1363" s="759">
        <v>44621</v>
      </c>
      <c r="P1363" s="891">
        <v>24</v>
      </c>
      <c r="Q1363" s="891" t="s">
        <v>1345</v>
      </c>
      <c r="R1363" s="1030">
        <f>2*200000</f>
        <v>400000</v>
      </c>
      <c r="S1363" s="711" t="s">
        <v>91</v>
      </c>
      <c r="T1363" s="711" t="s">
        <v>589</v>
      </c>
      <c r="U1363" s="711" t="s">
        <v>589</v>
      </c>
      <c r="V1363" s="711"/>
      <c r="W1363" s="728" t="s">
        <v>722</v>
      </c>
      <c r="X1363" s="922" t="s">
        <v>312</v>
      </c>
      <c r="Y1363" s="900" t="s">
        <v>727</v>
      </c>
      <c r="Z1363" s="1878" t="s">
        <v>154</v>
      </c>
      <c r="AA1363" s="889" t="s">
        <v>70</v>
      </c>
      <c r="AB1363" s="1889">
        <v>44854</v>
      </c>
      <c r="AC1363" s="1515" t="s">
        <v>4589</v>
      </c>
      <c r="AD1363" s="926"/>
      <c r="AE1363" s="926"/>
      <c r="AF1363" s="906"/>
    </row>
    <row r="1364" spans="1:32" ht="39.5">
      <c r="A1364" s="1648">
        <v>44974</v>
      </c>
      <c r="B1364" s="1655" t="s">
        <v>1168</v>
      </c>
      <c r="C1364" s="1664" t="s">
        <v>4590</v>
      </c>
      <c r="D1364" s="1664" t="s">
        <v>1169</v>
      </c>
      <c r="E1364" s="1655" t="s">
        <v>1168</v>
      </c>
      <c r="F1364" s="1655" t="s">
        <v>1170</v>
      </c>
      <c r="G1364" s="1655" t="s">
        <v>1170</v>
      </c>
      <c r="H1364" s="1655" t="s">
        <v>1170</v>
      </c>
      <c r="I1364" s="1655" t="s">
        <v>1170</v>
      </c>
      <c r="J1364" s="1710" t="s">
        <v>4591</v>
      </c>
      <c r="K1364" s="1664" t="s">
        <v>4592</v>
      </c>
      <c r="L1364" s="1655" t="s">
        <v>1170</v>
      </c>
      <c r="M1364" s="1655" t="s">
        <v>1170</v>
      </c>
      <c r="N1364" s="1655" t="s">
        <v>1170</v>
      </c>
      <c r="O1364" s="1755">
        <v>44621</v>
      </c>
      <c r="P1364" s="1755">
        <v>45382</v>
      </c>
      <c r="Q1364" s="1755">
        <v>45747</v>
      </c>
      <c r="R1364" s="1805">
        <v>97500</v>
      </c>
      <c r="S1364" s="1664" t="s">
        <v>4593</v>
      </c>
      <c r="T1364" s="1655" t="s">
        <v>1170</v>
      </c>
      <c r="U1364" s="1655" t="s">
        <v>1170</v>
      </c>
      <c r="V1364" s="1655"/>
      <c r="W1364" s="1664" t="s">
        <v>1174</v>
      </c>
      <c r="X1364" s="1723" t="s">
        <v>1175</v>
      </c>
      <c r="Y1364" s="1723" t="s">
        <v>251</v>
      </c>
      <c r="Z1364" s="1657" t="s">
        <v>1170</v>
      </c>
      <c r="AA1364" s="1657" t="s">
        <v>1170</v>
      </c>
      <c r="AB1364" s="1657" t="s">
        <v>1170</v>
      </c>
      <c r="AC1364" s="909" t="s">
        <v>4594</v>
      </c>
      <c r="AD1364" s="1657" t="s">
        <v>1170</v>
      </c>
      <c r="AE1364" s="1828">
        <v>97500</v>
      </c>
    </row>
    <row r="1365" spans="1:32">
      <c r="A1365" s="1648">
        <v>44974</v>
      </c>
      <c r="B1365" s="1655" t="s">
        <v>1168</v>
      </c>
      <c r="C1365" s="1664">
        <v>47630</v>
      </c>
      <c r="D1365" s="1664" t="s">
        <v>2054</v>
      </c>
      <c r="E1365" s="1655" t="s">
        <v>1168</v>
      </c>
      <c r="F1365" s="1655" t="s">
        <v>1170</v>
      </c>
      <c r="G1365" s="1655" t="s">
        <v>1170</v>
      </c>
      <c r="H1365" s="1655" t="s">
        <v>1170</v>
      </c>
      <c r="I1365" s="1655" t="s">
        <v>1170</v>
      </c>
      <c r="J1365" s="1698" t="s">
        <v>4595</v>
      </c>
      <c r="K1365" s="1664" t="s">
        <v>4596</v>
      </c>
      <c r="L1365" s="1655" t="s">
        <v>1170</v>
      </c>
      <c r="M1365" s="1655" t="s">
        <v>1170</v>
      </c>
      <c r="N1365" s="1655" t="s">
        <v>1170</v>
      </c>
      <c r="O1365" s="1755">
        <v>44621</v>
      </c>
      <c r="P1365" s="1755">
        <v>45351</v>
      </c>
      <c r="Q1365" s="1755">
        <v>45716</v>
      </c>
      <c r="R1365" s="1805">
        <v>30000</v>
      </c>
      <c r="S1365" s="1664" t="s">
        <v>4597</v>
      </c>
      <c r="T1365" s="1655" t="s">
        <v>1170</v>
      </c>
      <c r="U1365" s="1655" t="s">
        <v>1170</v>
      </c>
      <c r="V1365" s="1655"/>
      <c r="W1365" s="1664" t="s">
        <v>4598</v>
      </c>
      <c r="X1365" s="1723" t="s">
        <v>1175</v>
      </c>
      <c r="Y1365" s="1723" t="s">
        <v>251</v>
      </c>
      <c r="Z1365" s="1657" t="s">
        <v>1170</v>
      </c>
      <c r="AA1365" s="1657" t="s">
        <v>1170</v>
      </c>
      <c r="AB1365" s="1657" t="s">
        <v>1170</v>
      </c>
      <c r="AC1365" s="909" t="s">
        <v>4599</v>
      </c>
      <c r="AD1365" s="1657" t="s">
        <v>1170</v>
      </c>
      <c r="AE1365" s="1828">
        <v>30000</v>
      </c>
    </row>
    <row r="1366" spans="1:32" ht="87">
      <c r="A1366" s="2754"/>
      <c r="B1366" s="2755" t="s">
        <v>44</v>
      </c>
      <c r="C1366" s="4" t="s">
        <v>2894</v>
      </c>
      <c r="D1366" s="9" t="s">
        <v>32</v>
      </c>
      <c r="E1366" s="9"/>
      <c r="F1366" s="9"/>
      <c r="G1366" s="9"/>
      <c r="H1366" s="9" t="s">
        <v>33</v>
      </c>
      <c r="I1366" s="5" t="s">
        <v>34</v>
      </c>
      <c r="J1366" s="16" t="s">
        <v>4600</v>
      </c>
      <c r="K1366" s="16"/>
      <c r="L1366" s="5">
        <v>6</v>
      </c>
      <c r="M1366" s="199">
        <f>IFERROR(EDATE($N1366,-3),"Invalid procurement method or date entered")</f>
        <v>44358</v>
      </c>
      <c r="N1366" s="199">
        <f>IFERROR(EDATE(O1366,-L1366),"Invalid procurement method or date entered")</f>
        <v>44450</v>
      </c>
      <c r="O1366" s="49">
        <v>44631</v>
      </c>
      <c r="P1366" s="2763">
        <v>60</v>
      </c>
      <c r="Q1366" s="310" t="s">
        <v>171</v>
      </c>
      <c r="R1366" s="18">
        <v>222250</v>
      </c>
      <c r="S1366" s="183" t="s">
        <v>130</v>
      </c>
      <c r="T1366" s="52" t="s">
        <v>62</v>
      </c>
      <c r="U1366" s="48" t="s">
        <v>67</v>
      </c>
      <c r="V1366" s="48"/>
      <c r="W1366" s="9" t="s">
        <v>4601</v>
      </c>
      <c r="X1366" s="80" t="s">
        <v>39</v>
      </c>
      <c r="Y1366" s="80" t="s">
        <v>40</v>
      </c>
      <c r="Z1366" s="80" t="s">
        <v>234</v>
      </c>
      <c r="AA1366" s="80" t="s">
        <v>70</v>
      </c>
      <c r="AB1366" s="354" t="s">
        <v>88</v>
      </c>
      <c r="AC1366" s="993" t="s">
        <v>4602</v>
      </c>
      <c r="AD1366" s="80" t="s">
        <v>145</v>
      </c>
      <c r="AE1366" s="211"/>
    </row>
    <row r="1367" spans="1:32" ht="174">
      <c r="A1367" s="2756"/>
      <c r="B1367" s="2755" t="s">
        <v>44</v>
      </c>
      <c r="C1367" s="2755">
        <v>49859</v>
      </c>
      <c r="D1367" s="5" t="s">
        <v>32</v>
      </c>
      <c r="E1367" s="5"/>
      <c r="F1367" s="5"/>
      <c r="G1367" s="5"/>
      <c r="H1367" s="5" t="s">
        <v>2629</v>
      </c>
      <c r="I1367" s="5" t="s">
        <v>47</v>
      </c>
      <c r="J1367" s="16" t="s">
        <v>2630</v>
      </c>
      <c r="K1367" s="16"/>
      <c r="L1367" s="5" t="e">
        <f>IF(OR(S1367=#REF!,S1367=#REF!,S1367=#REF!,S1367=#REF!,S1367=#REF!,S1367=#REF!,S1367=#REF!,S1367=#REF!),12,IF(OR(S1367=#REF!,S1367=#REF!,S1367=#REF!,S1367=#REF!,S1367=#REF!,S1367=#REF!,S1367=#REF!),3,IF(S1367=#REF!,1,IF(S1367=#REF!,18,IF(OR(S1367=#REF!,S1367=#REF!,S1367=#REF!,S1367=#REF!,S1367=#REF!),14,"Invalid proposed procurement method")))))</f>
        <v>#REF!</v>
      </c>
      <c r="M1367" s="199" t="str">
        <f>IFERROR(EDATE($N1367,-3),"Invalid procurement method or date entered")</f>
        <v>Invalid procurement method or date entered</v>
      </c>
      <c r="N1367" s="199" t="str">
        <f>IFERROR(EDATE(O1367,-L1367),"Invalid procurement method or date entered")</f>
        <v>Invalid procurement method or date entered</v>
      </c>
      <c r="O1367" s="14">
        <v>44634</v>
      </c>
      <c r="P1367" s="5">
        <v>36</v>
      </c>
      <c r="Q1367" s="5" t="s">
        <v>160</v>
      </c>
      <c r="R1367" s="18">
        <v>784000</v>
      </c>
      <c r="S1367" s="5" t="s">
        <v>84</v>
      </c>
      <c r="T1367" s="53" t="s">
        <v>70</v>
      </c>
      <c r="U1367" s="53">
        <v>44614</v>
      </c>
      <c r="V1367" s="53"/>
      <c r="W1367" s="5" t="s">
        <v>4603</v>
      </c>
      <c r="X1367" s="80" t="s">
        <v>162</v>
      </c>
      <c r="Y1367" s="80" t="s">
        <v>40</v>
      </c>
      <c r="Z1367" s="80" t="s">
        <v>69</v>
      </c>
      <c r="AA1367" s="80" t="s">
        <v>70</v>
      </c>
      <c r="AB1367" s="354" t="s">
        <v>88</v>
      </c>
      <c r="AC1367" s="101" t="s">
        <v>4604</v>
      </c>
      <c r="AD1367" s="80" t="s">
        <v>285</v>
      </c>
      <c r="AE1367" s="339" t="s">
        <v>45</v>
      </c>
    </row>
    <row r="1368" spans="1:32" ht="29">
      <c r="A1368" s="1184"/>
      <c r="B1368" s="2755" t="s">
        <v>44</v>
      </c>
      <c r="C1368" s="4">
        <v>29039</v>
      </c>
      <c r="D1368" s="5" t="s">
        <v>57</v>
      </c>
      <c r="E1368" s="5"/>
      <c r="F1368" s="5"/>
      <c r="G1368" s="5"/>
      <c r="H1368" s="5" t="s">
        <v>394</v>
      </c>
      <c r="I1368" s="5" t="s">
        <v>47</v>
      </c>
      <c r="J1368" s="16" t="s">
        <v>4605</v>
      </c>
      <c r="K1368" s="16"/>
      <c r="L1368" s="5" t="e">
        <f>IF(OR(S1368=#REF!,S1368=#REF!,S1368=#REF!,S1368=#REF!,S1368=#REF!,S1368=#REF!,S1368=#REF!,S1368=#REF!),12,IF(OR(S1368=#REF!,S1368=#REF!,S1368=#REF!,S1368=#REF!,S1368=#REF!,S1368=#REF!,S1368=#REF!),3,IF(S1368=#REF!,1,IF(S1368=#REF!,18,IF(OR(S1368=#REF!,S1368=#REF!,S1368=#REF!,S1368=#REF!,S1368=#REF!),14,"Invalid proposed procurement method")))))</f>
        <v>#REF!</v>
      </c>
      <c r="M1368" s="199">
        <v>44425</v>
      </c>
      <c r="N1368" s="199">
        <v>44425</v>
      </c>
      <c r="O1368" s="182">
        <v>44634</v>
      </c>
      <c r="P1368" s="71">
        <v>36</v>
      </c>
      <c r="Q1368" s="71" t="s">
        <v>160</v>
      </c>
      <c r="R1368" s="2767">
        <v>300000</v>
      </c>
      <c r="S1368" s="5" t="s">
        <v>84</v>
      </c>
      <c r="T1368" s="41" t="s">
        <v>70</v>
      </c>
      <c r="U1368" s="182">
        <v>44537</v>
      </c>
      <c r="V1368" s="182"/>
      <c r="W1368" s="12" t="s">
        <v>789</v>
      </c>
      <c r="X1368" s="80" t="s">
        <v>94</v>
      </c>
      <c r="Y1368" s="80" t="s">
        <v>40</v>
      </c>
      <c r="Z1368" s="80"/>
      <c r="AA1368" s="80" t="s">
        <v>38</v>
      </c>
      <c r="AB1368" s="354" t="s">
        <v>88</v>
      </c>
      <c r="AC1368" s="101" t="s">
        <v>518</v>
      </c>
      <c r="AD1368" s="80" t="s">
        <v>399</v>
      </c>
      <c r="AE1368" s="2768">
        <v>200000</v>
      </c>
    </row>
    <row r="1369" spans="1:32">
      <c r="A1369" s="1648">
        <v>44974</v>
      </c>
      <c r="B1369" s="1655" t="s">
        <v>1168</v>
      </c>
      <c r="C1369" s="1664">
        <v>47197</v>
      </c>
      <c r="D1369" s="1664" t="s">
        <v>1178</v>
      </c>
      <c r="E1369" s="1655" t="s">
        <v>1168</v>
      </c>
      <c r="F1369" s="1655" t="s">
        <v>1170</v>
      </c>
      <c r="G1369" s="1655" t="s">
        <v>1170</v>
      </c>
      <c r="H1369" s="1655" t="s">
        <v>1170</v>
      </c>
      <c r="I1369" s="1655" t="s">
        <v>1170</v>
      </c>
      <c r="J1369" s="1698" t="s">
        <v>4606</v>
      </c>
      <c r="K1369" s="1664" t="s">
        <v>4607</v>
      </c>
      <c r="L1369" s="1655" t="s">
        <v>1170</v>
      </c>
      <c r="M1369" s="1655" t="s">
        <v>1170</v>
      </c>
      <c r="N1369" s="1655" t="s">
        <v>1170</v>
      </c>
      <c r="O1369" s="1755">
        <v>44634</v>
      </c>
      <c r="P1369" s="1755">
        <v>44817</v>
      </c>
      <c r="Q1369" s="1664" t="s">
        <v>589</v>
      </c>
      <c r="R1369" s="1805">
        <v>27360</v>
      </c>
      <c r="S1369" s="1664" t="s">
        <v>4608</v>
      </c>
      <c r="T1369" s="1655" t="s">
        <v>1170</v>
      </c>
      <c r="U1369" s="1655" t="s">
        <v>1170</v>
      </c>
      <c r="V1369" s="1655"/>
      <c r="W1369" s="1664" t="s">
        <v>4609</v>
      </c>
      <c r="X1369" s="1723" t="s">
        <v>1175</v>
      </c>
      <c r="Y1369" s="1723" t="s">
        <v>251</v>
      </c>
      <c r="Z1369" s="1657" t="s">
        <v>1170</v>
      </c>
      <c r="AA1369" s="1657" t="s">
        <v>1170</v>
      </c>
      <c r="AB1369" s="1657" t="s">
        <v>1170</v>
      </c>
      <c r="AC1369" s="909" t="s">
        <v>4610</v>
      </c>
      <c r="AD1369" s="1657" t="s">
        <v>1170</v>
      </c>
      <c r="AE1369" s="1828">
        <v>27360</v>
      </c>
    </row>
    <row r="1370" spans="1:32" ht="43.5">
      <c r="A1370" s="2754"/>
      <c r="B1370" s="2755" t="s">
        <v>44</v>
      </c>
      <c r="C1370" s="4" t="s">
        <v>4025</v>
      </c>
      <c r="D1370" s="5" t="s">
        <v>32</v>
      </c>
      <c r="E1370" s="5"/>
      <c r="F1370" s="5"/>
      <c r="G1370" s="5"/>
      <c r="H1370" s="5" t="s">
        <v>496</v>
      </c>
      <c r="I1370" s="5" t="s">
        <v>34</v>
      </c>
      <c r="J1370" s="16" t="s">
        <v>4026</v>
      </c>
      <c r="K1370" s="16"/>
      <c r="L1370" s="5">
        <v>6</v>
      </c>
      <c r="M1370" s="199">
        <v>44405</v>
      </c>
      <c r="N1370" s="199">
        <f>IFERROR(EDATE(O1370,-L1370),"Invalid procurement method or date entered")</f>
        <v>44469</v>
      </c>
      <c r="O1370" s="14">
        <v>44651</v>
      </c>
      <c r="P1370" s="12">
        <v>34</v>
      </c>
      <c r="Q1370" s="5" t="s">
        <v>4611</v>
      </c>
      <c r="R1370" s="18">
        <v>1000000</v>
      </c>
      <c r="S1370" s="5" t="s">
        <v>130</v>
      </c>
      <c r="T1370" s="53" t="s">
        <v>38</v>
      </c>
      <c r="U1370" s="53" t="s">
        <v>67</v>
      </c>
      <c r="V1370" s="53"/>
      <c r="W1370" s="5" t="s">
        <v>2982</v>
      </c>
      <c r="X1370" s="80" t="s">
        <v>39</v>
      </c>
      <c r="Y1370" s="80" t="s">
        <v>40</v>
      </c>
      <c r="Z1370" s="80" t="s">
        <v>69</v>
      </c>
      <c r="AA1370" s="80" t="s">
        <v>38</v>
      </c>
      <c r="AB1370" s="354" t="s">
        <v>88</v>
      </c>
      <c r="AC1370" s="101" t="s">
        <v>4612</v>
      </c>
      <c r="AD1370" s="76" t="s">
        <v>165</v>
      </c>
      <c r="AE1370" s="211">
        <v>350000</v>
      </c>
    </row>
    <row r="1371" spans="1:32" ht="43.5">
      <c r="A1371" s="1184"/>
      <c r="B1371" s="4" t="s">
        <v>44</v>
      </c>
      <c r="C1371" s="2770" t="s">
        <v>4613</v>
      </c>
      <c r="D1371" s="8" t="s">
        <v>32</v>
      </c>
      <c r="E1371" s="8"/>
      <c r="F1371" s="8"/>
      <c r="G1371" s="8"/>
      <c r="H1371" s="5" t="s">
        <v>4614</v>
      </c>
      <c r="I1371" s="5" t="s">
        <v>47</v>
      </c>
      <c r="J1371" s="16" t="s">
        <v>4615</v>
      </c>
      <c r="K1371" s="8"/>
      <c r="L1371" s="8"/>
      <c r="M1371" s="199">
        <v>43325</v>
      </c>
      <c r="N1371" s="199"/>
      <c r="O1371" s="199" t="s">
        <v>4616</v>
      </c>
      <c r="P1371" s="5" t="s">
        <v>793</v>
      </c>
      <c r="Q1371" s="7" t="s">
        <v>793</v>
      </c>
      <c r="R1371" s="18">
        <v>35000</v>
      </c>
      <c r="S1371" s="199" t="s">
        <v>176</v>
      </c>
      <c r="T1371" s="11" t="s">
        <v>38</v>
      </c>
      <c r="U1371" s="4"/>
      <c r="V1371" s="4"/>
      <c r="W1371" s="80" t="s">
        <v>4617</v>
      </c>
      <c r="X1371" s="80" t="s">
        <v>1892</v>
      </c>
      <c r="Y1371" s="80" t="s">
        <v>40</v>
      </c>
      <c r="Z1371" s="80"/>
      <c r="AA1371" s="80"/>
      <c r="AB1371" s="354">
        <v>43476</v>
      </c>
      <c r="AC1371" s="1110" t="s">
        <v>4618</v>
      </c>
      <c r="AD1371" s="111"/>
      <c r="AE1371" s="211">
        <v>33000</v>
      </c>
    </row>
    <row r="1372" spans="1:32" ht="43.5">
      <c r="A1372" s="1184"/>
      <c r="B1372" s="4" t="s">
        <v>44</v>
      </c>
      <c r="C1372" s="4"/>
      <c r="D1372" s="9" t="s">
        <v>32</v>
      </c>
      <c r="E1372" s="9"/>
      <c r="F1372" s="9"/>
      <c r="G1372" s="9"/>
      <c r="H1372" s="5" t="s">
        <v>65</v>
      </c>
      <c r="I1372" s="5" t="s">
        <v>47</v>
      </c>
      <c r="J1372" s="16" t="s">
        <v>4619</v>
      </c>
      <c r="K1372" s="8"/>
      <c r="L1372" s="8"/>
      <c r="M1372" s="199">
        <v>43333</v>
      </c>
      <c r="N1372" s="199"/>
      <c r="O1372" s="199" t="s">
        <v>837</v>
      </c>
      <c r="P1372" s="5" t="s">
        <v>45</v>
      </c>
      <c r="Q1372" s="5" t="s">
        <v>45</v>
      </c>
      <c r="R1372" s="18">
        <v>10000</v>
      </c>
      <c r="S1372" s="5" t="s">
        <v>2110</v>
      </c>
      <c r="T1372" s="11" t="s">
        <v>38</v>
      </c>
      <c r="U1372" s="4"/>
      <c r="V1372" s="4"/>
      <c r="W1372" s="5" t="s">
        <v>4620</v>
      </c>
      <c r="X1372" s="80" t="s">
        <v>1892</v>
      </c>
      <c r="Y1372" s="80" t="s">
        <v>115</v>
      </c>
      <c r="Z1372" s="80"/>
      <c r="AA1372" s="80"/>
      <c r="AB1372" s="354">
        <v>43686</v>
      </c>
      <c r="AC1372" s="1111" t="s">
        <v>4621</v>
      </c>
      <c r="AD1372" s="76" t="s">
        <v>4622</v>
      </c>
      <c r="AE1372" s="211"/>
    </row>
    <row r="1373" spans="1:32" ht="58">
      <c r="A1373" s="1184"/>
      <c r="B1373" s="4" t="s">
        <v>44</v>
      </c>
      <c r="C1373" s="2770" t="s">
        <v>4623</v>
      </c>
      <c r="D1373" s="8" t="s">
        <v>32</v>
      </c>
      <c r="E1373" s="8"/>
      <c r="F1373" s="8"/>
      <c r="G1373" s="8"/>
      <c r="H1373" s="5" t="s">
        <v>33</v>
      </c>
      <c r="I1373" s="5" t="s">
        <v>268</v>
      </c>
      <c r="J1373" s="16" t="s">
        <v>4624</v>
      </c>
      <c r="K1373" s="8"/>
      <c r="L1373" s="8"/>
      <c r="M1373" s="199">
        <v>43382</v>
      </c>
      <c r="N1373" s="199"/>
      <c r="O1373" s="199" t="s">
        <v>45</v>
      </c>
      <c r="P1373" s="5" t="s">
        <v>45</v>
      </c>
      <c r="Q1373" s="5" t="s">
        <v>45</v>
      </c>
      <c r="R1373" s="41" t="s">
        <v>45</v>
      </c>
      <c r="S1373" s="5" t="s">
        <v>270</v>
      </c>
      <c r="T1373" s="11" t="s">
        <v>38</v>
      </c>
      <c r="U1373" s="4"/>
      <c r="V1373" s="4"/>
      <c r="W1373" s="5" t="s">
        <v>2358</v>
      </c>
      <c r="X1373" s="80" t="s">
        <v>86</v>
      </c>
      <c r="Y1373" s="80" t="s">
        <v>40</v>
      </c>
      <c r="Z1373" s="80"/>
      <c r="AA1373" s="80"/>
      <c r="AB1373" s="354">
        <v>43531</v>
      </c>
      <c r="AC1373" s="1110" t="s">
        <v>4625</v>
      </c>
      <c r="AD1373" s="111"/>
      <c r="AE1373" s="211"/>
    </row>
    <row r="1374" spans="1:32" ht="72.5">
      <c r="A1374" s="2893"/>
      <c r="B1374" s="4" t="s">
        <v>44</v>
      </c>
      <c r="C1374" s="2770" t="s">
        <v>4626</v>
      </c>
      <c r="D1374" s="8" t="s">
        <v>32</v>
      </c>
      <c r="E1374" s="8"/>
      <c r="F1374" s="8"/>
      <c r="G1374" s="8"/>
      <c r="H1374" s="5" t="s">
        <v>33</v>
      </c>
      <c r="I1374" s="5" t="s">
        <v>47</v>
      </c>
      <c r="J1374" s="16" t="s">
        <v>4627</v>
      </c>
      <c r="K1374" s="8"/>
      <c r="L1374" s="8"/>
      <c r="M1374" s="182">
        <v>43501</v>
      </c>
      <c r="N1374" s="182"/>
      <c r="O1374" s="182" t="s">
        <v>4616</v>
      </c>
      <c r="P1374" s="12">
        <v>12</v>
      </c>
      <c r="Q1374" s="7" t="s">
        <v>4628</v>
      </c>
      <c r="R1374" s="41" t="s">
        <v>4629</v>
      </c>
      <c r="S1374" s="41" t="s">
        <v>84</v>
      </c>
      <c r="T1374" s="41" t="s">
        <v>38</v>
      </c>
      <c r="U1374" s="174"/>
      <c r="V1374" s="174"/>
      <c r="W1374" s="5" t="s">
        <v>4630</v>
      </c>
      <c r="X1374" s="80" t="s">
        <v>1633</v>
      </c>
      <c r="Y1374" s="80" t="s">
        <v>40</v>
      </c>
      <c r="Z1374" s="80"/>
      <c r="AB1374" s="354">
        <v>43511</v>
      </c>
      <c r="AC1374" s="101" t="s">
        <v>4631</v>
      </c>
      <c r="AD1374" s="1"/>
    </row>
    <row r="1375" spans="1:32" ht="29">
      <c r="A1375" s="1184"/>
      <c r="B1375" s="4" t="s">
        <v>44</v>
      </c>
      <c r="C1375" s="4" t="s">
        <v>2633</v>
      </c>
      <c r="D1375" s="8" t="s">
        <v>57</v>
      </c>
      <c r="E1375" s="8"/>
      <c r="F1375" s="8"/>
      <c r="G1375" s="8"/>
      <c r="H1375" s="5" t="s">
        <v>46</v>
      </c>
      <c r="I1375" s="5" t="s">
        <v>47</v>
      </c>
      <c r="J1375" s="16" t="s">
        <v>4632</v>
      </c>
      <c r="K1375" s="16"/>
      <c r="L1375" s="16"/>
      <c r="M1375" s="2764">
        <v>43522</v>
      </c>
      <c r="N1375" s="2764"/>
      <c r="O1375" s="2764" t="s">
        <v>45</v>
      </c>
      <c r="P1375" s="2763">
        <v>6</v>
      </c>
      <c r="Q1375" s="2751">
        <v>6</v>
      </c>
      <c r="R1375" s="18">
        <v>25000</v>
      </c>
      <c r="S1375" s="2751" t="s">
        <v>176</v>
      </c>
      <c r="T1375" s="2763" t="s">
        <v>38</v>
      </c>
      <c r="U1375" s="4"/>
      <c r="V1375" s="4"/>
      <c r="W1375" s="2751" t="s">
        <v>1264</v>
      </c>
      <c r="X1375" s="2760" t="s">
        <v>1892</v>
      </c>
      <c r="Y1375" s="80" t="s">
        <v>40</v>
      </c>
      <c r="Z1375" s="80"/>
      <c r="AA1375" s="2799"/>
      <c r="AB1375" s="1108">
        <v>43662</v>
      </c>
      <c r="AC1375" s="441" t="s">
        <v>4633</v>
      </c>
      <c r="AD1375" s="1"/>
      <c r="AE1375" s="2903"/>
    </row>
    <row r="1376" spans="1:32" ht="58">
      <c r="A1376" s="1184"/>
      <c r="B1376" s="4" t="s">
        <v>44</v>
      </c>
      <c r="C1376" s="4" t="s">
        <v>3369</v>
      </c>
      <c r="D1376" s="8" t="s">
        <v>32</v>
      </c>
      <c r="E1376" s="8"/>
      <c r="F1376" s="8"/>
      <c r="G1376" s="8"/>
      <c r="H1376" s="5" t="s">
        <v>46</v>
      </c>
      <c r="I1376" s="12" t="s">
        <v>47</v>
      </c>
      <c r="J1376" s="16" t="s">
        <v>2530</v>
      </c>
      <c r="K1376" s="16"/>
      <c r="L1376" s="16"/>
      <c r="M1376" s="199">
        <v>43525</v>
      </c>
      <c r="N1376" s="199"/>
      <c r="O1376" s="199" t="s">
        <v>4634</v>
      </c>
      <c r="P1376" s="5" t="s">
        <v>45</v>
      </c>
      <c r="Q1376" s="7" t="s">
        <v>45</v>
      </c>
      <c r="R1376" s="18" t="s">
        <v>45</v>
      </c>
      <c r="S1376" s="5" t="s">
        <v>2110</v>
      </c>
      <c r="T1376" s="11" t="s">
        <v>45</v>
      </c>
      <c r="U1376" s="4"/>
      <c r="V1376" s="4"/>
      <c r="W1376" s="5" t="s">
        <v>2531</v>
      </c>
      <c r="X1376" s="80" t="s">
        <v>1892</v>
      </c>
      <c r="Y1376" s="80" t="s">
        <v>40</v>
      </c>
      <c r="Z1376" s="80"/>
      <c r="AA1376" s="80"/>
      <c r="AB1376" s="2868">
        <v>43662</v>
      </c>
      <c r="AC1376" s="101" t="s">
        <v>2532</v>
      </c>
      <c r="AD1376" s="1"/>
      <c r="AE1376" s="211">
        <v>90000</v>
      </c>
    </row>
    <row r="1377" spans="1:32" ht="29">
      <c r="A1377" s="1184"/>
      <c r="B1377" s="4" t="s">
        <v>44</v>
      </c>
      <c r="C1377" s="4" t="s">
        <v>2942</v>
      </c>
      <c r="D1377" s="9" t="s">
        <v>57</v>
      </c>
      <c r="E1377" s="9"/>
      <c r="F1377" s="9"/>
      <c r="G1377" s="9"/>
      <c r="H1377" s="9" t="s">
        <v>46</v>
      </c>
      <c r="I1377" s="9" t="s">
        <v>47</v>
      </c>
      <c r="J1377" s="63" t="s">
        <v>4635</v>
      </c>
      <c r="K1377" s="6"/>
      <c r="L1377" s="6"/>
      <c r="M1377" s="183">
        <v>43573</v>
      </c>
      <c r="N1377" s="183"/>
      <c r="O1377" s="183" t="s">
        <v>4636</v>
      </c>
      <c r="P1377" s="15" t="s">
        <v>45</v>
      </c>
      <c r="Q1377" s="15" t="s">
        <v>45</v>
      </c>
      <c r="R1377" s="61">
        <v>150000</v>
      </c>
      <c r="S1377" s="15" t="s">
        <v>2110</v>
      </c>
      <c r="T1377" s="15" t="s">
        <v>38</v>
      </c>
      <c r="U1377" s="4"/>
      <c r="V1377" s="4"/>
      <c r="W1377" s="9" t="s">
        <v>2236</v>
      </c>
      <c r="X1377" s="1076" t="s">
        <v>1633</v>
      </c>
      <c r="Y1377" s="80" t="s">
        <v>40</v>
      </c>
      <c r="Z1377" s="80"/>
      <c r="AA1377" s="1076"/>
      <c r="AB1377" s="1105">
        <v>43724</v>
      </c>
      <c r="AC1377" s="993" t="s">
        <v>4637</v>
      </c>
      <c r="AD1377" s="2799"/>
      <c r="AE1377" s="1132"/>
    </row>
    <row r="1378" spans="1:32" ht="29">
      <c r="A1378" s="1119"/>
      <c r="B1378" s="338"/>
      <c r="C1378" s="2755"/>
      <c r="D1378" s="9" t="s">
        <v>32</v>
      </c>
      <c r="E1378" s="9"/>
      <c r="F1378" s="9"/>
      <c r="G1378" s="9"/>
      <c r="H1378" s="5" t="s">
        <v>4638</v>
      </c>
      <c r="I1378" s="5" t="s">
        <v>47</v>
      </c>
      <c r="J1378" s="16" t="s">
        <v>4639</v>
      </c>
      <c r="K1378" s="16"/>
      <c r="L1378" s="16"/>
      <c r="M1378" s="182">
        <v>43768</v>
      </c>
      <c r="N1378" s="182"/>
      <c r="O1378" s="182" t="s">
        <v>837</v>
      </c>
      <c r="P1378" s="12" t="s">
        <v>45</v>
      </c>
      <c r="Q1378" s="12" t="s">
        <v>45</v>
      </c>
      <c r="R1378" s="18">
        <v>25000</v>
      </c>
      <c r="S1378" s="5" t="s">
        <v>37</v>
      </c>
      <c r="T1378" s="9" t="s">
        <v>38</v>
      </c>
      <c r="U1378" s="15" t="s">
        <v>67</v>
      </c>
      <c r="V1378" s="15"/>
      <c r="W1378" s="12" t="s">
        <v>4640</v>
      </c>
      <c r="X1378" s="80" t="s">
        <v>54</v>
      </c>
      <c r="Y1378" s="80" t="s">
        <v>727</v>
      </c>
      <c r="Z1378" s="80"/>
      <c r="AA1378" s="76" t="s">
        <v>38</v>
      </c>
      <c r="AB1378" s="354" t="s">
        <v>41</v>
      </c>
      <c r="AC1378" s="101" t="s">
        <v>4641</v>
      </c>
      <c r="AD1378" s="76" t="s">
        <v>46</v>
      </c>
      <c r="AE1378" s="339"/>
    </row>
    <row r="1379" spans="1:32" ht="29">
      <c r="A1379" s="1184"/>
      <c r="B1379" s="338"/>
      <c r="C1379" s="2755"/>
      <c r="D1379" s="9" t="s">
        <v>32</v>
      </c>
      <c r="E1379" s="9"/>
      <c r="F1379" s="9"/>
      <c r="G1379" s="9"/>
      <c r="H1379" s="5" t="s">
        <v>4638</v>
      </c>
      <c r="I1379" s="5" t="s">
        <v>47</v>
      </c>
      <c r="J1379" s="16" t="s">
        <v>4642</v>
      </c>
      <c r="K1379" s="16"/>
      <c r="L1379" s="16"/>
      <c r="M1379" s="182">
        <v>43768</v>
      </c>
      <c r="N1379" s="182"/>
      <c r="O1379" s="182" t="s">
        <v>837</v>
      </c>
      <c r="P1379" s="12" t="s">
        <v>45</v>
      </c>
      <c r="Q1379" s="12" t="s">
        <v>45</v>
      </c>
      <c r="R1379" s="18">
        <v>25000</v>
      </c>
      <c r="S1379" s="5" t="s">
        <v>37</v>
      </c>
      <c r="T1379" s="9" t="s">
        <v>38</v>
      </c>
      <c r="U1379" s="15" t="s">
        <v>67</v>
      </c>
      <c r="V1379" s="15"/>
      <c r="W1379" s="76" t="s">
        <v>4643</v>
      </c>
      <c r="X1379" s="80" t="s">
        <v>54</v>
      </c>
      <c r="Y1379" s="80" t="s">
        <v>727</v>
      </c>
      <c r="Z1379" s="80"/>
      <c r="AA1379" s="76" t="s">
        <v>38</v>
      </c>
      <c r="AB1379" s="354" t="s">
        <v>41</v>
      </c>
      <c r="AC1379" s="101" t="s">
        <v>4641</v>
      </c>
      <c r="AD1379" s="76" t="s">
        <v>46</v>
      </c>
      <c r="AE1379" s="339"/>
    </row>
    <row r="1380" spans="1:32" ht="43.5">
      <c r="A1380" s="1184"/>
      <c r="B1380" s="362" t="s">
        <v>100</v>
      </c>
      <c r="C1380" s="413"/>
      <c r="D1380" s="413" t="s">
        <v>110</v>
      </c>
      <c r="E1380" s="413"/>
      <c r="F1380" s="413"/>
      <c r="G1380" s="413"/>
      <c r="H1380" s="413"/>
      <c r="I1380" s="413" t="s">
        <v>47</v>
      </c>
      <c r="J1380" s="408" t="s">
        <v>3980</v>
      </c>
      <c r="K1380" s="414"/>
      <c r="L1380" s="414"/>
      <c r="M1380" s="415">
        <v>43812</v>
      </c>
      <c r="N1380" s="414"/>
      <c r="O1380" s="413"/>
      <c r="P1380" s="413"/>
      <c r="Q1380" s="413"/>
      <c r="R1380" s="2053"/>
      <c r="S1380" s="413" t="s">
        <v>1189</v>
      </c>
      <c r="T1380" s="416" t="s">
        <v>38</v>
      </c>
      <c r="U1380" s="416" t="s">
        <v>71</v>
      </c>
      <c r="V1380" s="416"/>
      <c r="W1380" s="414" t="s">
        <v>4644</v>
      </c>
      <c r="X1380" s="2103" t="s">
        <v>189</v>
      </c>
      <c r="Y1380" s="2103" t="s">
        <v>727</v>
      </c>
      <c r="Z1380" s="2103"/>
      <c r="AA1380" s="2116"/>
      <c r="AB1380" s="2116"/>
      <c r="AC1380" s="2103" t="s">
        <v>4645</v>
      </c>
      <c r="AD1380" s="2103"/>
      <c r="AE1380" s="2103"/>
      <c r="AF1380" s="906"/>
    </row>
    <row r="1381" spans="1:32" ht="29">
      <c r="A1381" s="1184"/>
      <c r="B1381" s="2755" t="s">
        <v>44</v>
      </c>
      <c r="C1381" s="4">
        <v>30219</v>
      </c>
      <c r="D1381" s="9" t="s">
        <v>32</v>
      </c>
      <c r="E1381" s="9"/>
      <c r="F1381" s="9"/>
      <c r="G1381" s="9"/>
      <c r="H1381" s="5" t="s">
        <v>33</v>
      </c>
      <c r="I1381" s="5" t="s">
        <v>47</v>
      </c>
      <c r="J1381" s="16" t="s">
        <v>2184</v>
      </c>
      <c r="K1381" s="16"/>
      <c r="L1381" s="5">
        <v>24</v>
      </c>
      <c r="M1381" s="199">
        <f>IFERROR(EDATE($N1381,-3),"Invalid procurement method or date entered")</f>
        <v>43975</v>
      </c>
      <c r="N1381" s="199">
        <f>IFERROR(EDATE(O1381,-L1381),"Invalid procurement method or date entered")</f>
        <v>44067</v>
      </c>
      <c r="O1381" s="182">
        <v>44797</v>
      </c>
      <c r="P1381" s="5">
        <v>48</v>
      </c>
      <c r="Q1381" s="5" t="s">
        <v>215</v>
      </c>
      <c r="R1381" s="18">
        <v>100000</v>
      </c>
      <c r="S1381" s="5" t="s">
        <v>84</v>
      </c>
      <c r="T1381" s="5" t="s">
        <v>62</v>
      </c>
      <c r="U1381" s="12" t="s">
        <v>71</v>
      </c>
      <c r="V1381" s="12"/>
      <c r="W1381" s="80" t="s">
        <v>440</v>
      </c>
      <c r="X1381" s="80" t="s">
        <v>94</v>
      </c>
      <c r="Y1381" s="80" t="s">
        <v>40</v>
      </c>
      <c r="Z1381" s="80" t="s">
        <v>87</v>
      </c>
      <c r="AA1381" s="80" t="s">
        <v>70</v>
      </c>
      <c r="AB1381" s="354" t="s">
        <v>4646</v>
      </c>
      <c r="AC1381" s="101" t="s">
        <v>393</v>
      </c>
      <c r="AD1381" s="80" t="s">
        <v>443</v>
      </c>
      <c r="AE1381" s="211"/>
    </row>
    <row r="1382" spans="1:32" ht="43.5">
      <c r="A1382" s="2907"/>
      <c r="B1382" s="362" t="s">
        <v>100</v>
      </c>
      <c r="C1382" s="410"/>
      <c r="D1382" s="416" t="s">
        <v>110</v>
      </c>
      <c r="E1382" s="416"/>
      <c r="F1382" s="416"/>
      <c r="G1382" s="416"/>
      <c r="H1382" s="416" t="s">
        <v>103</v>
      </c>
      <c r="I1382" s="416" t="s">
        <v>47</v>
      </c>
      <c r="J1382" s="1581" t="s">
        <v>4647</v>
      </c>
      <c r="K1382" s="416"/>
      <c r="L1382" s="416"/>
      <c r="M1382" s="417">
        <v>44013</v>
      </c>
      <c r="N1382" s="416"/>
      <c r="O1382" s="417"/>
      <c r="P1382" s="418"/>
      <c r="Q1382" s="418"/>
      <c r="R1382" s="419"/>
      <c r="S1382" s="420"/>
      <c r="T1382" s="405" t="s">
        <v>45</v>
      </c>
      <c r="U1382" s="405"/>
      <c r="V1382" s="405"/>
      <c r="W1382" s="416" t="s">
        <v>4648</v>
      </c>
      <c r="X1382" s="1097" t="s">
        <v>413</v>
      </c>
      <c r="Y1382" s="1097"/>
      <c r="Z1382" s="1097"/>
      <c r="AA1382" s="2116"/>
      <c r="AB1382" s="2121">
        <v>44021</v>
      </c>
      <c r="AC1382" s="409" t="s">
        <v>4649</v>
      </c>
      <c r="AD1382" s="409"/>
      <c r="AE1382" s="409"/>
      <c r="AF1382" s="906"/>
    </row>
    <row r="1383" spans="1:32" ht="43.5">
      <c r="A1383" s="2756"/>
      <c r="B1383" s="362" t="s">
        <v>100</v>
      </c>
      <c r="C1383" s="410"/>
      <c r="D1383" s="416" t="s">
        <v>110</v>
      </c>
      <c r="E1383" s="416"/>
      <c r="F1383" s="416"/>
      <c r="G1383" s="416"/>
      <c r="H1383" s="416" t="s">
        <v>103</v>
      </c>
      <c r="I1383" s="416" t="s">
        <v>47</v>
      </c>
      <c r="J1383" s="1581" t="s">
        <v>4650</v>
      </c>
      <c r="K1383" s="416"/>
      <c r="L1383" s="416"/>
      <c r="M1383" s="417">
        <v>44013</v>
      </c>
      <c r="N1383" s="416"/>
      <c r="O1383" s="417"/>
      <c r="P1383" s="418"/>
      <c r="Q1383" s="418"/>
      <c r="R1383" s="419"/>
      <c r="S1383" s="420"/>
      <c r="T1383" s="405" t="s">
        <v>45</v>
      </c>
      <c r="U1383" s="405"/>
      <c r="V1383" s="405"/>
      <c r="W1383" s="416" t="s">
        <v>4648</v>
      </c>
      <c r="X1383" s="1097" t="s">
        <v>413</v>
      </c>
      <c r="Y1383" s="1097"/>
      <c r="Z1383" s="1097"/>
      <c r="AA1383" s="2116"/>
      <c r="AB1383" s="2121">
        <v>44021</v>
      </c>
      <c r="AC1383" s="409" t="s">
        <v>4649</v>
      </c>
      <c r="AD1383" s="409"/>
      <c r="AE1383" s="409"/>
      <c r="AF1383" s="906"/>
    </row>
    <row r="1384" spans="1:32" ht="43.5">
      <c r="A1384" s="498"/>
      <c r="B1384" s="4" t="s">
        <v>44</v>
      </c>
      <c r="C1384" s="4" t="s">
        <v>4397</v>
      </c>
      <c r="D1384" s="4" t="s">
        <v>57</v>
      </c>
      <c r="E1384" s="4"/>
      <c r="F1384" s="4"/>
      <c r="G1384" s="4"/>
      <c r="H1384" s="5" t="s">
        <v>46</v>
      </c>
      <c r="I1384" s="8" t="s">
        <v>47</v>
      </c>
      <c r="J1384" s="16" t="s">
        <v>4651</v>
      </c>
      <c r="K1384" s="16"/>
      <c r="L1384" s="16"/>
      <c r="M1384" s="182">
        <v>42826</v>
      </c>
      <c r="N1384" s="182"/>
      <c r="O1384" s="4"/>
      <c r="P1384" s="12">
        <v>6</v>
      </c>
      <c r="Q1384" s="7">
        <v>6</v>
      </c>
      <c r="R1384" s="18">
        <v>10000</v>
      </c>
      <c r="S1384" s="5" t="s">
        <v>1182</v>
      </c>
      <c r="T1384" s="12" t="s">
        <v>38</v>
      </c>
      <c r="U1384" s="4"/>
      <c r="V1384" s="4"/>
      <c r="W1384" s="5" t="s">
        <v>1583</v>
      </c>
      <c r="X1384" s="80" t="s">
        <v>3129</v>
      </c>
      <c r="Y1384" s="80" t="s">
        <v>40</v>
      </c>
      <c r="Z1384" s="80"/>
      <c r="AA1384" s="80"/>
      <c r="AB1384" s="2131"/>
      <c r="AC1384" s="101" t="s">
        <v>4652</v>
      </c>
      <c r="AD1384" s="1"/>
      <c r="AE1384" s="80"/>
      <c r="AF1384" s="906"/>
    </row>
    <row r="1385" spans="1:32" ht="159.5">
      <c r="A1385" s="1119"/>
      <c r="B1385" s="4" t="s">
        <v>44</v>
      </c>
      <c r="C1385" s="4" t="s">
        <v>4653</v>
      </c>
      <c r="D1385" s="8" t="s">
        <v>32</v>
      </c>
      <c r="E1385" s="8"/>
      <c r="F1385" s="8"/>
      <c r="G1385" s="8"/>
      <c r="H1385" s="5" t="s">
        <v>1697</v>
      </c>
      <c r="I1385" s="5" t="s">
        <v>47</v>
      </c>
      <c r="J1385" s="16" t="s">
        <v>4654</v>
      </c>
      <c r="K1385" s="16"/>
      <c r="L1385" s="16"/>
      <c r="M1385" s="182">
        <v>42887</v>
      </c>
      <c r="N1385" s="182"/>
      <c r="O1385" s="182" t="s">
        <v>45</v>
      </c>
      <c r="P1385" s="12">
        <v>24</v>
      </c>
      <c r="Q1385" s="7" t="s">
        <v>1345</v>
      </c>
      <c r="R1385" s="18">
        <v>23000</v>
      </c>
      <c r="S1385" s="5" t="s">
        <v>1691</v>
      </c>
      <c r="T1385" s="11" t="s">
        <v>38</v>
      </c>
      <c r="U1385" s="4"/>
      <c r="V1385" s="4"/>
      <c r="W1385" s="5" t="s">
        <v>4655</v>
      </c>
      <c r="X1385" s="80" t="s">
        <v>543</v>
      </c>
      <c r="Y1385" s="80" t="s">
        <v>40</v>
      </c>
      <c r="Z1385" s="80"/>
      <c r="AA1385" s="80"/>
      <c r="AB1385" s="1022"/>
      <c r="AC1385" s="101" t="s">
        <v>4656</v>
      </c>
      <c r="AD1385" s="1"/>
      <c r="AE1385" s="486"/>
    </row>
    <row r="1386" spans="1:32" ht="58">
      <c r="A1386" s="498"/>
      <c r="B1386" s="4" t="s">
        <v>44</v>
      </c>
      <c r="C1386" s="2821" t="s">
        <v>4657</v>
      </c>
      <c r="D1386" s="4" t="s">
        <v>32</v>
      </c>
      <c r="E1386" s="4"/>
      <c r="F1386" s="4"/>
      <c r="G1386" s="4"/>
      <c r="H1386" s="5" t="s">
        <v>1670</v>
      </c>
      <c r="I1386" s="8" t="s">
        <v>1343</v>
      </c>
      <c r="J1386" s="16" t="s">
        <v>4658</v>
      </c>
      <c r="K1386" s="8"/>
      <c r="L1386" s="8"/>
      <c r="M1386" s="14">
        <v>42898</v>
      </c>
      <c r="N1386" s="14"/>
      <c r="O1386" s="14" t="s">
        <v>4659</v>
      </c>
      <c r="P1386" s="12"/>
      <c r="Q1386" s="5"/>
      <c r="R1386" s="82"/>
      <c r="S1386" s="5"/>
      <c r="T1386" s="14" t="s">
        <v>38</v>
      </c>
      <c r="U1386" s="174"/>
      <c r="V1386" s="174"/>
      <c r="W1386" s="80"/>
      <c r="X1386" s="80" t="s">
        <v>1674</v>
      </c>
      <c r="Y1386" s="80" t="s">
        <v>40</v>
      </c>
      <c r="Z1386" s="80"/>
      <c r="AA1386" s="80"/>
      <c r="AB1386" s="2131"/>
      <c r="AC1386" s="101" t="s">
        <v>4660</v>
      </c>
      <c r="AD1386" s="1"/>
      <c r="AE1386" s="80"/>
    </row>
    <row r="1387" spans="1:32" ht="43.5">
      <c r="A1387" s="1192"/>
      <c r="B1387" s="4" t="s">
        <v>44</v>
      </c>
      <c r="C1387" s="4" t="s">
        <v>4661</v>
      </c>
      <c r="D1387" s="4" t="s">
        <v>57</v>
      </c>
      <c r="E1387" s="4"/>
      <c r="F1387" s="4"/>
      <c r="G1387" s="4"/>
      <c r="H1387" s="5" t="s">
        <v>496</v>
      </c>
      <c r="I1387" s="8" t="s">
        <v>47</v>
      </c>
      <c r="J1387" s="16" t="s">
        <v>4662</v>
      </c>
      <c r="K1387" s="16"/>
      <c r="L1387" s="16"/>
      <c r="M1387" s="14">
        <v>42917</v>
      </c>
      <c r="N1387" s="14"/>
      <c r="O1387" s="14" t="s">
        <v>45</v>
      </c>
      <c r="P1387" s="12">
        <v>12</v>
      </c>
      <c r="Q1387" s="5">
        <v>12</v>
      </c>
      <c r="R1387" s="18">
        <v>25000</v>
      </c>
      <c r="S1387" s="5" t="s">
        <v>1660</v>
      </c>
      <c r="T1387" s="14" t="s">
        <v>38</v>
      </c>
      <c r="U1387" s="174"/>
      <c r="V1387" s="174"/>
      <c r="W1387" s="5" t="s">
        <v>798</v>
      </c>
      <c r="X1387" s="76" t="s">
        <v>1641</v>
      </c>
      <c r="Y1387" s="80" t="s">
        <v>40</v>
      </c>
      <c r="Z1387" s="80"/>
      <c r="AA1387" s="80"/>
      <c r="AB1387" s="80"/>
      <c r="AC1387" s="101" t="s">
        <v>4663</v>
      </c>
      <c r="AD1387" s="1"/>
      <c r="AE1387" s="504">
        <v>25000</v>
      </c>
    </row>
    <row r="1388" spans="1:32" ht="58">
      <c r="A1388" s="498"/>
      <c r="B1388" s="4" t="s">
        <v>44</v>
      </c>
      <c r="C1388" s="4"/>
      <c r="D1388" s="4" t="s">
        <v>32</v>
      </c>
      <c r="E1388" s="4"/>
      <c r="F1388" s="4"/>
      <c r="G1388" s="4"/>
      <c r="H1388" s="12" t="s">
        <v>1670</v>
      </c>
      <c r="I1388" s="10" t="s">
        <v>1343</v>
      </c>
      <c r="J1388" s="16" t="s">
        <v>4664</v>
      </c>
      <c r="K1388" s="16"/>
      <c r="L1388" s="16"/>
      <c r="M1388" s="2777">
        <v>42979</v>
      </c>
      <c r="N1388" s="2777"/>
      <c r="O1388" s="2763">
        <v>12</v>
      </c>
      <c r="P1388" s="2793" t="s">
        <v>589</v>
      </c>
      <c r="Q1388" s="2794">
        <v>14000</v>
      </c>
      <c r="R1388" s="2793" t="s">
        <v>1672</v>
      </c>
      <c r="S1388" s="12" t="s">
        <v>38</v>
      </c>
      <c r="T1388" s="4"/>
      <c r="U1388" s="4"/>
      <c r="V1388" s="4"/>
      <c r="W1388" s="8" t="s">
        <v>1745</v>
      </c>
      <c r="X1388" s="101" t="s">
        <v>3129</v>
      </c>
      <c r="Y1388" s="76" t="s">
        <v>4665</v>
      </c>
      <c r="Z1388" s="76"/>
      <c r="AA1388" s="76"/>
      <c r="AB1388" s="80"/>
      <c r="AC1388" s="101"/>
      <c r="AD1388" s="2799"/>
      <c r="AE1388" s="80" t="s">
        <v>4666</v>
      </c>
      <c r="AF1388" s="1"/>
    </row>
    <row r="1389" spans="1:32" ht="116">
      <c r="A1389" s="1185"/>
      <c r="B1389" s="338"/>
      <c r="C1389" s="2755"/>
      <c r="D1389" s="5" t="s">
        <v>32</v>
      </c>
      <c r="E1389" s="5"/>
      <c r="F1389" s="5"/>
      <c r="G1389" s="5"/>
      <c r="H1389" s="5" t="s">
        <v>33</v>
      </c>
      <c r="I1389" s="5" t="s">
        <v>47</v>
      </c>
      <c r="J1389" s="16" t="s">
        <v>4667</v>
      </c>
      <c r="K1389" s="8"/>
      <c r="L1389" s="8"/>
      <c r="M1389" s="182">
        <v>43009</v>
      </c>
      <c r="N1389" s="182"/>
      <c r="O1389" s="182" t="s">
        <v>4668</v>
      </c>
      <c r="P1389" s="12" t="s">
        <v>45</v>
      </c>
      <c r="Q1389" s="5" t="s">
        <v>45</v>
      </c>
      <c r="R1389" s="18">
        <v>194490</v>
      </c>
      <c r="S1389" s="5" t="s">
        <v>45</v>
      </c>
      <c r="T1389" s="14" t="s">
        <v>38</v>
      </c>
      <c r="U1389" s="14" t="s">
        <v>2488</v>
      </c>
      <c r="V1389" s="14"/>
      <c r="W1389" s="5" t="s">
        <v>4669</v>
      </c>
      <c r="X1389" s="80" t="s">
        <v>413</v>
      </c>
      <c r="Y1389" s="80" t="s">
        <v>727</v>
      </c>
      <c r="Z1389" s="80"/>
      <c r="AA1389" s="80"/>
      <c r="AB1389" s="354" t="s">
        <v>3016</v>
      </c>
      <c r="AC1389" s="101" t="s">
        <v>4670</v>
      </c>
      <c r="AD1389" s="76" t="s">
        <v>3256</v>
      </c>
      <c r="AE1389" s="211"/>
    </row>
    <row r="1390" spans="1:32">
      <c r="A1390" s="1119"/>
      <c r="B1390" s="4" t="s">
        <v>44</v>
      </c>
      <c r="C1390" s="148"/>
      <c r="D1390" s="175" t="s">
        <v>32</v>
      </c>
      <c r="E1390" s="175"/>
      <c r="F1390" s="175"/>
      <c r="G1390" s="175"/>
      <c r="H1390" s="2763" t="s">
        <v>1670</v>
      </c>
      <c r="I1390" s="2757" t="s">
        <v>47</v>
      </c>
      <c r="J1390" s="2757" t="s">
        <v>4671</v>
      </c>
      <c r="K1390" s="2757"/>
      <c r="L1390" s="2757"/>
      <c r="M1390" s="2764">
        <v>43061</v>
      </c>
      <c r="N1390" s="2764"/>
      <c r="O1390" s="2763"/>
      <c r="P1390" s="2763">
        <v>12</v>
      </c>
      <c r="Q1390" s="2751" t="s">
        <v>1345</v>
      </c>
      <c r="R1390" s="18">
        <v>60000</v>
      </c>
      <c r="S1390" s="2763" t="s">
        <v>176</v>
      </c>
      <c r="T1390" s="2763" t="s">
        <v>38</v>
      </c>
      <c r="U1390" s="4"/>
      <c r="V1390" s="4"/>
      <c r="W1390" s="2763" t="s">
        <v>1673</v>
      </c>
      <c r="X1390" s="2765" t="s">
        <v>86</v>
      </c>
      <c r="Y1390" s="80" t="s">
        <v>40</v>
      </c>
      <c r="Z1390" s="80"/>
      <c r="AA1390" s="2908"/>
      <c r="AB1390" s="2799"/>
      <c r="AC1390" s="2799" t="s">
        <v>4672</v>
      </c>
      <c r="AD1390" s="2799"/>
      <c r="AE1390" s="2909"/>
      <c r="AF1390" s="906"/>
    </row>
    <row r="1391" spans="1:32" ht="62.5">
      <c r="A1391" s="1119"/>
      <c r="B1391" s="577" t="s">
        <v>56</v>
      </c>
      <c r="C1391" s="510" t="s">
        <v>60</v>
      </c>
      <c r="D1391" s="511" t="s">
        <v>57</v>
      </c>
      <c r="E1391" s="511"/>
      <c r="F1391" s="511"/>
      <c r="G1391" s="511"/>
      <c r="H1391" s="511" t="s">
        <v>58</v>
      </c>
      <c r="I1391" s="519" t="s">
        <v>47</v>
      </c>
      <c r="J1391" s="606" t="s">
        <v>4673</v>
      </c>
      <c r="K1391" s="529"/>
      <c r="L1391" s="529"/>
      <c r="M1391" s="511">
        <v>14</v>
      </c>
      <c r="N1391" s="514" t="str">
        <f>IFERROR(EDATE(#REF!,-3),"Invalid procurement method or date entered")</f>
        <v>Invalid procurement method or date entered</v>
      </c>
      <c r="O1391" s="514" t="s">
        <v>60</v>
      </c>
      <c r="P1391" s="536" t="s">
        <v>60</v>
      </c>
      <c r="Q1391" s="536" t="s">
        <v>60</v>
      </c>
      <c r="R1391" s="538" t="s">
        <v>60</v>
      </c>
      <c r="S1391" s="536" t="s">
        <v>45</v>
      </c>
      <c r="T1391" s="536" t="s">
        <v>60</v>
      </c>
      <c r="U1391" s="514" t="s">
        <v>60</v>
      </c>
      <c r="V1391" s="514"/>
      <c r="W1391" s="519" t="s">
        <v>3452</v>
      </c>
    </row>
    <row r="1392" spans="1:32" ht="50">
      <c r="A1392" s="1119"/>
      <c r="B1392" s="577" t="s">
        <v>56</v>
      </c>
      <c r="C1392" s="510" t="s">
        <v>60</v>
      </c>
      <c r="D1392" s="511" t="s">
        <v>57</v>
      </c>
      <c r="E1392" s="511"/>
      <c r="F1392" s="511"/>
      <c r="G1392" s="511"/>
      <c r="H1392" s="511" t="s">
        <v>58</v>
      </c>
      <c r="I1392" s="519" t="s">
        <v>47</v>
      </c>
      <c r="J1392" s="1578" t="s">
        <v>4674</v>
      </c>
      <c r="K1392" s="512"/>
      <c r="L1392" s="512"/>
      <c r="M1392" s="511">
        <v>14</v>
      </c>
      <c r="N1392" s="514" t="str">
        <f>IF(O1392="tbc","",(IFERROR(EDATE(#REF!,-3),"Invalid procurement method or date entered")))</f>
        <v/>
      </c>
      <c r="O1392" s="515" t="s">
        <v>60</v>
      </c>
      <c r="P1392" s="516" t="s">
        <v>60</v>
      </c>
      <c r="Q1392" s="516" t="s">
        <v>60</v>
      </c>
      <c r="R1392" s="528">
        <v>304500</v>
      </c>
      <c r="S1392" s="515" t="s">
        <v>182</v>
      </c>
      <c r="T1392" s="515" t="s">
        <v>62</v>
      </c>
      <c r="U1392" s="515" t="s">
        <v>60</v>
      </c>
      <c r="V1392" s="515"/>
      <c r="W1392" s="519" t="s">
        <v>4675</v>
      </c>
    </row>
    <row r="1393" spans="1:31" ht="37.5">
      <c r="A1393" s="1119"/>
      <c r="B1393" s="577" t="s">
        <v>56</v>
      </c>
      <c r="C1393" s="510" t="s">
        <v>60</v>
      </c>
      <c r="D1393" s="511" t="s">
        <v>122</v>
      </c>
      <c r="E1393" s="511"/>
      <c r="F1393" s="511"/>
      <c r="G1393" s="511"/>
      <c r="H1393" s="511" t="s">
        <v>308</v>
      </c>
      <c r="I1393" s="519" t="s">
        <v>47</v>
      </c>
      <c r="J1393" s="606" t="s">
        <v>4676</v>
      </c>
      <c r="K1393" s="529"/>
      <c r="L1393" s="529"/>
      <c r="M1393" s="511">
        <v>14</v>
      </c>
      <c r="N1393" s="514" t="str">
        <f>IF(O1393="tbc","",(IFERROR(EDATE(#REF!,-3),"Invalid procurement method or date entered")))</f>
        <v/>
      </c>
      <c r="O1393" s="515" t="s">
        <v>60</v>
      </c>
      <c r="P1393" s="516" t="s">
        <v>60</v>
      </c>
      <c r="Q1393" s="516" t="s">
        <v>60</v>
      </c>
      <c r="R1393" s="528">
        <v>588000</v>
      </c>
      <c r="S1393" s="515" t="s">
        <v>60</v>
      </c>
      <c r="T1393" s="515" t="s">
        <v>474</v>
      </c>
      <c r="U1393" s="515" t="s">
        <v>60</v>
      </c>
      <c r="V1393" s="515"/>
      <c r="W1393" s="519" t="s">
        <v>2448</v>
      </c>
    </row>
    <row r="1394" spans="1:31" ht="37.5">
      <c r="A1394" s="1119"/>
      <c r="B1394" s="577" t="s">
        <v>56</v>
      </c>
      <c r="C1394" s="510" t="s">
        <v>60</v>
      </c>
      <c r="D1394" s="511" t="s">
        <v>122</v>
      </c>
      <c r="E1394" s="511"/>
      <c r="F1394" s="511"/>
      <c r="G1394" s="511"/>
      <c r="H1394" s="511" t="s">
        <v>308</v>
      </c>
      <c r="I1394" s="519" t="s">
        <v>47</v>
      </c>
      <c r="J1394" s="606" t="s">
        <v>4677</v>
      </c>
      <c r="K1394" s="529"/>
      <c r="L1394" s="529"/>
      <c r="M1394" s="511">
        <v>14</v>
      </c>
      <c r="N1394" s="514" t="str">
        <f>IF(O1394="tbc","",(IFERROR(EDATE(#REF!,-3),"Invalid procurement method or date entered")))</f>
        <v/>
      </c>
      <c r="O1394" s="514" t="s">
        <v>60</v>
      </c>
      <c r="P1394" s="536" t="s">
        <v>60</v>
      </c>
      <c r="Q1394" s="536" t="s">
        <v>60</v>
      </c>
      <c r="R1394" s="538" t="s">
        <v>60</v>
      </c>
      <c r="S1394" s="536" t="s">
        <v>60</v>
      </c>
      <c r="T1394" s="536" t="s">
        <v>62</v>
      </c>
      <c r="U1394" s="514" t="s">
        <v>60</v>
      </c>
      <c r="V1394" s="514"/>
      <c r="W1394" s="519" t="s">
        <v>4678</v>
      </c>
    </row>
    <row r="1395" spans="1:31" ht="37.5">
      <c r="A1395" s="1119"/>
      <c r="B1395" s="577" t="s">
        <v>56</v>
      </c>
      <c r="C1395" s="510" t="s">
        <v>60</v>
      </c>
      <c r="D1395" s="511" t="s">
        <v>57</v>
      </c>
      <c r="E1395" s="511"/>
      <c r="F1395" s="511"/>
      <c r="G1395" s="511"/>
      <c r="H1395" s="511" t="s">
        <v>58</v>
      </c>
      <c r="I1395" s="519" t="s">
        <v>47</v>
      </c>
      <c r="J1395" s="606" t="s">
        <v>4679</v>
      </c>
      <c r="K1395" s="529"/>
      <c r="L1395" s="529"/>
      <c r="M1395" s="511">
        <v>14</v>
      </c>
      <c r="N1395" s="514" t="str">
        <f>IF(O1395="tbc","",(IFERROR(EDATE(#REF!,-3),"Invalid procurement method or date entered")))</f>
        <v/>
      </c>
      <c r="O1395" s="514" t="s">
        <v>60</v>
      </c>
      <c r="P1395" s="536" t="s">
        <v>60</v>
      </c>
      <c r="Q1395" s="536" t="s">
        <v>60</v>
      </c>
      <c r="R1395" s="538">
        <v>745000</v>
      </c>
      <c r="S1395" s="536" t="s">
        <v>60</v>
      </c>
      <c r="T1395" s="536" t="s">
        <v>310</v>
      </c>
      <c r="U1395" s="514" t="s">
        <v>60</v>
      </c>
      <c r="V1395" s="514"/>
      <c r="W1395" s="519" t="s">
        <v>3462</v>
      </c>
    </row>
    <row r="1396" spans="1:31" ht="87">
      <c r="A1396" s="1184"/>
      <c r="B1396" s="4" t="s">
        <v>44</v>
      </c>
      <c r="C1396" s="4"/>
      <c r="D1396" s="8" t="s">
        <v>32</v>
      </c>
      <c r="E1396" s="8"/>
      <c r="F1396" s="8"/>
      <c r="G1396" s="8"/>
      <c r="H1396" s="5" t="s">
        <v>46</v>
      </c>
      <c r="I1396" s="5" t="s">
        <v>47</v>
      </c>
      <c r="J1396" s="103" t="s">
        <v>4054</v>
      </c>
      <c r="K1396" s="89"/>
      <c r="L1396" s="89"/>
      <c r="M1396" s="90">
        <v>44099</v>
      </c>
      <c r="N1396" s="90"/>
      <c r="O1396" s="90" t="s">
        <v>837</v>
      </c>
      <c r="P1396" s="91" t="s">
        <v>45</v>
      </c>
      <c r="Q1396" s="92" t="s">
        <v>45</v>
      </c>
      <c r="R1396" s="18" t="s">
        <v>45</v>
      </c>
      <c r="S1396" s="5" t="s">
        <v>176</v>
      </c>
      <c r="T1396" s="483" t="s">
        <v>38</v>
      </c>
      <c r="U1396" s="4"/>
      <c r="V1396" s="4"/>
      <c r="W1396" s="92" t="s">
        <v>4680</v>
      </c>
      <c r="X1396" s="76" t="s">
        <v>543</v>
      </c>
      <c r="Y1396" s="80" t="s">
        <v>727</v>
      </c>
      <c r="Z1396" s="80"/>
      <c r="AA1396" s="80"/>
      <c r="AB1396" s="1022"/>
      <c r="AC1396" s="101" t="s">
        <v>4681</v>
      </c>
      <c r="AD1396" s="1" t="s">
        <v>46</v>
      </c>
      <c r="AE1396" s="1135" t="s">
        <v>4682</v>
      </c>
    </row>
    <row r="1397" spans="1:31" ht="87.5">
      <c r="A1397" s="1119"/>
      <c r="B1397" s="577" t="s">
        <v>56</v>
      </c>
      <c r="C1397" s="511" t="s">
        <v>60</v>
      </c>
      <c r="D1397" s="526" t="s">
        <v>57</v>
      </c>
      <c r="E1397" s="526"/>
      <c r="F1397" s="526"/>
      <c r="G1397" s="526"/>
      <c r="H1397" s="526" t="s">
        <v>58</v>
      </c>
      <c r="I1397" s="524" t="s">
        <v>47</v>
      </c>
      <c r="J1397" s="1972" t="s">
        <v>4683</v>
      </c>
      <c r="K1397" s="633"/>
      <c r="L1397" s="633"/>
      <c r="M1397" s="511">
        <v>14</v>
      </c>
      <c r="N1397" s="514" t="str">
        <f>IF(O1397="tbc","",(IFERROR(EDATE(#REF!,-3),"Invalid procurement method or date entered")))</f>
        <v>Invalid procurement method or date entered</v>
      </c>
      <c r="O1397" s="518">
        <v>45016</v>
      </c>
      <c r="P1397" s="623" t="s">
        <v>60</v>
      </c>
      <c r="Q1397" s="623" t="s">
        <v>60</v>
      </c>
      <c r="R1397" s="517">
        <v>565000</v>
      </c>
      <c r="S1397" s="518" t="s">
        <v>60</v>
      </c>
      <c r="T1397" s="518" t="s">
        <v>310</v>
      </c>
      <c r="U1397" s="526" t="s">
        <v>60</v>
      </c>
      <c r="V1397" s="526"/>
      <c r="W1397" s="1863" t="s">
        <v>4684</v>
      </c>
    </row>
    <row r="1398" spans="1:31" ht="87.5">
      <c r="A1398" s="1119"/>
      <c r="B1398" s="577" t="s">
        <v>56</v>
      </c>
      <c r="C1398" s="511" t="s">
        <v>60</v>
      </c>
      <c r="D1398" s="526" t="s">
        <v>57</v>
      </c>
      <c r="E1398" s="526"/>
      <c r="F1398" s="526"/>
      <c r="G1398" s="526"/>
      <c r="H1398" s="526" t="s">
        <v>58</v>
      </c>
      <c r="I1398" s="524" t="s">
        <v>47</v>
      </c>
      <c r="J1398" s="1972" t="s">
        <v>4685</v>
      </c>
      <c r="K1398" s="633"/>
      <c r="L1398" s="633"/>
      <c r="M1398" s="511">
        <v>14</v>
      </c>
      <c r="N1398" s="514" t="str">
        <f>IF(O1398="tbc","",(IFERROR(EDATE(#REF!,-3),"Invalid procurement method or date entered")))</f>
        <v>Invalid procurement method or date entered</v>
      </c>
      <c r="O1398" s="518">
        <v>45016</v>
      </c>
      <c r="P1398" s="623" t="s">
        <v>60</v>
      </c>
      <c r="Q1398" s="623" t="s">
        <v>60</v>
      </c>
      <c r="R1398" s="517">
        <v>3875549</v>
      </c>
      <c r="S1398" s="518" t="s">
        <v>60</v>
      </c>
      <c r="T1398" s="518" t="s">
        <v>310</v>
      </c>
      <c r="U1398" s="511" t="s">
        <v>60</v>
      </c>
      <c r="V1398" s="526"/>
      <c r="W1398" s="1863" t="s">
        <v>4684</v>
      </c>
    </row>
    <row r="1399" spans="1:31" ht="87.5">
      <c r="A1399" s="1119"/>
      <c r="B1399" s="577" t="s">
        <v>56</v>
      </c>
      <c r="C1399" s="511" t="s">
        <v>60</v>
      </c>
      <c r="D1399" s="511" t="s">
        <v>57</v>
      </c>
      <c r="E1399" s="511"/>
      <c r="F1399" s="511"/>
      <c r="G1399" s="511"/>
      <c r="H1399" s="511" t="s">
        <v>58</v>
      </c>
      <c r="I1399" s="519" t="s">
        <v>47</v>
      </c>
      <c r="J1399" s="606" t="s">
        <v>4686</v>
      </c>
      <c r="K1399" s="529"/>
      <c r="L1399" s="529"/>
      <c r="M1399" s="511">
        <v>14</v>
      </c>
      <c r="N1399" s="514" t="str">
        <f>IF(O1399="tbc","",(IFERROR(EDATE(#REF!,-3),"Invalid procurement method or date entered")))</f>
        <v>Invalid procurement method or date entered</v>
      </c>
      <c r="O1399" s="515">
        <v>45016</v>
      </c>
      <c r="P1399" s="530" t="s">
        <v>60</v>
      </c>
      <c r="Q1399" s="530" t="s">
        <v>60</v>
      </c>
      <c r="R1399" s="528">
        <v>1452674</v>
      </c>
      <c r="S1399" s="515" t="s">
        <v>60</v>
      </c>
      <c r="T1399" s="515" t="s">
        <v>310</v>
      </c>
      <c r="U1399" s="511" t="s">
        <v>60</v>
      </c>
      <c r="V1399" s="511"/>
      <c r="W1399" s="531" t="s">
        <v>4684</v>
      </c>
    </row>
    <row r="1400" spans="1:31" ht="87.5">
      <c r="A1400" s="1119"/>
      <c r="B1400" s="577" t="s">
        <v>56</v>
      </c>
      <c r="C1400" s="511" t="s">
        <v>60</v>
      </c>
      <c r="D1400" s="511" t="s">
        <v>57</v>
      </c>
      <c r="E1400" s="511"/>
      <c r="F1400" s="511"/>
      <c r="G1400" s="511"/>
      <c r="H1400" s="511" t="s">
        <v>58</v>
      </c>
      <c r="I1400" s="519" t="s">
        <v>47</v>
      </c>
      <c r="J1400" s="606" t="s">
        <v>4687</v>
      </c>
      <c r="K1400" s="529"/>
      <c r="L1400" s="529"/>
      <c r="M1400" s="511">
        <v>14</v>
      </c>
      <c r="N1400" s="514" t="str">
        <f>IF(O1400="tbc","",(IFERROR(EDATE(#REF!,-3),"Invalid procurement method or date entered")))</f>
        <v>Invalid procurement method or date entered</v>
      </c>
      <c r="O1400" s="515">
        <v>45016</v>
      </c>
      <c r="P1400" s="530" t="s">
        <v>60</v>
      </c>
      <c r="Q1400" s="530" t="s">
        <v>60</v>
      </c>
      <c r="R1400" s="528">
        <v>1987900</v>
      </c>
      <c r="S1400" s="515" t="s">
        <v>60</v>
      </c>
      <c r="T1400" s="515" t="s">
        <v>310</v>
      </c>
      <c r="U1400" s="511" t="s">
        <v>60</v>
      </c>
      <c r="V1400" s="511"/>
      <c r="W1400" s="531" t="s">
        <v>4684</v>
      </c>
    </row>
    <row r="1401" spans="1:31" ht="87.5">
      <c r="A1401" s="1119"/>
      <c r="B1401" s="577" t="s">
        <v>56</v>
      </c>
      <c r="C1401" s="511" t="s">
        <v>60</v>
      </c>
      <c r="D1401" s="511" t="s">
        <v>57</v>
      </c>
      <c r="E1401" s="511"/>
      <c r="F1401" s="511"/>
      <c r="G1401" s="511"/>
      <c r="H1401" s="511" t="s">
        <v>58</v>
      </c>
      <c r="I1401" s="519" t="s">
        <v>47</v>
      </c>
      <c r="J1401" s="606" t="s">
        <v>4688</v>
      </c>
      <c r="K1401" s="529"/>
      <c r="L1401" s="529"/>
      <c r="M1401" s="511">
        <v>14</v>
      </c>
      <c r="N1401" s="514" t="str">
        <f>IF(O1401="tbc","",(IFERROR(EDATE(#REF!,-3),"Invalid procurement method or date entered")))</f>
        <v>Invalid procurement method or date entered</v>
      </c>
      <c r="O1401" s="515">
        <v>45016</v>
      </c>
      <c r="P1401" s="530" t="s">
        <v>60</v>
      </c>
      <c r="Q1401" s="530" t="s">
        <v>60</v>
      </c>
      <c r="R1401" s="528">
        <v>898000</v>
      </c>
      <c r="S1401" s="515" t="s">
        <v>60</v>
      </c>
      <c r="T1401" s="515" t="s">
        <v>310</v>
      </c>
      <c r="U1401" s="511" t="s">
        <v>60</v>
      </c>
      <c r="V1401" s="511"/>
      <c r="W1401" s="531" t="s">
        <v>4684</v>
      </c>
    </row>
    <row r="1402" spans="1:31" ht="87.5">
      <c r="A1402" s="1119"/>
      <c r="B1402" s="577" t="s">
        <v>56</v>
      </c>
      <c r="C1402" s="511" t="s">
        <v>60</v>
      </c>
      <c r="D1402" s="511" t="s">
        <v>57</v>
      </c>
      <c r="E1402" s="511"/>
      <c r="F1402" s="511"/>
      <c r="G1402" s="511"/>
      <c r="H1402" s="511" t="s">
        <v>58</v>
      </c>
      <c r="I1402" s="519" t="s">
        <v>47</v>
      </c>
      <c r="J1402" s="606" t="s">
        <v>4689</v>
      </c>
      <c r="K1402" s="529"/>
      <c r="L1402" s="529"/>
      <c r="M1402" s="511">
        <v>14</v>
      </c>
      <c r="N1402" s="514" t="str">
        <f>IF(O1402="tbc","",(IFERROR(EDATE(#REF!,-3),"Invalid procurement method or date entered")))</f>
        <v>Invalid procurement method or date entered</v>
      </c>
      <c r="O1402" s="515">
        <v>45016</v>
      </c>
      <c r="P1402" s="530" t="s">
        <v>60</v>
      </c>
      <c r="Q1402" s="530" t="s">
        <v>60</v>
      </c>
      <c r="R1402" s="528">
        <v>7895000</v>
      </c>
      <c r="S1402" s="515" t="s">
        <v>60</v>
      </c>
      <c r="T1402" s="515" t="s">
        <v>310</v>
      </c>
      <c r="U1402" s="511" t="s">
        <v>60</v>
      </c>
      <c r="V1402" s="511"/>
      <c r="W1402" s="531" t="s">
        <v>4684</v>
      </c>
    </row>
    <row r="1403" spans="1:31" ht="87.5">
      <c r="A1403" s="1119"/>
      <c r="B1403" s="577" t="s">
        <v>56</v>
      </c>
      <c r="C1403" s="511" t="s">
        <v>60</v>
      </c>
      <c r="D1403" s="511" t="s">
        <v>57</v>
      </c>
      <c r="E1403" s="511"/>
      <c r="F1403" s="511"/>
      <c r="G1403" s="511"/>
      <c r="H1403" s="511" t="s">
        <v>58</v>
      </c>
      <c r="I1403" s="519" t="s">
        <v>47</v>
      </c>
      <c r="J1403" s="606" t="s">
        <v>4690</v>
      </c>
      <c r="K1403" s="529"/>
      <c r="L1403" s="529"/>
      <c r="M1403" s="511">
        <v>14</v>
      </c>
      <c r="N1403" s="514" t="str">
        <f>IF(O1403="tbc","",(IFERROR(EDATE(#REF!,-3),"Invalid procurement method or date entered")))</f>
        <v>Invalid procurement method or date entered</v>
      </c>
      <c r="O1403" s="515">
        <v>45016</v>
      </c>
      <c r="P1403" s="530" t="s">
        <v>60</v>
      </c>
      <c r="Q1403" s="530" t="s">
        <v>60</v>
      </c>
      <c r="R1403" s="528">
        <v>5119000</v>
      </c>
      <c r="S1403" s="515" t="s">
        <v>60</v>
      </c>
      <c r="T1403" s="515" t="s">
        <v>310</v>
      </c>
      <c r="U1403" s="511" t="s">
        <v>60</v>
      </c>
      <c r="V1403" s="511"/>
      <c r="W1403" s="531" t="s">
        <v>4684</v>
      </c>
    </row>
    <row r="1404" spans="1:31" ht="87.5">
      <c r="A1404" s="1119"/>
      <c r="B1404" s="577" t="s">
        <v>56</v>
      </c>
      <c r="C1404" s="511" t="s">
        <v>60</v>
      </c>
      <c r="D1404" s="511" t="s">
        <v>57</v>
      </c>
      <c r="E1404" s="511"/>
      <c r="F1404" s="511"/>
      <c r="G1404" s="511"/>
      <c r="H1404" s="511" t="s">
        <v>58</v>
      </c>
      <c r="I1404" s="519" t="s">
        <v>47</v>
      </c>
      <c r="J1404" s="606" t="s">
        <v>4691</v>
      </c>
      <c r="K1404" s="529"/>
      <c r="L1404" s="529"/>
      <c r="M1404" s="511">
        <v>14</v>
      </c>
      <c r="N1404" s="514" t="str">
        <f>IF(O1404="tbc","",(IFERROR(EDATE(#REF!,-3),"Invalid procurement method or date entered")))</f>
        <v>Invalid procurement method or date entered</v>
      </c>
      <c r="O1404" s="515">
        <v>45016</v>
      </c>
      <c r="P1404" s="530" t="s">
        <v>60</v>
      </c>
      <c r="Q1404" s="530" t="s">
        <v>60</v>
      </c>
      <c r="R1404" s="528">
        <v>1438000</v>
      </c>
      <c r="S1404" s="515" t="s">
        <v>60</v>
      </c>
      <c r="T1404" s="515" t="s">
        <v>310</v>
      </c>
      <c r="U1404" s="511" t="s">
        <v>60</v>
      </c>
      <c r="V1404" s="511"/>
      <c r="W1404" s="531" t="s">
        <v>4684</v>
      </c>
    </row>
    <row r="1405" spans="1:31" ht="87.5">
      <c r="A1405" s="1119"/>
      <c r="B1405" s="577" t="s">
        <v>56</v>
      </c>
      <c r="C1405" s="511" t="s">
        <v>60</v>
      </c>
      <c r="D1405" s="511" t="s">
        <v>57</v>
      </c>
      <c r="E1405" s="511"/>
      <c r="F1405" s="511"/>
      <c r="G1405" s="511"/>
      <c r="H1405" s="511" t="s">
        <v>58</v>
      </c>
      <c r="I1405" s="519" t="s">
        <v>47</v>
      </c>
      <c r="J1405" s="606" t="s">
        <v>4692</v>
      </c>
      <c r="K1405" s="529"/>
      <c r="L1405" s="529"/>
      <c r="M1405" s="511">
        <v>14</v>
      </c>
      <c r="N1405" s="514" t="str">
        <f>IF(O1405="tbc","",(IFERROR(EDATE(#REF!,-3),"Invalid procurement method or date entered")))</f>
        <v>Invalid procurement method or date entered</v>
      </c>
      <c r="O1405" s="515">
        <v>45016</v>
      </c>
      <c r="P1405" s="530" t="s">
        <v>60</v>
      </c>
      <c r="Q1405" s="530" t="s">
        <v>60</v>
      </c>
      <c r="R1405" s="528">
        <v>307000</v>
      </c>
      <c r="S1405" s="515" t="s">
        <v>60</v>
      </c>
      <c r="T1405" s="515" t="s">
        <v>310</v>
      </c>
      <c r="U1405" s="511" t="s">
        <v>60</v>
      </c>
      <c r="V1405" s="511"/>
      <c r="W1405" s="531" t="s">
        <v>4684</v>
      </c>
    </row>
    <row r="1406" spans="1:31" ht="87.5">
      <c r="A1406" s="1119"/>
      <c r="B1406" s="577" t="s">
        <v>56</v>
      </c>
      <c r="C1406" s="511" t="s">
        <v>60</v>
      </c>
      <c r="D1406" s="511" t="s">
        <v>57</v>
      </c>
      <c r="E1406" s="511"/>
      <c r="F1406" s="511"/>
      <c r="G1406" s="511"/>
      <c r="H1406" s="511" t="s">
        <v>58</v>
      </c>
      <c r="I1406" s="519" t="s">
        <v>47</v>
      </c>
      <c r="J1406" s="606" t="s">
        <v>4693</v>
      </c>
      <c r="K1406" s="529"/>
      <c r="L1406" s="529"/>
      <c r="M1406" s="511">
        <v>14</v>
      </c>
      <c r="N1406" s="514" t="str">
        <f>IF(O1406="tbc","",(IFERROR(EDATE(#REF!,-3),"Invalid procurement method or date entered")))</f>
        <v>Invalid procurement method or date entered</v>
      </c>
      <c r="O1406" s="515">
        <v>45016</v>
      </c>
      <c r="P1406" s="530" t="s">
        <v>60</v>
      </c>
      <c r="Q1406" s="530" t="s">
        <v>60</v>
      </c>
      <c r="R1406" s="528">
        <v>14338000</v>
      </c>
      <c r="S1406" s="515" t="s">
        <v>60</v>
      </c>
      <c r="T1406" s="515" t="s">
        <v>310</v>
      </c>
      <c r="U1406" s="511" t="s">
        <v>60</v>
      </c>
      <c r="V1406" s="511"/>
      <c r="W1406" s="531" t="s">
        <v>4684</v>
      </c>
    </row>
    <row r="1407" spans="1:31" ht="87.5">
      <c r="A1407" s="1119"/>
      <c r="B1407" s="577" t="s">
        <v>56</v>
      </c>
      <c r="C1407" s="511" t="s">
        <v>60</v>
      </c>
      <c r="D1407" s="511" t="s">
        <v>57</v>
      </c>
      <c r="E1407" s="511"/>
      <c r="F1407" s="511"/>
      <c r="G1407" s="511"/>
      <c r="H1407" s="511" t="s">
        <v>58</v>
      </c>
      <c r="I1407" s="519" t="s">
        <v>47</v>
      </c>
      <c r="J1407" s="606" t="s">
        <v>4694</v>
      </c>
      <c r="K1407" s="529"/>
      <c r="L1407" s="529"/>
      <c r="M1407" s="511">
        <v>14</v>
      </c>
      <c r="N1407" s="514" t="str">
        <f>IF(O1407="tbc","",(IFERROR(EDATE(#REF!,-3),"Invalid procurement method or date entered")))</f>
        <v>Invalid procurement method or date entered</v>
      </c>
      <c r="O1407" s="515">
        <v>45016</v>
      </c>
      <c r="P1407" s="530" t="s">
        <v>60</v>
      </c>
      <c r="Q1407" s="530" t="s">
        <v>60</v>
      </c>
      <c r="R1407" s="528">
        <v>1000000</v>
      </c>
      <c r="S1407" s="515" t="s">
        <v>60</v>
      </c>
      <c r="T1407" s="515" t="s">
        <v>310</v>
      </c>
      <c r="U1407" s="511" t="s">
        <v>60</v>
      </c>
      <c r="V1407" s="511"/>
      <c r="W1407" s="531" t="s">
        <v>4684</v>
      </c>
    </row>
    <row r="1408" spans="1:31" ht="87.5">
      <c r="A1408" s="1119"/>
      <c r="B1408" s="577" t="s">
        <v>56</v>
      </c>
      <c r="C1408" s="511" t="s">
        <v>60</v>
      </c>
      <c r="D1408" s="511" t="s">
        <v>57</v>
      </c>
      <c r="E1408" s="511"/>
      <c r="F1408" s="511"/>
      <c r="G1408" s="511"/>
      <c r="H1408" s="511" t="s">
        <v>58</v>
      </c>
      <c r="I1408" s="519" t="s">
        <v>47</v>
      </c>
      <c r="J1408" s="606" t="s">
        <v>4695</v>
      </c>
      <c r="K1408" s="529"/>
      <c r="L1408" s="529"/>
      <c r="M1408" s="511">
        <v>14</v>
      </c>
      <c r="N1408" s="514" t="str">
        <f>IF(O1408="tbc","",(IFERROR(EDATE(#REF!,-3),"Invalid procurement method or date entered")))</f>
        <v>Invalid procurement method or date entered</v>
      </c>
      <c r="O1408" s="515">
        <v>45016</v>
      </c>
      <c r="P1408" s="530" t="s">
        <v>60</v>
      </c>
      <c r="Q1408" s="530" t="s">
        <v>60</v>
      </c>
      <c r="R1408" s="528">
        <v>2600000</v>
      </c>
      <c r="S1408" s="515" t="s">
        <v>60</v>
      </c>
      <c r="T1408" s="515" t="s">
        <v>310</v>
      </c>
      <c r="U1408" s="511" t="s">
        <v>60</v>
      </c>
      <c r="V1408" s="511"/>
      <c r="W1408" s="531" t="s">
        <v>4684</v>
      </c>
    </row>
    <row r="1409" spans="1:32" ht="50">
      <c r="A1409" s="1119"/>
      <c r="B1409" s="577" t="s">
        <v>56</v>
      </c>
      <c r="C1409" s="510" t="s">
        <v>60</v>
      </c>
      <c r="D1409" s="511" t="s">
        <v>57</v>
      </c>
      <c r="E1409" s="511"/>
      <c r="F1409" s="511"/>
      <c r="G1409" s="511"/>
      <c r="H1409" s="511" t="s">
        <v>58</v>
      </c>
      <c r="I1409" s="519" t="s">
        <v>47</v>
      </c>
      <c r="J1409" s="1578" t="s">
        <v>4696</v>
      </c>
      <c r="K1409" s="990"/>
      <c r="L1409" s="511">
        <v>3</v>
      </c>
      <c r="M1409" s="513">
        <v>44306</v>
      </c>
      <c r="N1409" s="514" t="str">
        <f>IF(O1409="tbc","",(IFERROR(EDATE(O1409,-L1409),"Invalid procurement method or date entered")))</f>
        <v/>
      </c>
      <c r="O1409" s="515" t="s">
        <v>60</v>
      </c>
      <c r="P1409" s="516" t="s">
        <v>60</v>
      </c>
      <c r="Q1409" s="528" t="s">
        <v>60</v>
      </c>
      <c r="R1409" s="528">
        <v>250000</v>
      </c>
      <c r="S1409" s="515" t="s">
        <v>61</v>
      </c>
      <c r="T1409" s="515" t="s">
        <v>62</v>
      </c>
      <c r="U1409" s="511" t="s">
        <v>60</v>
      </c>
      <c r="V1409" s="511"/>
      <c r="W1409" s="521" t="s">
        <v>70</v>
      </c>
    </row>
    <row r="1410" spans="1:32" ht="50">
      <c r="A1410" s="1119"/>
      <c r="B1410" s="577" t="s">
        <v>56</v>
      </c>
      <c r="C1410" s="510" t="s">
        <v>4697</v>
      </c>
      <c r="D1410" s="511" t="s">
        <v>57</v>
      </c>
      <c r="E1410" s="511"/>
      <c r="F1410" s="511"/>
      <c r="G1410" s="511"/>
      <c r="H1410" s="511" t="s">
        <v>58</v>
      </c>
      <c r="I1410" s="510" t="s">
        <v>47</v>
      </c>
      <c r="J1410" s="1580" t="s">
        <v>4698</v>
      </c>
      <c r="K1410" s="1722"/>
      <c r="L1410" s="511">
        <v>3</v>
      </c>
      <c r="M1410" s="514">
        <v>44382</v>
      </c>
      <c r="N1410" s="511" t="s">
        <v>4699</v>
      </c>
      <c r="O1410" s="663">
        <v>1145003</v>
      </c>
      <c r="P1410" s="515" t="s">
        <v>61</v>
      </c>
      <c r="Q1410" s="535" t="s">
        <v>71</v>
      </c>
      <c r="R1410" s="528" t="s">
        <v>71</v>
      </c>
      <c r="S1410" s="519" t="s">
        <v>2417</v>
      </c>
      <c r="T1410" s="510" t="s">
        <v>1041</v>
      </c>
      <c r="U1410" s="515" t="s">
        <v>784</v>
      </c>
      <c r="V1410" s="515"/>
      <c r="W1410" s="990"/>
    </row>
    <row r="1411" spans="1:32" ht="50">
      <c r="A1411" s="1119"/>
      <c r="B1411" s="577" t="s">
        <v>56</v>
      </c>
      <c r="C1411" s="510" t="s">
        <v>4700</v>
      </c>
      <c r="D1411" s="511" t="s">
        <v>57</v>
      </c>
      <c r="E1411" s="511"/>
      <c r="F1411" s="511"/>
      <c r="G1411" s="511"/>
      <c r="H1411" s="511" t="s">
        <v>58</v>
      </c>
      <c r="I1411" s="510" t="s">
        <v>47</v>
      </c>
      <c r="J1411" s="1580" t="s">
        <v>4701</v>
      </c>
      <c r="K1411" s="1722"/>
      <c r="L1411" s="514">
        <v>44340</v>
      </c>
      <c r="M1411" s="514">
        <v>44396</v>
      </c>
      <c r="N1411" s="511">
        <v>1</v>
      </c>
      <c r="O1411" s="666">
        <v>286613.27</v>
      </c>
      <c r="P1411" s="515" t="s">
        <v>61</v>
      </c>
      <c r="Q1411" s="535" t="s">
        <v>71</v>
      </c>
      <c r="R1411" s="528" t="s">
        <v>71</v>
      </c>
      <c r="S1411" s="519" t="s">
        <v>2417</v>
      </c>
      <c r="T1411" s="537" t="s">
        <v>350</v>
      </c>
      <c r="U1411" s="664" t="s">
        <v>784</v>
      </c>
      <c r="V1411" s="664"/>
      <c r="W1411" s="990"/>
    </row>
    <row r="1412" spans="1:32" ht="50">
      <c r="A1412" s="1119"/>
      <c r="B1412" s="577" t="s">
        <v>56</v>
      </c>
      <c r="C1412" s="510" t="s">
        <v>4702</v>
      </c>
      <c r="D1412" s="511" t="s">
        <v>57</v>
      </c>
      <c r="E1412" s="511"/>
      <c r="F1412" s="511"/>
      <c r="G1412" s="511"/>
      <c r="H1412" s="511" t="s">
        <v>58</v>
      </c>
      <c r="I1412" s="510" t="s">
        <v>47</v>
      </c>
      <c r="J1412" s="1580" t="s">
        <v>4703</v>
      </c>
      <c r="K1412" s="1722"/>
      <c r="L1412" s="514">
        <v>44354</v>
      </c>
      <c r="M1412" s="514">
        <v>44428</v>
      </c>
      <c r="N1412" s="511">
        <v>1</v>
      </c>
      <c r="O1412" s="665">
        <v>246222.65</v>
      </c>
      <c r="P1412" s="515" t="s">
        <v>61</v>
      </c>
      <c r="Q1412" s="535" t="s">
        <v>589</v>
      </c>
      <c r="R1412" s="528" t="s">
        <v>589</v>
      </c>
      <c r="S1412" s="519" t="s">
        <v>2417</v>
      </c>
      <c r="T1412" s="510" t="s">
        <v>350</v>
      </c>
      <c r="U1412" s="511" t="s">
        <v>784</v>
      </c>
      <c r="V1412" s="511"/>
      <c r="W1412" s="990"/>
    </row>
    <row r="1413" spans="1:32" ht="221">
      <c r="A1413" s="1244" t="s">
        <v>71</v>
      </c>
      <c r="B1413" s="695" t="s">
        <v>44</v>
      </c>
      <c r="C1413" s="738"/>
      <c r="D1413" s="710" t="s">
        <v>4704</v>
      </c>
      <c r="E1413" s="710"/>
      <c r="F1413" s="710"/>
      <c r="G1413" s="710"/>
      <c r="H1413" s="709" t="s">
        <v>4705</v>
      </c>
      <c r="I1413" s="709" t="s">
        <v>47</v>
      </c>
      <c r="J1413" s="1608" t="s">
        <v>4706</v>
      </c>
      <c r="K1413" s="945"/>
      <c r="L1413" s="710"/>
      <c r="M1413" s="769">
        <v>44585</v>
      </c>
      <c r="N1413" s="769" t="str">
        <f>IFERROR(EDATE(O1413,-L1413),"Invalid procurement method or date entered")</f>
        <v>Invalid procurement method or date entered</v>
      </c>
      <c r="O1413" s="947" t="s">
        <v>45</v>
      </c>
      <c r="P1413" s="710"/>
      <c r="Q1413" s="884"/>
      <c r="R1413" s="772"/>
      <c r="S1413" s="710" t="s">
        <v>158</v>
      </c>
      <c r="T1413" s="710" t="s">
        <v>67</v>
      </c>
      <c r="U1413" s="738" t="s">
        <v>67</v>
      </c>
      <c r="V1413" s="740"/>
      <c r="W1413" s="709" t="s">
        <v>1633</v>
      </c>
      <c r="X1413" s="843" t="s">
        <v>351</v>
      </c>
      <c r="Y1413" s="843" t="s">
        <v>727</v>
      </c>
      <c r="Z1413" s="843" t="s">
        <v>67</v>
      </c>
      <c r="AA1413" s="843"/>
      <c r="AB1413" s="1102">
        <v>44797</v>
      </c>
      <c r="AC1413" s="945" t="s">
        <v>4707</v>
      </c>
      <c r="AD1413" s="843" t="s">
        <v>80</v>
      </c>
      <c r="AE1413" s="883"/>
      <c r="AF1413" s="906"/>
    </row>
    <row r="1414" spans="1:32" ht="409.5">
      <c r="A1414" s="1119"/>
      <c r="B1414" s="577" t="s">
        <v>56</v>
      </c>
      <c r="C1414" s="539">
        <v>46474</v>
      </c>
      <c r="D1414" s="540" t="s">
        <v>32</v>
      </c>
      <c r="E1414" s="540"/>
      <c r="F1414" s="540"/>
      <c r="G1414" s="540"/>
      <c r="H1414" s="540" t="s">
        <v>308</v>
      </c>
      <c r="I1414" s="543" t="s">
        <v>47</v>
      </c>
      <c r="J1414" s="1974" t="s">
        <v>4708</v>
      </c>
      <c r="L1414" s="514" t="e">
        <f>IF(#REF!="tbc","",(IFERROR(EDATE($N1414,-3),"Invalid procurement method or date entered")))</f>
        <v>#REF!</v>
      </c>
      <c r="M1414" s="542">
        <v>44593</v>
      </c>
      <c r="N1414" s="1005">
        <v>1420000</v>
      </c>
      <c r="O1414" s="540" t="s">
        <v>715</v>
      </c>
      <c r="P1414" s="544" t="s">
        <v>225</v>
      </c>
      <c r="Q1414" s="1854" t="s">
        <v>69</v>
      </c>
      <c r="R1414" s="689" t="s">
        <v>70</v>
      </c>
      <c r="S1414" s="2068">
        <v>44685</v>
      </c>
      <c r="U1414" s="1081"/>
      <c r="V1414" s="1909"/>
      <c r="W1414" s="1081"/>
      <c r="Y1414" s="628" t="s">
        <v>4709</v>
      </c>
    </row>
    <row r="1415" spans="1:32" s="906" customFormat="1" ht="50">
      <c r="A1415" s="1199"/>
      <c r="B1415" s="960" t="s">
        <v>56</v>
      </c>
      <c r="C1415" s="510"/>
      <c r="D1415" s="611" t="s">
        <v>57</v>
      </c>
      <c r="E1415" s="611"/>
      <c r="F1415" s="611"/>
      <c r="G1415" s="611"/>
      <c r="H1415" s="511" t="s">
        <v>58</v>
      </c>
      <c r="I1415" s="510" t="s">
        <v>47</v>
      </c>
      <c r="J1415" s="1580" t="s">
        <v>4710</v>
      </c>
      <c r="K1415" s="533"/>
      <c r="L1415" s="511">
        <v>12</v>
      </c>
      <c r="M1415" s="514" t="str">
        <f t="shared" ref="M1415:M1422" si="31">IF(O1415="tbc","",(IFERROR(EDATE($N1415,-3),"Invalid procurement method or date entered")))</f>
        <v/>
      </c>
      <c r="N1415" s="514" t="str">
        <f t="shared" ref="N1415:N1422" si="32">IF(O1415="tbc","",(IFERROR(EDATE(O1415,-L1415),"Invalid procurement method or date entered")))</f>
        <v/>
      </c>
      <c r="O1415" s="534" t="s">
        <v>60</v>
      </c>
      <c r="P1415" s="1011" t="s">
        <v>60</v>
      </c>
      <c r="Q1415" s="684" t="s">
        <v>60</v>
      </c>
      <c r="R1415" s="1034">
        <v>50000</v>
      </c>
      <c r="S1415" s="1044" t="s">
        <v>75</v>
      </c>
      <c r="T1415" s="515"/>
      <c r="U1415" s="515" t="s">
        <v>60</v>
      </c>
      <c r="V1415" s="515"/>
      <c r="W1415" s="510" t="s">
        <v>3935</v>
      </c>
      <c r="X1415" s="120"/>
      <c r="Y1415" s="1081"/>
      <c r="Z1415" s="120"/>
      <c r="AA1415" s="120"/>
      <c r="AB1415" s="120"/>
      <c r="AC1415" s="186"/>
      <c r="AD1415" s="330"/>
      <c r="AE1415" s="330"/>
      <c r="AF1415"/>
    </row>
    <row r="1416" spans="1:32" s="906" customFormat="1" ht="50">
      <c r="A1416" s="1199"/>
      <c r="B1416" s="960" t="s">
        <v>56</v>
      </c>
      <c r="C1416" s="510"/>
      <c r="D1416" s="611" t="s">
        <v>57</v>
      </c>
      <c r="E1416" s="611"/>
      <c r="F1416" s="611"/>
      <c r="G1416" s="611"/>
      <c r="H1416" s="511" t="s">
        <v>58</v>
      </c>
      <c r="I1416" s="510" t="s">
        <v>47</v>
      </c>
      <c r="J1416" s="1580" t="s">
        <v>4711</v>
      </c>
      <c r="K1416" s="533"/>
      <c r="L1416" s="511">
        <v>12</v>
      </c>
      <c r="M1416" s="514" t="str">
        <f t="shared" si="31"/>
        <v/>
      </c>
      <c r="N1416" s="514" t="str">
        <f t="shared" si="32"/>
        <v/>
      </c>
      <c r="O1416" s="534" t="s">
        <v>60</v>
      </c>
      <c r="P1416" s="1011" t="s">
        <v>60</v>
      </c>
      <c r="Q1416" s="684" t="s">
        <v>60</v>
      </c>
      <c r="R1416" s="1034">
        <v>125000</v>
      </c>
      <c r="S1416" s="1044" t="s">
        <v>75</v>
      </c>
      <c r="T1416" s="515"/>
      <c r="U1416" s="515" t="s">
        <v>60</v>
      </c>
      <c r="V1416" s="515"/>
      <c r="W1416" s="510" t="s">
        <v>3935</v>
      </c>
      <c r="X1416" s="120"/>
      <c r="Y1416" s="120"/>
      <c r="Z1416" s="120"/>
      <c r="AA1416" s="336"/>
      <c r="AB1416" s="120"/>
      <c r="AC1416" s="186"/>
      <c r="AD1416" s="330"/>
      <c r="AE1416" s="330"/>
      <c r="AF1416"/>
    </row>
    <row r="1417" spans="1:32" s="906" customFormat="1" ht="50">
      <c r="A1417" s="1199"/>
      <c r="B1417" s="958" t="s">
        <v>56</v>
      </c>
      <c r="C1417" s="510"/>
      <c r="D1417" s="511" t="s">
        <v>57</v>
      </c>
      <c r="E1417" s="511"/>
      <c r="F1417" s="511"/>
      <c r="G1417" s="511"/>
      <c r="H1417" s="511" t="s">
        <v>58</v>
      </c>
      <c r="I1417" s="510" t="s">
        <v>47</v>
      </c>
      <c r="J1417" s="1580" t="s">
        <v>4712</v>
      </c>
      <c r="K1417" s="533"/>
      <c r="L1417" s="511">
        <v>12</v>
      </c>
      <c r="M1417" s="514" t="str">
        <f t="shared" si="31"/>
        <v/>
      </c>
      <c r="N1417" s="514" t="str">
        <f t="shared" si="32"/>
        <v/>
      </c>
      <c r="O1417" s="534" t="s">
        <v>60</v>
      </c>
      <c r="P1417" s="535" t="s">
        <v>60</v>
      </c>
      <c r="Q1417" s="535" t="s">
        <v>60</v>
      </c>
      <c r="R1417" s="1034">
        <v>52000</v>
      </c>
      <c r="S1417" s="515" t="s">
        <v>75</v>
      </c>
      <c r="T1417" s="515"/>
      <c r="U1417" s="515" t="s">
        <v>60</v>
      </c>
      <c r="V1417" s="515"/>
      <c r="W1417" s="510" t="s">
        <v>3935</v>
      </c>
      <c r="X1417" s="120"/>
      <c r="Y1417" s="120"/>
      <c r="Z1417" s="186"/>
      <c r="AA1417" s="120"/>
      <c r="AB1417" s="336"/>
      <c r="AC1417" s="186"/>
      <c r="AD1417" s="330"/>
      <c r="AE1417" s="330"/>
      <c r="AF1417"/>
    </row>
    <row r="1418" spans="1:32" s="906" customFormat="1" ht="50">
      <c r="A1418" s="1199"/>
      <c r="B1418" s="958" t="s">
        <v>56</v>
      </c>
      <c r="C1418" s="510" t="s">
        <v>60</v>
      </c>
      <c r="D1418" s="511" t="s">
        <v>57</v>
      </c>
      <c r="E1418" s="511"/>
      <c r="F1418" s="511"/>
      <c r="G1418" s="511"/>
      <c r="H1418" s="511" t="s">
        <v>58</v>
      </c>
      <c r="I1418" s="519" t="s">
        <v>47</v>
      </c>
      <c r="J1418" s="1578" t="s">
        <v>4713</v>
      </c>
      <c r="K1418" s="512"/>
      <c r="L1418" s="511">
        <v>12</v>
      </c>
      <c r="M1418" s="514" t="str">
        <f t="shared" si="31"/>
        <v/>
      </c>
      <c r="N1418" s="514" t="str">
        <f t="shared" si="32"/>
        <v/>
      </c>
      <c r="O1418" s="515" t="s">
        <v>60</v>
      </c>
      <c r="P1418" s="516">
        <v>9</v>
      </c>
      <c r="Q1418" s="516">
        <v>9</v>
      </c>
      <c r="R1418" s="1034">
        <v>600000</v>
      </c>
      <c r="S1418" s="515" t="s">
        <v>75</v>
      </c>
      <c r="T1418" s="515" t="s">
        <v>310</v>
      </c>
      <c r="U1418" s="515" t="s">
        <v>60</v>
      </c>
      <c r="V1418" s="515"/>
      <c r="W1418" s="648" t="s">
        <v>577</v>
      </c>
      <c r="X1418" s="120"/>
      <c r="Y1418" s="120"/>
      <c r="Z1418" s="186"/>
      <c r="AA1418" s="120"/>
      <c r="AB1418" s="330"/>
      <c r="AC1418" s="186"/>
      <c r="AD1418" s="330"/>
      <c r="AE1418" s="330"/>
      <c r="AF1418"/>
    </row>
    <row r="1419" spans="1:32" s="906" customFormat="1" ht="37.5">
      <c r="A1419" s="1199"/>
      <c r="B1419" s="958" t="s">
        <v>56</v>
      </c>
      <c r="C1419" s="510" t="s">
        <v>60</v>
      </c>
      <c r="D1419" s="511" t="s">
        <v>57</v>
      </c>
      <c r="E1419" s="511"/>
      <c r="F1419" s="511"/>
      <c r="G1419" s="511"/>
      <c r="H1419" s="511" t="s">
        <v>58</v>
      </c>
      <c r="I1419" s="519" t="s">
        <v>47</v>
      </c>
      <c r="J1419" s="1578" t="s">
        <v>4714</v>
      </c>
      <c r="K1419" s="512"/>
      <c r="L1419" s="511">
        <v>12</v>
      </c>
      <c r="M1419" s="514" t="str">
        <f t="shared" si="31"/>
        <v/>
      </c>
      <c r="N1419" s="514" t="str">
        <f t="shared" si="32"/>
        <v/>
      </c>
      <c r="O1419" s="515" t="s">
        <v>60</v>
      </c>
      <c r="P1419" s="516" t="s">
        <v>60</v>
      </c>
      <c r="Q1419" s="516" t="s">
        <v>60</v>
      </c>
      <c r="R1419" s="1034" t="s">
        <v>60</v>
      </c>
      <c r="S1419" s="515" t="s">
        <v>130</v>
      </c>
      <c r="T1419" s="515" t="s">
        <v>60</v>
      </c>
      <c r="U1419" s="515" t="s">
        <v>60</v>
      </c>
      <c r="V1419" s="515"/>
      <c r="W1419" s="569" t="s">
        <v>577</v>
      </c>
      <c r="X1419" s="120"/>
      <c r="Y1419" s="120"/>
      <c r="Z1419" s="186"/>
      <c r="AA1419" s="120"/>
      <c r="AB1419" s="330"/>
      <c r="AC1419" s="186"/>
      <c r="AD1419" s="330"/>
      <c r="AE1419" s="330"/>
      <c r="AF1419"/>
    </row>
    <row r="1420" spans="1:32" s="906" customFormat="1" ht="50">
      <c r="A1420" s="1199"/>
      <c r="B1420" s="958" t="s">
        <v>56</v>
      </c>
      <c r="C1420" s="510" t="s">
        <v>60</v>
      </c>
      <c r="D1420" s="511" t="s">
        <v>57</v>
      </c>
      <c r="E1420" s="511"/>
      <c r="F1420" s="511"/>
      <c r="G1420" s="511"/>
      <c r="H1420" s="511" t="s">
        <v>58</v>
      </c>
      <c r="I1420" s="519" t="s">
        <v>47</v>
      </c>
      <c r="J1420" s="1578" t="s">
        <v>4713</v>
      </c>
      <c r="K1420" s="512"/>
      <c r="L1420" s="511">
        <v>12</v>
      </c>
      <c r="M1420" s="514" t="str">
        <f t="shared" si="31"/>
        <v/>
      </c>
      <c r="N1420" s="514" t="str">
        <f t="shared" si="32"/>
        <v/>
      </c>
      <c r="O1420" s="515" t="s">
        <v>60</v>
      </c>
      <c r="P1420" s="516">
        <v>9</v>
      </c>
      <c r="Q1420" s="516">
        <v>9</v>
      </c>
      <c r="R1420" s="1034">
        <v>600000</v>
      </c>
      <c r="S1420" s="515" t="s">
        <v>75</v>
      </c>
      <c r="T1420" s="515" t="s">
        <v>310</v>
      </c>
      <c r="U1420" s="515" t="s">
        <v>60</v>
      </c>
      <c r="V1420" s="515"/>
      <c r="W1420" s="648" t="s">
        <v>577</v>
      </c>
      <c r="X1420" s="120"/>
      <c r="Y1420" s="120"/>
      <c r="Z1420" s="186"/>
      <c r="AA1420" s="120"/>
      <c r="AB1420" s="330"/>
      <c r="AC1420" s="186"/>
      <c r="AD1420" s="330"/>
      <c r="AE1420" s="330"/>
      <c r="AF1420"/>
    </row>
    <row r="1421" spans="1:32" s="906" customFormat="1" ht="37.5">
      <c r="A1421" s="1199"/>
      <c r="B1421" s="958" t="s">
        <v>56</v>
      </c>
      <c r="C1421" s="510" t="s">
        <v>60</v>
      </c>
      <c r="D1421" s="511" t="s">
        <v>57</v>
      </c>
      <c r="E1421" s="511"/>
      <c r="F1421" s="511"/>
      <c r="G1421" s="511"/>
      <c r="H1421" s="511" t="s">
        <v>58</v>
      </c>
      <c r="I1421" s="519" t="s">
        <v>47</v>
      </c>
      <c r="J1421" s="1578" t="s">
        <v>4715</v>
      </c>
      <c r="K1421" s="990"/>
      <c r="L1421" s="511">
        <v>14</v>
      </c>
      <c r="M1421" s="514" t="str">
        <f t="shared" si="31"/>
        <v/>
      </c>
      <c r="N1421" s="514" t="str">
        <f t="shared" si="32"/>
        <v/>
      </c>
      <c r="O1421" s="515" t="s">
        <v>60</v>
      </c>
      <c r="P1421" s="516" t="s">
        <v>60</v>
      </c>
      <c r="Q1421" s="516" t="s">
        <v>60</v>
      </c>
      <c r="R1421" s="1034" t="s">
        <v>60</v>
      </c>
      <c r="S1421" s="515" t="s">
        <v>60</v>
      </c>
      <c r="T1421" s="515" t="s">
        <v>60</v>
      </c>
      <c r="U1421" s="515" t="s">
        <v>60</v>
      </c>
      <c r="V1421" s="515"/>
      <c r="W1421" s="569" t="s">
        <v>577</v>
      </c>
      <c r="X1421" s="120"/>
      <c r="Y1421" s="120"/>
      <c r="Z1421" s="186"/>
      <c r="AA1421" s="120"/>
      <c r="AB1421" s="330"/>
      <c r="AC1421" s="186"/>
      <c r="AD1421" s="330"/>
      <c r="AE1421" s="330"/>
      <c r="AF1421"/>
    </row>
    <row r="1422" spans="1:32" s="906" customFormat="1" ht="50">
      <c r="A1422" s="1199"/>
      <c r="B1422" s="958" t="s">
        <v>56</v>
      </c>
      <c r="C1422" s="510" t="s">
        <v>60</v>
      </c>
      <c r="D1422" s="511" t="s">
        <v>57</v>
      </c>
      <c r="E1422" s="511"/>
      <c r="F1422" s="511"/>
      <c r="G1422" s="511"/>
      <c r="H1422" s="511" t="s">
        <v>58</v>
      </c>
      <c r="I1422" s="519" t="s">
        <v>47</v>
      </c>
      <c r="J1422" s="606" t="s">
        <v>4716</v>
      </c>
      <c r="K1422" s="529"/>
      <c r="L1422" s="511">
        <v>12</v>
      </c>
      <c r="M1422" s="514" t="str">
        <f t="shared" si="31"/>
        <v/>
      </c>
      <c r="N1422" s="514" t="str">
        <f t="shared" si="32"/>
        <v/>
      </c>
      <c r="O1422" s="514" t="s">
        <v>60</v>
      </c>
      <c r="P1422" s="536" t="s">
        <v>60</v>
      </c>
      <c r="Q1422" s="536" t="s">
        <v>60</v>
      </c>
      <c r="R1422" s="1035">
        <v>1500000</v>
      </c>
      <c r="S1422" s="536" t="s">
        <v>75</v>
      </c>
      <c r="T1422" s="536" t="s">
        <v>310</v>
      </c>
      <c r="U1422" s="514" t="s">
        <v>60</v>
      </c>
      <c r="V1422" s="514"/>
      <c r="W1422" s="394" t="s">
        <v>70</v>
      </c>
      <c r="X1422" s="120"/>
      <c r="Y1422" s="120"/>
      <c r="Z1422" s="186"/>
      <c r="AA1422" s="120"/>
      <c r="AB1422" s="336"/>
      <c r="AC1422" s="186"/>
      <c r="AD1422" s="330"/>
      <c r="AE1422" s="330"/>
      <c r="AF1422"/>
    </row>
    <row r="1423" spans="1:32" s="906" customFormat="1" ht="143">
      <c r="A1423" s="749"/>
      <c r="B1423" s="1404" t="s">
        <v>56</v>
      </c>
      <c r="C1423" s="1406" t="s">
        <v>60</v>
      </c>
      <c r="D1423" s="1385" t="s">
        <v>847</v>
      </c>
      <c r="E1423" s="1385"/>
      <c r="F1423" s="1385"/>
      <c r="G1423" s="1385"/>
      <c r="H1423" s="854"/>
      <c r="I1423" s="1448" t="s">
        <v>308</v>
      </c>
      <c r="J1423" s="1977" t="s">
        <v>47</v>
      </c>
      <c r="K1423" s="1427" t="s">
        <v>4717</v>
      </c>
      <c r="L1423" s="1434">
        <v>44835</v>
      </c>
      <c r="M1423" s="1404" t="s">
        <v>4718</v>
      </c>
      <c r="N1423" s="703" t="s">
        <v>45</v>
      </c>
      <c r="O1423" s="1420"/>
      <c r="P1423" s="1362" t="s">
        <v>70</v>
      </c>
      <c r="Q1423" s="2046">
        <v>44866</v>
      </c>
      <c r="R1423" s="2057" t="s">
        <v>4719</v>
      </c>
      <c r="S1423" s="2070"/>
      <c r="T1423" s="1162"/>
      <c r="U1423" s="1346"/>
      <c r="V1423" s="2361"/>
      <c r="W1423" s="1377" t="s">
        <v>1278</v>
      </c>
      <c r="X1423" s="2107" t="s">
        <v>60</v>
      </c>
      <c r="Y1423" s="2107"/>
      <c r="Z1423" s="1346"/>
      <c r="AA1423" s="2117"/>
      <c r="AB1423" s="1346"/>
      <c r="AC1423" s="2138"/>
      <c r="AD1423" s="2155"/>
      <c r="AE1423" s="1346"/>
      <c r="AF1423" s="908"/>
    </row>
    <row r="1424" spans="1:32" s="906" customFormat="1" ht="72.5">
      <c r="A1424" s="2777"/>
      <c r="B1424" s="1656"/>
      <c r="C1424" s="473" t="s">
        <v>45</v>
      </c>
      <c r="D1424" s="1687" t="s">
        <v>32</v>
      </c>
      <c r="E1424" s="1687"/>
      <c r="F1424" s="1687"/>
      <c r="G1424" s="1687"/>
      <c r="H1424" s="58" t="s">
        <v>65</v>
      </c>
      <c r="I1424" s="283" t="s">
        <v>958</v>
      </c>
      <c r="J1424" s="273" t="s">
        <v>4381</v>
      </c>
      <c r="K1424" s="1719"/>
      <c r="L1424" s="283" t="e">
        <f>IF(OR(S1424=#REF!,S1424=#REF!,S1424=#REF!,S1424=#REF!,S1424=#REF!,S1424=#REF!,S1424=#REF!,S1424=#REF!),12,IF(OR(S1424=#REF!,S1424=#REF!,S1424=#REF!,S1424=#REF!,S1424=#REF!,S1424=#REF!,S1424=#REF!),3,IF(S1424=#REF!,1,IF(S1424=#REF!,18,IF(OR(S1424=#REF!,S1424=#REF!,S1424=#REF!,S1424=#REF!,S1424=#REF!),14,"Invalid proposed procurement method")))))</f>
        <v>#REF!</v>
      </c>
      <c r="M1424" s="2011" t="str">
        <f>IFERROR(EDATE($N1424,-3),"Invalid procurement method or date entered")</f>
        <v>Invalid procurement method or date entered</v>
      </c>
      <c r="N1424" s="284" t="str">
        <f>IFERROR(EDATE(O1424,-L1424),"Invalid procurement method or date entered")</f>
        <v>Invalid procurement method or date entered</v>
      </c>
      <c r="O1424" s="284" t="s">
        <v>45</v>
      </c>
      <c r="P1424" s="283">
        <v>120</v>
      </c>
      <c r="Q1424" s="283" t="s">
        <v>195</v>
      </c>
      <c r="R1424" s="286">
        <v>130000</v>
      </c>
      <c r="S1424" s="283" t="s">
        <v>45</v>
      </c>
      <c r="T1424" s="2079" t="s">
        <v>62</v>
      </c>
      <c r="U1424" s="2079" t="s">
        <v>67</v>
      </c>
      <c r="V1424" s="2362"/>
      <c r="W1424" s="283" t="s">
        <v>379</v>
      </c>
      <c r="X1424" s="5" t="s">
        <v>39</v>
      </c>
      <c r="Y1424" s="283" t="s">
        <v>40</v>
      </c>
      <c r="Z1424" s="283"/>
      <c r="AA1424" s="283" t="s">
        <v>70</v>
      </c>
      <c r="AB1424" s="284" t="s">
        <v>132</v>
      </c>
      <c r="AC1424" s="101" t="s">
        <v>4720</v>
      </c>
      <c r="AD1424" s="2153" t="s">
        <v>73</v>
      </c>
      <c r="AE1424" s="309"/>
      <c r="AF1424"/>
    </row>
    <row r="1425" spans="1:32" s="906" customFormat="1" ht="72.5">
      <c r="A1425" s="2777"/>
      <c r="B1425" s="336"/>
      <c r="C1425" s="4" t="s">
        <v>1102</v>
      </c>
      <c r="D1425" s="9" t="s">
        <v>32</v>
      </c>
      <c r="E1425" s="9"/>
      <c r="F1425" s="9"/>
      <c r="G1425" s="9"/>
      <c r="H1425" s="5" t="s">
        <v>33</v>
      </c>
      <c r="I1425" s="15" t="s">
        <v>268</v>
      </c>
      <c r="J1425" s="16" t="s">
        <v>1104</v>
      </c>
      <c r="K1425" s="16"/>
      <c r="L1425" s="5" t="e">
        <f>IF(OR(S1425=#REF!,S1425=#REF!,S1425=#REF!,S1425=#REF!,S1425=#REF!,S1425=#REF!,S1425=#REF!,S1425=#REF!),12,IF(OR(S1425=#REF!,S1425=#REF!,S1425=#REF!,S1425=#REF!,S1425=#REF!,S1425=#REF!,S1425=#REF!),3,IF(S1425=#REF!,1,IF(S1425=#REF!,18,IF(OR(S1425=#REF!,S1425=#REF!,S1425=#REF!,S1425=#REF!,S1425=#REF!),14,"Invalid proposed procurement method")))))</f>
        <v>#REF!</v>
      </c>
      <c r="M1425" s="199" t="str">
        <f>IFERROR(EDATE($N1425,-3),"Invalid procurement method or date entered")</f>
        <v>Invalid procurement method or date entered</v>
      </c>
      <c r="N1425" s="199" t="str">
        <f>IFERROR(EDATE(O1425,-L1425),"Invalid procurement method or date entered")</f>
        <v>Invalid procurement method or date entered</v>
      </c>
      <c r="O1425" s="49" t="s">
        <v>45</v>
      </c>
      <c r="P1425" s="12">
        <v>50</v>
      </c>
      <c r="Q1425" s="5" t="s">
        <v>3303</v>
      </c>
      <c r="R1425" s="209">
        <v>55000</v>
      </c>
      <c r="S1425" s="5" t="s">
        <v>270</v>
      </c>
      <c r="T1425" s="11" t="s">
        <v>38</v>
      </c>
      <c r="U1425" s="15" t="s">
        <v>67</v>
      </c>
      <c r="V1425" s="15"/>
      <c r="W1425" s="9" t="s">
        <v>4721</v>
      </c>
      <c r="X1425" s="5" t="s">
        <v>39</v>
      </c>
      <c r="Y1425" s="5" t="s">
        <v>40</v>
      </c>
      <c r="Z1425" s="26" t="s">
        <v>69</v>
      </c>
      <c r="AA1425" s="15"/>
      <c r="AB1425" s="199">
        <v>44344</v>
      </c>
      <c r="AC1425" s="108" t="s">
        <v>4722</v>
      </c>
      <c r="AD1425" s="283" t="s">
        <v>164</v>
      </c>
      <c r="AE1425" s="2910"/>
      <c r="AF1425"/>
    </row>
    <row r="1426" spans="1:32" s="906" customFormat="1" ht="72.5">
      <c r="A1426" s="2777"/>
      <c r="B1426" s="2775"/>
      <c r="C1426" s="473" t="s">
        <v>45</v>
      </c>
      <c r="D1426" s="1687" t="s">
        <v>32</v>
      </c>
      <c r="E1426" s="1687"/>
      <c r="F1426" s="1687"/>
      <c r="G1426" s="1687"/>
      <c r="H1426" s="58" t="s">
        <v>33</v>
      </c>
      <c r="I1426" s="283" t="s">
        <v>47</v>
      </c>
      <c r="J1426" s="2911" t="s">
        <v>4723</v>
      </c>
      <c r="K1426" s="2912"/>
      <c r="L1426" s="283">
        <v>3</v>
      </c>
      <c r="M1426" s="2011" t="str">
        <f>IFERROR(EDATE($N1426,-3),"Invalid procurement method or date entered")</f>
        <v>Invalid procurement method or date entered</v>
      </c>
      <c r="N1426" s="284" t="str">
        <f>IFERROR(EDATE(O1426,-L1426),"Invalid procurement method or date entered")</f>
        <v>Invalid procurement method or date entered</v>
      </c>
      <c r="O1426" s="2913" t="s">
        <v>4724</v>
      </c>
      <c r="P1426" s="2914">
        <v>12</v>
      </c>
      <c r="Q1426" s="2914">
        <v>12</v>
      </c>
      <c r="R1426" s="2915">
        <v>2016</v>
      </c>
      <c r="S1426" s="2916" t="s">
        <v>37</v>
      </c>
      <c r="T1426" s="2914" t="s">
        <v>1568</v>
      </c>
      <c r="U1426" s="2914" t="s">
        <v>67</v>
      </c>
      <c r="V1426" s="2917"/>
      <c r="W1426" s="283" t="s">
        <v>383</v>
      </c>
      <c r="X1426" s="2763" t="s">
        <v>289</v>
      </c>
      <c r="Y1426" s="2914" t="s">
        <v>115</v>
      </c>
      <c r="Z1426" s="283" t="s">
        <v>154</v>
      </c>
      <c r="AA1426" s="283" t="s">
        <v>38</v>
      </c>
      <c r="AB1426" s="284" t="s">
        <v>271</v>
      </c>
      <c r="AC1426" s="2900" t="s">
        <v>3827</v>
      </c>
      <c r="AD1426" s="2149" t="s">
        <v>385</v>
      </c>
      <c r="AE1426" s="286"/>
      <c r="AF1426"/>
    </row>
    <row r="1427" spans="1:32" s="906" customFormat="1" ht="72.5">
      <c r="A1427" s="2777"/>
      <c r="B1427" s="2918"/>
      <c r="C1427" s="218" t="s">
        <v>654</v>
      </c>
      <c r="D1427" s="1964" t="s">
        <v>32</v>
      </c>
      <c r="E1427" s="1964"/>
      <c r="F1427" s="1964"/>
      <c r="G1427" s="1964"/>
      <c r="H1427" s="92" t="s">
        <v>862</v>
      </c>
      <c r="I1427" s="92" t="s">
        <v>270</v>
      </c>
      <c r="J1427" s="103" t="s">
        <v>655</v>
      </c>
      <c r="K1427" s="89"/>
      <c r="L1427" s="92" t="e">
        <f>IF(OR(S1427=#REF!,S1427=#REF!,S1427=#REF!,S1427=#REF!,S1427=#REF!,S1427=#REF!,S1427=#REF!,S1427=#REF!),12,IF(OR(S1427=#REF!,S1427=#REF!,S1427=#REF!,S1427=#REF!,S1427=#REF!,S1427=#REF!,S1427=#REF!),3,IF(S1427=#REF!,1,IF(S1427=#REF!,18,IF(OR(S1427=#REF!,S1427=#REF!,S1427=#REF!,S1427=#REF!,S1427=#REF!),14,"Invalid proposed procurement method")))))</f>
        <v>#REF!</v>
      </c>
      <c r="M1427" s="220" t="str">
        <f>IFERROR(EDATE($N1427,-3),"Invalid procurement method or date entered")</f>
        <v>Invalid procurement method or date entered</v>
      </c>
      <c r="N1427" s="220" t="str">
        <f>IFERROR(EDATE(O1427,-L1427),"Invalid procurement method or date entered")</f>
        <v>Invalid procurement method or date entered</v>
      </c>
      <c r="O1427" s="220" t="s">
        <v>45</v>
      </c>
      <c r="P1427" s="105" t="s">
        <v>45</v>
      </c>
      <c r="Q1427" s="1789" t="s">
        <v>45</v>
      </c>
      <c r="R1427" s="1830" t="s">
        <v>45</v>
      </c>
      <c r="S1427" s="92" t="s">
        <v>270</v>
      </c>
      <c r="T1427" s="244" t="s">
        <v>38</v>
      </c>
      <c r="U1427" s="91" t="s">
        <v>67</v>
      </c>
      <c r="V1427" s="91"/>
      <c r="W1427" s="92" t="s">
        <v>658</v>
      </c>
      <c r="X1427" s="92" t="s">
        <v>283</v>
      </c>
      <c r="Y1427" s="92" t="s">
        <v>40</v>
      </c>
      <c r="Z1427" s="92" t="s">
        <v>69</v>
      </c>
      <c r="AA1427" s="92" t="s">
        <v>38</v>
      </c>
      <c r="AB1427" s="220" t="s">
        <v>143</v>
      </c>
      <c r="AC1427" s="1920" t="s">
        <v>4725</v>
      </c>
      <c r="AD1427" s="1789" t="s">
        <v>285</v>
      </c>
      <c r="AE1427" s="1944"/>
      <c r="AF1427"/>
    </row>
    <row r="1428" spans="1:32" s="908" customFormat="1" ht="101.5">
      <c r="A1428" s="248"/>
      <c r="B1428" s="962" t="s">
        <v>44</v>
      </c>
      <c r="C1428" s="4" t="s">
        <v>4726</v>
      </c>
      <c r="D1428" s="32" t="s">
        <v>32</v>
      </c>
      <c r="E1428" s="32"/>
      <c r="F1428" s="32"/>
      <c r="G1428" s="32"/>
      <c r="H1428" s="31" t="s">
        <v>46</v>
      </c>
      <c r="I1428" s="5" t="s">
        <v>4727</v>
      </c>
      <c r="J1428" s="16" t="s">
        <v>4728</v>
      </c>
      <c r="K1428" s="16"/>
      <c r="L1428" s="16"/>
      <c r="M1428" s="14" t="s">
        <v>45</v>
      </c>
      <c r="N1428" s="14"/>
      <c r="O1428" s="14" t="s">
        <v>45</v>
      </c>
      <c r="P1428" s="5" t="s">
        <v>45</v>
      </c>
      <c r="Q1428" s="25" t="s">
        <v>45</v>
      </c>
      <c r="R1428" s="286"/>
      <c r="S1428" s="31" t="s">
        <v>4729</v>
      </c>
      <c r="T1428" s="2076" t="s">
        <v>38</v>
      </c>
      <c r="U1428" s="174"/>
      <c r="V1428" s="174"/>
      <c r="W1428" s="5" t="s">
        <v>94</v>
      </c>
      <c r="X1428" s="9" t="s">
        <v>39</v>
      </c>
      <c r="Y1428" s="5" t="s">
        <v>40</v>
      </c>
      <c r="Z1428" s="5"/>
      <c r="AA1428" s="5"/>
      <c r="AB1428" s="199"/>
      <c r="AC1428" s="8" t="s">
        <v>4730</v>
      </c>
      <c r="AD1428" s="186"/>
      <c r="AE1428" s="309"/>
      <c r="AF1428"/>
    </row>
    <row r="1429" spans="1:32" s="906" customFormat="1" ht="58">
      <c r="A1429" s="1200"/>
      <c r="B1429" s="962" t="s">
        <v>44</v>
      </c>
      <c r="C1429" s="4"/>
      <c r="D1429" s="118" t="s">
        <v>57</v>
      </c>
      <c r="E1429" s="118"/>
      <c r="F1429" s="118"/>
      <c r="G1429" s="118"/>
      <c r="H1429" s="31" t="s">
        <v>1619</v>
      </c>
      <c r="I1429" s="5" t="s">
        <v>47</v>
      </c>
      <c r="J1429" s="16" t="s">
        <v>2321</v>
      </c>
      <c r="K1429" s="16"/>
      <c r="L1429" s="16"/>
      <c r="M1429" s="182" t="s">
        <v>45</v>
      </c>
      <c r="N1429" s="182"/>
      <c r="O1429" s="182" t="s">
        <v>45</v>
      </c>
      <c r="P1429" s="12" t="s">
        <v>45</v>
      </c>
      <c r="Q1429" s="25" t="s">
        <v>45</v>
      </c>
      <c r="R1429" s="286" t="s">
        <v>45</v>
      </c>
      <c r="S1429" s="31" t="s">
        <v>270</v>
      </c>
      <c r="T1429" s="31" t="s">
        <v>38</v>
      </c>
      <c r="U1429" s="174"/>
      <c r="V1429" s="174"/>
      <c r="W1429" s="5" t="s">
        <v>4731</v>
      </c>
      <c r="X1429" s="46" t="s">
        <v>45</v>
      </c>
      <c r="Y1429" s="5" t="s">
        <v>727</v>
      </c>
      <c r="Z1429" s="5"/>
      <c r="AA1429" s="5"/>
      <c r="AB1429" s="199">
        <v>43739</v>
      </c>
      <c r="AC1429" s="8" t="s">
        <v>4732</v>
      </c>
      <c r="AD1429" s="2148"/>
      <c r="AE1429" s="351"/>
      <c r="AF1429"/>
    </row>
    <row r="1430" spans="1:32" s="906" customFormat="1" ht="62.5">
      <c r="A1430" s="1199"/>
      <c r="B1430" s="960" t="s">
        <v>56</v>
      </c>
      <c r="C1430" s="511" t="s">
        <v>60</v>
      </c>
      <c r="D1430" s="611" t="s">
        <v>57</v>
      </c>
      <c r="E1430" s="611"/>
      <c r="F1430" s="611"/>
      <c r="G1430" s="611"/>
      <c r="H1430" s="611" t="s">
        <v>58</v>
      </c>
      <c r="I1430" s="519" t="s">
        <v>47</v>
      </c>
      <c r="J1430" s="606" t="s">
        <v>4733</v>
      </c>
      <c r="K1430" s="990"/>
      <c r="L1430" s="511">
        <v>3</v>
      </c>
      <c r="M1430" s="513" t="s">
        <v>60</v>
      </c>
      <c r="N1430" s="514" t="str">
        <f t="shared" ref="N1430:N1437" si="33">IF(O1430="tbc","",(IFERROR(EDATE(O1430,-L1430),"Invalid procurement method or date entered")))</f>
        <v/>
      </c>
      <c r="O1430" s="515" t="s">
        <v>60</v>
      </c>
      <c r="P1430" s="516">
        <v>3</v>
      </c>
      <c r="Q1430" s="1009">
        <v>3</v>
      </c>
      <c r="R1430" s="685">
        <v>147000</v>
      </c>
      <c r="S1430" s="1044" t="s">
        <v>61</v>
      </c>
      <c r="T1430" s="1044" t="s">
        <v>62</v>
      </c>
      <c r="U1430" s="520" t="s">
        <v>115</v>
      </c>
      <c r="V1430" s="520"/>
      <c r="W1430" s="521" t="s">
        <v>70</v>
      </c>
      <c r="X1430" s="120"/>
      <c r="Y1430" s="120"/>
      <c r="Z1430" s="120"/>
      <c r="AA1430" s="120"/>
      <c r="AB1430" s="120"/>
      <c r="AC1430" s="186"/>
      <c r="AD1430" s="186"/>
      <c r="AE1430" s="330"/>
      <c r="AF1430"/>
    </row>
    <row r="1431" spans="1:32" ht="50">
      <c r="A1431" s="1199"/>
      <c r="B1431" s="958" t="s">
        <v>56</v>
      </c>
      <c r="C1431" s="510" t="s">
        <v>60</v>
      </c>
      <c r="D1431" s="511" t="s">
        <v>348</v>
      </c>
      <c r="E1431" s="511"/>
      <c r="F1431" s="511"/>
      <c r="G1431" s="511"/>
      <c r="H1431" s="511" t="s">
        <v>58</v>
      </c>
      <c r="I1431" s="679" t="s">
        <v>47</v>
      </c>
      <c r="J1431" s="1580" t="s">
        <v>4734</v>
      </c>
      <c r="K1431" s="600"/>
      <c r="L1431" s="619">
        <v>3</v>
      </c>
      <c r="M1431" s="2015" t="s">
        <v>60</v>
      </c>
      <c r="N1431" s="1753" t="str">
        <f t="shared" si="33"/>
        <v/>
      </c>
      <c r="O1431" s="2028" t="s">
        <v>60</v>
      </c>
      <c r="P1431" s="2034">
        <v>1</v>
      </c>
      <c r="Q1431" s="2034">
        <v>1</v>
      </c>
      <c r="R1431" s="2058">
        <v>62400</v>
      </c>
      <c r="S1431" s="661" t="s">
        <v>61</v>
      </c>
      <c r="T1431" s="661" t="s">
        <v>71</v>
      </c>
      <c r="U1431" s="644" t="s">
        <v>594</v>
      </c>
      <c r="V1431" s="644"/>
      <c r="W1431" s="521" t="s">
        <v>70</v>
      </c>
      <c r="X1431" s="120"/>
      <c r="Y1431" s="120"/>
      <c r="Z1431" s="120"/>
      <c r="AA1431" s="186"/>
      <c r="AB1431" s="120"/>
      <c r="AC1431" s="120"/>
      <c r="AD1431" s="1913"/>
      <c r="AE1431" s="330"/>
    </row>
    <row r="1432" spans="1:32" s="906" customFormat="1" ht="112.5">
      <c r="A1432" s="1199"/>
      <c r="B1432" s="1658" t="s">
        <v>56</v>
      </c>
      <c r="C1432" s="1666" t="s">
        <v>60</v>
      </c>
      <c r="D1432" s="1665" t="s">
        <v>348</v>
      </c>
      <c r="E1432" s="1665"/>
      <c r="F1432" s="1665"/>
      <c r="G1432" s="1665"/>
      <c r="H1432" s="1665" t="s">
        <v>58</v>
      </c>
      <c r="I1432" s="620" t="s">
        <v>47</v>
      </c>
      <c r="J1432" s="1980" t="s">
        <v>4735</v>
      </c>
      <c r="K1432" s="1996"/>
      <c r="L1432" s="680">
        <v>3</v>
      </c>
      <c r="M1432" s="2013" t="s">
        <v>60</v>
      </c>
      <c r="N1432" s="682" t="str">
        <f t="shared" si="33"/>
        <v/>
      </c>
      <c r="O1432" s="683" t="s">
        <v>60</v>
      </c>
      <c r="P1432" s="684">
        <v>1</v>
      </c>
      <c r="Q1432" s="684">
        <v>1</v>
      </c>
      <c r="R1432" s="685">
        <f>22444+178223+96728+150284+48856+329561+41430</f>
        <v>867526</v>
      </c>
      <c r="S1432" s="686" t="s">
        <v>61</v>
      </c>
      <c r="T1432" s="686" t="s">
        <v>71</v>
      </c>
      <c r="U1432" s="687" t="s">
        <v>594</v>
      </c>
      <c r="V1432" s="687"/>
      <c r="W1432" s="688" t="s">
        <v>70</v>
      </c>
      <c r="X1432" s="1853"/>
      <c r="Y1432" s="330"/>
      <c r="Z1432" s="330"/>
      <c r="AA1432" s="330"/>
      <c r="AB1432" s="330"/>
      <c r="AC1432" s="330"/>
      <c r="AD1432" s="330"/>
      <c r="AE1432"/>
      <c r="AF1432" s="330"/>
    </row>
    <row r="1433" spans="1:32" s="906" customFormat="1" ht="37.5">
      <c r="A1433" s="1199"/>
      <c r="B1433" s="1658" t="s">
        <v>56</v>
      </c>
      <c r="C1433" s="1666" t="s">
        <v>60</v>
      </c>
      <c r="D1433" s="1665" t="s">
        <v>57</v>
      </c>
      <c r="E1433" s="1665"/>
      <c r="F1433" s="1665"/>
      <c r="G1433" s="1665"/>
      <c r="H1433" s="1665" t="s">
        <v>58</v>
      </c>
      <c r="I1433" s="524" t="s">
        <v>47</v>
      </c>
      <c r="J1433" s="1708" t="s">
        <v>4736</v>
      </c>
      <c r="K1433" s="983"/>
      <c r="L1433" s="680">
        <v>3</v>
      </c>
      <c r="M1433" s="2013" t="s">
        <v>60</v>
      </c>
      <c r="N1433" s="682" t="str">
        <f t="shared" si="33"/>
        <v/>
      </c>
      <c r="O1433" s="686" t="s">
        <v>60</v>
      </c>
      <c r="P1433" s="1012" t="s">
        <v>60</v>
      </c>
      <c r="Q1433" s="1012" t="s">
        <v>60</v>
      </c>
      <c r="R1433" s="685">
        <v>150000</v>
      </c>
      <c r="S1433" s="686" t="s">
        <v>51</v>
      </c>
      <c r="T1433" s="686" t="s">
        <v>62</v>
      </c>
      <c r="U1433" s="687" t="s">
        <v>115</v>
      </c>
      <c r="V1433" s="687"/>
      <c r="W1433" s="688" t="s">
        <v>70</v>
      </c>
      <c r="X1433" s="1853"/>
      <c r="Y1433" s="1875"/>
      <c r="Z1433" s="330"/>
      <c r="AA1433" s="330"/>
      <c r="AB1433" s="330"/>
      <c r="AC1433" s="330"/>
      <c r="AD1433" s="1875"/>
      <c r="AE1433" s="330"/>
      <c r="AF1433" s="330"/>
    </row>
    <row r="1434" spans="1:32" s="906" customFormat="1" ht="50">
      <c r="A1434" s="1199"/>
      <c r="B1434" s="960" t="s">
        <v>56</v>
      </c>
      <c r="C1434" s="511" t="s">
        <v>60</v>
      </c>
      <c r="D1434" s="611" t="s">
        <v>348</v>
      </c>
      <c r="E1434" s="1665"/>
      <c r="F1434" s="1665"/>
      <c r="G1434" s="1665"/>
      <c r="H1434" s="1665" t="s">
        <v>58</v>
      </c>
      <c r="I1434" s="519" t="s">
        <v>47</v>
      </c>
      <c r="J1434" s="606" t="s">
        <v>4737</v>
      </c>
      <c r="K1434" s="990"/>
      <c r="L1434" s="511">
        <v>1</v>
      </c>
      <c r="M1434" s="513" t="s">
        <v>60</v>
      </c>
      <c r="N1434" s="514" t="str">
        <f t="shared" si="33"/>
        <v/>
      </c>
      <c r="O1434" s="514" t="s">
        <v>60</v>
      </c>
      <c r="P1434" s="536">
        <v>2</v>
      </c>
      <c r="Q1434" s="536">
        <v>2</v>
      </c>
      <c r="R1434" s="2063">
        <v>150000</v>
      </c>
      <c r="S1434" s="686" t="s">
        <v>61</v>
      </c>
      <c r="T1434" s="1044" t="s">
        <v>62</v>
      </c>
      <c r="U1434" s="2094" t="s">
        <v>115</v>
      </c>
      <c r="V1434" s="2094"/>
      <c r="W1434" s="521" t="s">
        <v>70</v>
      </c>
      <c r="X1434" s="120"/>
      <c r="Y1434" s="186"/>
      <c r="Z1434" s="1083"/>
      <c r="AA1434" s="336"/>
      <c r="AB1434" s="120"/>
      <c r="AC1434" s="186"/>
      <c r="AD1434" s="120"/>
      <c r="AE1434" s="186"/>
      <c r="AF1434" s="1345"/>
    </row>
    <row r="1435" spans="1:32" s="906" customFormat="1" ht="37.5">
      <c r="A1435" s="1199"/>
      <c r="B1435" s="1658" t="s">
        <v>56</v>
      </c>
      <c r="C1435" s="1666" t="s">
        <v>60</v>
      </c>
      <c r="D1435" s="1665" t="s">
        <v>348</v>
      </c>
      <c r="E1435" s="1665"/>
      <c r="F1435" s="1665"/>
      <c r="G1435" s="1665"/>
      <c r="H1435" s="1665" t="s">
        <v>58</v>
      </c>
      <c r="I1435" s="526" t="s">
        <v>47</v>
      </c>
      <c r="J1435" s="1980" t="s">
        <v>4738</v>
      </c>
      <c r="K1435" s="2006"/>
      <c r="L1435" s="680">
        <v>1</v>
      </c>
      <c r="M1435" s="2013" t="s">
        <v>60</v>
      </c>
      <c r="N1435" s="682" t="str">
        <f t="shared" si="33"/>
        <v/>
      </c>
      <c r="O1435" s="683" t="s">
        <v>60</v>
      </c>
      <c r="P1435" s="1023" t="s">
        <v>60</v>
      </c>
      <c r="Q1435" s="1023" t="s">
        <v>60</v>
      </c>
      <c r="R1435" s="685" t="s">
        <v>60</v>
      </c>
      <c r="S1435" s="686" t="s">
        <v>176</v>
      </c>
      <c r="T1435" s="686" t="s">
        <v>62</v>
      </c>
      <c r="U1435" s="687" t="s">
        <v>115</v>
      </c>
      <c r="V1435" s="687"/>
      <c r="W1435" s="688" t="s">
        <v>70</v>
      </c>
      <c r="X1435" s="120"/>
      <c r="Y1435" s="330"/>
      <c r="Z1435" s="330"/>
      <c r="AA1435" s="330"/>
      <c r="AB1435" s="330"/>
      <c r="AC1435" s="330"/>
      <c r="AD1435" s="1895"/>
      <c r="AE1435" s="330"/>
      <c r="AF1435" s="1345"/>
    </row>
    <row r="1436" spans="1:32" s="907" customFormat="1" ht="37.5">
      <c r="A1436" s="1199"/>
      <c r="B1436" s="960" t="s">
        <v>56</v>
      </c>
      <c r="C1436" s="510" t="s">
        <v>60</v>
      </c>
      <c r="D1436" s="611" t="s">
        <v>57</v>
      </c>
      <c r="E1436" s="680"/>
      <c r="F1436" s="1665"/>
      <c r="G1436" s="1665"/>
      <c r="H1436" s="511" t="s">
        <v>58</v>
      </c>
      <c r="I1436" s="519" t="s">
        <v>47</v>
      </c>
      <c r="J1436" s="606" t="s">
        <v>4739</v>
      </c>
      <c r="K1436" s="992"/>
      <c r="L1436" s="511">
        <v>14</v>
      </c>
      <c r="M1436" s="513" t="s">
        <v>60</v>
      </c>
      <c r="N1436" s="514" t="str">
        <f t="shared" si="33"/>
        <v/>
      </c>
      <c r="O1436" s="514" t="s">
        <v>60</v>
      </c>
      <c r="P1436" s="1013" t="s">
        <v>60</v>
      </c>
      <c r="Q1436" s="1023" t="s">
        <v>60</v>
      </c>
      <c r="R1436" s="1035">
        <v>400000</v>
      </c>
      <c r="S1436" s="1048" t="s">
        <v>60</v>
      </c>
      <c r="T1436" s="536" t="s">
        <v>62</v>
      </c>
      <c r="U1436" s="520" t="s">
        <v>115</v>
      </c>
      <c r="V1436" s="520"/>
      <c r="W1436" s="521" t="s">
        <v>70</v>
      </c>
      <c r="X1436" s="120"/>
      <c r="Y1436" s="120"/>
      <c r="Z1436" s="120"/>
      <c r="AA1436" s="120"/>
      <c r="AB1436" s="1895"/>
      <c r="AC1436" s="186"/>
      <c r="AD1436" s="330"/>
      <c r="AE1436" s="330"/>
      <c r="AF1436"/>
    </row>
    <row r="1437" spans="1:32" s="906" customFormat="1" ht="125">
      <c r="A1437" s="1199"/>
      <c r="B1437" s="960" t="s">
        <v>56</v>
      </c>
      <c r="C1437" s="510" t="s">
        <v>60</v>
      </c>
      <c r="D1437" s="611" t="s">
        <v>348</v>
      </c>
      <c r="E1437" s="680"/>
      <c r="F1437" s="1665"/>
      <c r="G1437" s="1665"/>
      <c r="H1437" s="511" t="s">
        <v>58</v>
      </c>
      <c r="I1437" s="510" t="s">
        <v>47</v>
      </c>
      <c r="J1437" s="1580" t="s">
        <v>4740</v>
      </c>
      <c r="K1437" s="600"/>
      <c r="L1437" s="511">
        <v>3</v>
      </c>
      <c r="M1437" s="513" t="s">
        <v>60</v>
      </c>
      <c r="N1437" s="514" t="str">
        <f t="shared" si="33"/>
        <v/>
      </c>
      <c r="O1437" s="534" t="s">
        <v>60</v>
      </c>
      <c r="P1437" s="1011">
        <v>1</v>
      </c>
      <c r="Q1437" s="684">
        <v>1</v>
      </c>
      <c r="R1437" s="1034">
        <f>20000+20000+15000+50000+80000</f>
        <v>185000</v>
      </c>
      <c r="S1437" s="1044" t="s">
        <v>61</v>
      </c>
      <c r="T1437" s="515" t="s">
        <v>71</v>
      </c>
      <c r="U1437" s="520" t="s">
        <v>594</v>
      </c>
      <c r="V1437" s="520"/>
      <c r="W1437" s="521" t="s">
        <v>70</v>
      </c>
      <c r="X1437" s="120"/>
      <c r="Y1437" s="120"/>
      <c r="Z1437" s="120"/>
      <c r="AA1437" s="120"/>
      <c r="AB1437" s="120"/>
      <c r="AC1437" s="186"/>
      <c r="AD1437" s="330"/>
      <c r="AE1437" s="330"/>
      <c r="AF1437"/>
    </row>
    <row r="1438" spans="1:32" s="906" customFormat="1" ht="50">
      <c r="A1438" s="1199"/>
      <c r="B1438" s="960" t="s">
        <v>56</v>
      </c>
      <c r="C1438" s="510" t="s">
        <v>60</v>
      </c>
      <c r="D1438" s="611" t="s">
        <v>122</v>
      </c>
      <c r="E1438" s="680"/>
      <c r="F1438" s="611"/>
      <c r="G1438" s="611"/>
      <c r="H1438" s="511" t="s">
        <v>308</v>
      </c>
      <c r="I1438" s="510" t="s">
        <v>47</v>
      </c>
      <c r="J1438" s="1611" t="s">
        <v>4741</v>
      </c>
      <c r="K1438" s="990"/>
      <c r="L1438" s="511">
        <v>12</v>
      </c>
      <c r="M1438" s="513" t="s">
        <v>45</v>
      </c>
      <c r="N1438" s="514" t="s">
        <v>45</v>
      </c>
      <c r="O1438" s="534" t="s">
        <v>45</v>
      </c>
      <c r="P1438" s="1011">
        <v>3</v>
      </c>
      <c r="Q1438" s="684">
        <v>3</v>
      </c>
      <c r="R1438" s="1034">
        <v>331727</v>
      </c>
      <c r="S1438" s="1044" t="s">
        <v>75</v>
      </c>
      <c r="T1438" s="515" t="s">
        <v>62</v>
      </c>
      <c r="U1438" s="520" t="s">
        <v>115</v>
      </c>
      <c r="V1438" s="520"/>
      <c r="W1438" s="521" t="s">
        <v>70</v>
      </c>
      <c r="X1438" s="120"/>
      <c r="Y1438" s="120"/>
      <c r="Z1438" s="120"/>
      <c r="AA1438" s="120"/>
      <c r="AB1438" s="120"/>
      <c r="AC1438" s="186"/>
      <c r="AD1438" s="330"/>
      <c r="AE1438" s="330"/>
    </row>
    <row r="1439" spans="1:32" s="906" customFormat="1" ht="52">
      <c r="A1439" s="749"/>
      <c r="B1439" s="725" t="s">
        <v>56</v>
      </c>
      <c r="C1439" s="726" t="s">
        <v>60</v>
      </c>
      <c r="D1439" s="727" t="s">
        <v>348</v>
      </c>
      <c r="E1439" s="794"/>
      <c r="F1439" s="1385"/>
      <c r="G1439" s="1385"/>
      <c r="H1439" s="728" t="s">
        <v>58</v>
      </c>
      <c r="I1439" s="729" t="s">
        <v>47</v>
      </c>
      <c r="J1439" s="1604" t="s">
        <v>4742</v>
      </c>
      <c r="K1439" s="729"/>
      <c r="L1439" s="730">
        <v>3</v>
      </c>
      <c r="M1439" s="731" t="s">
        <v>60</v>
      </c>
      <c r="N1439" s="712" t="str">
        <f>IF(O1439="tbc","",(IFERROR(EDATE(O1439,-L1439),"Invalid procurement method or date entered")))</f>
        <v/>
      </c>
      <c r="O1439" s="759" t="s">
        <v>60</v>
      </c>
      <c r="P1439" s="760">
        <v>1</v>
      </c>
      <c r="Q1439" s="1469">
        <v>1</v>
      </c>
      <c r="R1439" s="742">
        <v>244000</v>
      </c>
      <c r="S1439" s="1354" t="s">
        <v>61</v>
      </c>
      <c r="T1439" s="788" t="s">
        <v>71</v>
      </c>
      <c r="U1439" s="711" t="s">
        <v>589</v>
      </c>
      <c r="V1439" s="711"/>
      <c r="W1439" s="729" t="s">
        <v>4743</v>
      </c>
      <c r="X1439" s="730" t="s">
        <v>45</v>
      </c>
      <c r="Y1439" s="762" t="s">
        <v>594</v>
      </c>
      <c r="Z1439" s="736" t="s">
        <v>154</v>
      </c>
      <c r="AA1439" s="695" t="s">
        <v>70</v>
      </c>
      <c r="AB1439" s="764">
        <v>44670</v>
      </c>
      <c r="AC1439" s="1278" t="s">
        <v>4744</v>
      </c>
      <c r="AD1439" s="924"/>
      <c r="AE1439" s="924"/>
    </row>
    <row r="1440" spans="1:32" s="906" customFormat="1" ht="195">
      <c r="A1440" s="951"/>
      <c r="B1440" s="861" t="s">
        <v>56</v>
      </c>
      <c r="C1440" s="862" t="s">
        <v>60</v>
      </c>
      <c r="D1440" s="863" t="s">
        <v>348</v>
      </c>
      <c r="E1440" s="1202"/>
      <c r="F1440" s="1679"/>
      <c r="G1440" s="1679"/>
      <c r="H1440" s="866" t="s">
        <v>58</v>
      </c>
      <c r="I1440" s="862" t="s">
        <v>47</v>
      </c>
      <c r="J1440" s="1619" t="s">
        <v>4745</v>
      </c>
      <c r="K1440" s="862"/>
      <c r="L1440" s="866">
        <v>3</v>
      </c>
      <c r="M1440" s="867" t="s">
        <v>60</v>
      </c>
      <c r="N1440" s="868" t="str">
        <f>IF(O1440="tbc","",(IFERROR(EDATE(O1440,-L1440),"Invalid procurement method or date entered")))</f>
        <v/>
      </c>
      <c r="O1440" s="869" t="s">
        <v>60</v>
      </c>
      <c r="P1440" s="870">
        <v>1</v>
      </c>
      <c r="Q1440" s="871">
        <v>1</v>
      </c>
      <c r="R1440" s="949" t="s">
        <v>60</v>
      </c>
      <c r="S1440" s="953" t="s">
        <v>158</v>
      </c>
      <c r="T1440" s="872" t="s">
        <v>71</v>
      </c>
      <c r="U1440" s="872" t="s">
        <v>589</v>
      </c>
      <c r="V1440" s="872"/>
      <c r="W1440" s="862" t="s">
        <v>798</v>
      </c>
      <c r="X1440" s="866" t="s">
        <v>351</v>
      </c>
      <c r="Y1440" s="873" t="s">
        <v>594</v>
      </c>
      <c r="Z1440" s="873" t="s">
        <v>69</v>
      </c>
      <c r="AA1440" s="875" t="s">
        <v>70</v>
      </c>
      <c r="AB1440" s="2126">
        <v>44903</v>
      </c>
      <c r="AC1440" s="1306" t="s">
        <v>4746</v>
      </c>
      <c r="AD1440" s="1201"/>
      <c r="AE1440" s="1201"/>
    </row>
    <row r="1441" spans="1:32" s="1646" customFormat="1" ht="37.5">
      <c r="A1441" s="1199"/>
      <c r="B1441" s="1658" t="s">
        <v>56</v>
      </c>
      <c r="C1441" s="1666"/>
      <c r="D1441" s="1665" t="s">
        <v>57</v>
      </c>
      <c r="E1441" s="680"/>
      <c r="F1441" s="1665"/>
      <c r="G1441" s="1665"/>
      <c r="H1441" s="526" t="s">
        <v>58</v>
      </c>
      <c r="I1441" s="985" t="s">
        <v>47</v>
      </c>
      <c r="J1441" s="1582" t="s">
        <v>3499</v>
      </c>
      <c r="K1441" s="1720"/>
      <c r="L1441" s="1734" t="s">
        <v>1551</v>
      </c>
      <c r="M1441" s="1744"/>
      <c r="N1441" s="1734"/>
      <c r="O1441" s="1734" t="s">
        <v>4747</v>
      </c>
      <c r="P1441" s="1012" t="s">
        <v>4748</v>
      </c>
      <c r="Q1441" s="1012"/>
      <c r="R1441" s="1033">
        <v>2772000</v>
      </c>
      <c r="S1441" s="1050" t="s">
        <v>60</v>
      </c>
      <c r="T1441" s="686" t="s">
        <v>38</v>
      </c>
      <c r="U1441" s="686"/>
      <c r="V1441" s="2363"/>
      <c r="W1441" s="680" t="s">
        <v>4749</v>
      </c>
      <c r="X1441" s="330"/>
      <c r="Y1441" s="330"/>
      <c r="Z1441" s="330"/>
      <c r="AA1441" s="1875"/>
      <c r="AB1441" s="330"/>
      <c r="AC1441" s="330"/>
      <c r="AD1441" s="1741"/>
      <c r="AE1441" s="330"/>
      <c r="AF1441"/>
    </row>
    <row r="1442" spans="1:32" s="1646" customFormat="1" ht="65">
      <c r="A1442" s="1649"/>
      <c r="B1442" s="1496" t="s">
        <v>56</v>
      </c>
      <c r="C1442" s="1669" t="s">
        <v>4750</v>
      </c>
      <c r="D1442" s="1683" t="s">
        <v>32</v>
      </c>
      <c r="E1442" s="1683"/>
      <c r="F1442" s="1683"/>
      <c r="G1442" s="1683"/>
      <c r="H1442" s="1683" t="s">
        <v>308</v>
      </c>
      <c r="I1442" s="1513" t="s">
        <v>47</v>
      </c>
      <c r="J1442" s="1707" t="s">
        <v>4751</v>
      </c>
      <c r="K1442" s="2004"/>
      <c r="L1442" s="1007" t="s">
        <v>4752</v>
      </c>
      <c r="M1442" s="1737"/>
      <c r="N1442" s="1737"/>
      <c r="O1442" s="1737" t="s">
        <v>4753</v>
      </c>
      <c r="P1442" s="1765">
        <v>1</v>
      </c>
      <c r="Q1442" s="1765">
        <v>1</v>
      </c>
      <c r="R1442" s="1821">
        <v>30000</v>
      </c>
      <c r="S1442" s="1835" t="s">
        <v>1803</v>
      </c>
      <c r="T1442" s="1847" t="s">
        <v>38</v>
      </c>
      <c r="U1442" s="1847"/>
      <c r="V1442" s="1847"/>
      <c r="W1442" s="1858" t="s">
        <v>1877</v>
      </c>
      <c r="X1442" s="1865"/>
      <c r="Y1442" s="1865"/>
      <c r="Z1442" s="1865"/>
      <c r="AA1442" s="1865"/>
      <c r="AB1442" s="1865"/>
      <c r="AC1442" s="1865"/>
      <c r="AD1442" s="1865"/>
      <c r="AE1442" s="1865"/>
      <c r="AF1442"/>
    </row>
    <row r="1443" spans="1:32" s="906" customFormat="1" ht="65">
      <c r="A1443" s="1199"/>
      <c r="B1443" s="958" t="s">
        <v>56</v>
      </c>
      <c r="C1443" s="577" t="s">
        <v>4754</v>
      </c>
      <c r="D1443" s="578" t="s">
        <v>32</v>
      </c>
      <c r="E1443" s="976"/>
      <c r="F1443" s="1683"/>
      <c r="G1443" s="1683"/>
      <c r="H1443" s="578" t="s">
        <v>308</v>
      </c>
      <c r="I1443" s="579" t="s">
        <v>47</v>
      </c>
      <c r="J1443" s="1577" t="s">
        <v>4755</v>
      </c>
      <c r="K1443" s="579"/>
      <c r="L1443" s="580">
        <v>43084</v>
      </c>
      <c r="M1443" s="580"/>
      <c r="N1443" s="580"/>
      <c r="O1443" s="580" t="s">
        <v>4756</v>
      </c>
      <c r="P1443" s="581">
        <v>1</v>
      </c>
      <c r="Q1443" s="581">
        <v>1</v>
      </c>
      <c r="R1443" s="1029">
        <v>105000</v>
      </c>
      <c r="S1443" s="583" t="s">
        <v>1803</v>
      </c>
      <c r="T1443" s="584" t="s">
        <v>38</v>
      </c>
      <c r="U1443" s="584"/>
      <c r="V1443" s="584"/>
      <c r="W1443" s="585" t="s">
        <v>1886</v>
      </c>
      <c r="X1443" s="120"/>
      <c r="Y1443" s="120"/>
      <c r="Z1443" s="186"/>
      <c r="AA1443" s="120"/>
      <c r="AB1443" s="120"/>
      <c r="AC1443" s="186"/>
      <c r="AD1443" s="330"/>
      <c r="AE1443" s="330"/>
      <c r="AF1443"/>
    </row>
    <row r="1444" spans="1:32" s="906" customFormat="1" ht="91">
      <c r="A1444" s="1199"/>
      <c r="B1444" s="958" t="s">
        <v>56</v>
      </c>
      <c r="C1444" s="586" t="s">
        <v>4757</v>
      </c>
      <c r="D1444" s="578" t="s">
        <v>57</v>
      </c>
      <c r="E1444" s="976"/>
      <c r="F1444" s="973"/>
      <c r="G1444" s="973"/>
      <c r="H1444" s="578" t="s">
        <v>58</v>
      </c>
      <c r="I1444" s="579" t="s">
        <v>47</v>
      </c>
      <c r="J1444" s="1577" t="s">
        <v>4758</v>
      </c>
      <c r="K1444" s="579"/>
      <c r="L1444" s="580">
        <v>42856</v>
      </c>
      <c r="M1444" s="580"/>
      <c r="N1444" s="580"/>
      <c r="O1444" s="580" t="s">
        <v>4759</v>
      </c>
      <c r="P1444" s="581">
        <v>8</v>
      </c>
      <c r="Q1444" s="581">
        <v>8</v>
      </c>
      <c r="R1444" s="1815">
        <f>170000+185000+240000+260000+150000+1000000</f>
        <v>2005000</v>
      </c>
      <c r="S1444" s="583" t="s">
        <v>1650</v>
      </c>
      <c r="T1444" s="584" t="s">
        <v>38</v>
      </c>
      <c r="U1444" s="584"/>
      <c r="V1444" s="584"/>
      <c r="W1444" s="585" t="s">
        <v>4760</v>
      </c>
      <c r="X1444" s="120"/>
      <c r="Y1444" s="120"/>
      <c r="Z1444" s="186"/>
      <c r="AA1444" s="120"/>
      <c r="AB1444" s="120"/>
      <c r="AC1444" s="186"/>
      <c r="AD1444" s="330"/>
      <c r="AE1444" s="330"/>
      <c r="AF1444"/>
    </row>
    <row r="1445" spans="1:32" s="906" customFormat="1" ht="25">
      <c r="A1445" s="1199"/>
      <c r="B1445" s="958" t="s">
        <v>56</v>
      </c>
      <c r="C1445" s="510"/>
      <c r="D1445" s="511" t="s">
        <v>32</v>
      </c>
      <c r="E1445" s="680"/>
      <c r="F1445" s="1665"/>
      <c r="G1445" s="1665"/>
      <c r="H1445" s="511" t="s">
        <v>308</v>
      </c>
      <c r="I1445" s="519" t="s">
        <v>47</v>
      </c>
      <c r="J1445" s="1578" t="s">
        <v>4761</v>
      </c>
      <c r="K1445" s="512"/>
      <c r="L1445" s="597" t="s">
        <v>60</v>
      </c>
      <c r="M1445" s="597"/>
      <c r="N1445" s="597"/>
      <c r="O1445" s="597" t="s">
        <v>4762</v>
      </c>
      <c r="P1445" s="516" t="s">
        <v>60</v>
      </c>
      <c r="Q1445" s="516"/>
      <c r="R1445" s="1823">
        <v>1000000</v>
      </c>
      <c r="S1445" s="523" t="s">
        <v>60</v>
      </c>
      <c r="T1445" s="515" t="s">
        <v>38</v>
      </c>
      <c r="U1445" s="515"/>
      <c r="V1445" s="515"/>
      <c r="W1445" s="519" t="s">
        <v>714</v>
      </c>
      <c r="X1445" s="120"/>
      <c r="Y1445" s="120"/>
      <c r="Z1445" s="186"/>
      <c r="AA1445" s="120"/>
      <c r="AB1445" s="120"/>
      <c r="AC1445" s="186"/>
      <c r="AD1445" s="330"/>
      <c r="AE1445" s="330"/>
      <c r="AF1445"/>
    </row>
    <row r="1446" spans="1:32" s="908" customFormat="1" ht="91">
      <c r="A1446" s="1199"/>
      <c r="B1446" s="960" t="s">
        <v>56</v>
      </c>
      <c r="C1446" s="577" t="s">
        <v>4763</v>
      </c>
      <c r="D1446" s="973" t="s">
        <v>57</v>
      </c>
      <c r="E1446" s="976"/>
      <c r="F1446" s="973"/>
      <c r="G1446" s="973"/>
      <c r="H1446" s="578" t="s">
        <v>58</v>
      </c>
      <c r="I1446" s="579" t="s">
        <v>47</v>
      </c>
      <c r="J1446" s="1577" t="s">
        <v>4764</v>
      </c>
      <c r="K1446" s="579"/>
      <c r="L1446" s="580" t="s">
        <v>4765</v>
      </c>
      <c r="M1446" s="580"/>
      <c r="N1446" s="580"/>
      <c r="O1446" s="580" t="s">
        <v>4765</v>
      </c>
      <c r="P1446" s="1017" t="s">
        <v>45</v>
      </c>
      <c r="Q1446" s="1014" t="s">
        <v>45</v>
      </c>
      <c r="R1446" s="1029">
        <v>225000</v>
      </c>
      <c r="S1446" s="583" t="s">
        <v>1650</v>
      </c>
      <c r="T1446" s="584" t="s">
        <v>38</v>
      </c>
      <c r="U1446" s="584"/>
      <c r="V1446" s="584"/>
      <c r="W1446" s="585" t="s">
        <v>2295</v>
      </c>
      <c r="X1446" s="120"/>
      <c r="Y1446" s="120"/>
      <c r="Z1446" s="120"/>
      <c r="AA1446" s="120"/>
      <c r="AB1446" s="120"/>
      <c r="AC1446" s="186"/>
      <c r="AD1446" s="330"/>
      <c r="AE1446" s="330"/>
      <c r="AF1446"/>
    </row>
    <row r="1447" spans="1:32" s="906" customFormat="1" ht="25">
      <c r="A1447" s="1649"/>
      <c r="B1447" s="1496" t="s">
        <v>56</v>
      </c>
      <c r="C1447" s="1666"/>
      <c r="D1447" s="1665" t="s">
        <v>32</v>
      </c>
      <c r="E1447" s="1665"/>
      <c r="F1447" s="1665"/>
      <c r="G1447" s="1665"/>
      <c r="H1447" s="1665" t="s">
        <v>308</v>
      </c>
      <c r="I1447" s="1692" t="s">
        <v>47</v>
      </c>
      <c r="J1447" s="1700" t="s">
        <v>4766</v>
      </c>
      <c r="K1447" s="1713"/>
      <c r="L1447" s="1750" t="s">
        <v>60</v>
      </c>
      <c r="M1447" s="1750"/>
      <c r="N1447" s="1750"/>
      <c r="O1447" s="1750" t="s">
        <v>4765</v>
      </c>
      <c r="P1447" s="1768" t="s">
        <v>60</v>
      </c>
      <c r="Q1447" s="1768"/>
      <c r="R1447" s="1808" t="s">
        <v>60</v>
      </c>
      <c r="S1447" s="1833" t="s">
        <v>60</v>
      </c>
      <c r="T1447" s="1729" t="s">
        <v>38</v>
      </c>
      <c r="U1447" s="1729"/>
      <c r="V1447" s="1729"/>
      <c r="W1447" s="1692" t="s">
        <v>714</v>
      </c>
      <c r="X1447" s="1865"/>
      <c r="Y1447" s="1865"/>
      <c r="Z1447" s="1865"/>
      <c r="AA1447" s="1865"/>
      <c r="AB1447" s="1865"/>
      <c r="AC1447" s="1865"/>
      <c r="AD1447" s="1865"/>
      <c r="AE1447" s="1865"/>
      <c r="AF1447"/>
    </row>
    <row r="1448" spans="1:32" s="906" customFormat="1" ht="37.5">
      <c r="A1448" s="1199"/>
      <c r="B1448" s="960" t="s">
        <v>56</v>
      </c>
      <c r="C1448" s="577" t="s">
        <v>71</v>
      </c>
      <c r="D1448" s="611" t="s">
        <v>57</v>
      </c>
      <c r="E1448" s="680"/>
      <c r="F1448" s="611"/>
      <c r="G1448" s="1665"/>
      <c r="H1448" s="511" t="s">
        <v>58</v>
      </c>
      <c r="I1448" s="512" t="s">
        <v>47</v>
      </c>
      <c r="J1448" s="1577" t="s">
        <v>4767</v>
      </c>
      <c r="K1448" s="579"/>
      <c r="L1448" s="597">
        <v>43466</v>
      </c>
      <c r="M1448" s="597"/>
      <c r="N1448" s="597"/>
      <c r="O1448" s="597" t="s">
        <v>4768</v>
      </c>
      <c r="P1448" s="613">
        <f>60+24</f>
        <v>84</v>
      </c>
      <c r="Q1448" s="1012" t="s">
        <v>112</v>
      </c>
      <c r="R1448" s="1831">
        <v>467577</v>
      </c>
      <c r="S1448" s="1043" t="s">
        <v>45</v>
      </c>
      <c r="T1448" s="515" t="s">
        <v>70</v>
      </c>
      <c r="U1448" s="515"/>
      <c r="V1448" s="515"/>
      <c r="W1448" s="519" t="s">
        <v>4769</v>
      </c>
      <c r="X1448" s="120"/>
      <c r="Y1448" s="120"/>
      <c r="Z1448" s="120"/>
      <c r="AA1448" s="186"/>
      <c r="AB1448" s="120"/>
      <c r="AC1448" s="186"/>
      <c r="AD1448" s="330"/>
      <c r="AE1448" s="330"/>
      <c r="AF1448"/>
    </row>
    <row r="1449" spans="1:32" s="906" customFormat="1" ht="52">
      <c r="A1449" s="1199"/>
      <c r="B1449" s="958" t="s">
        <v>56</v>
      </c>
      <c r="C1449" s="577" t="s">
        <v>4770</v>
      </c>
      <c r="D1449" s="578" t="s">
        <v>32</v>
      </c>
      <c r="E1449" s="976"/>
      <c r="F1449" s="1683"/>
      <c r="G1449" s="1683"/>
      <c r="H1449" s="578" t="s">
        <v>308</v>
      </c>
      <c r="I1449" s="579" t="s">
        <v>47</v>
      </c>
      <c r="J1449" s="1577" t="s">
        <v>4771</v>
      </c>
      <c r="K1449" s="579"/>
      <c r="L1449" s="580">
        <v>43115</v>
      </c>
      <c r="M1449" s="580"/>
      <c r="N1449" s="580"/>
      <c r="O1449" s="580" t="s">
        <v>4772</v>
      </c>
      <c r="P1449" s="581">
        <v>2</v>
      </c>
      <c r="Q1449" s="581">
        <v>2</v>
      </c>
      <c r="R1449" s="1029">
        <v>266000</v>
      </c>
      <c r="S1449" s="583" t="s">
        <v>1863</v>
      </c>
      <c r="T1449" s="584" t="s">
        <v>38</v>
      </c>
      <c r="U1449" s="584"/>
      <c r="V1449" s="584"/>
      <c r="W1449" s="585" t="s">
        <v>1898</v>
      </c>
      <c r="X1449" s="120"/>
      <c r="Y1449" s="120"/>
      <c r="Z1449" s="186"/>
      <c r="AA1449" s="120"/>
      <c r="AB1449" s="120"/>
      <c r="AC1449" s="186"/>
      <c r="AD1449" s="330"/>
      <c r="AE1449" s="330"/>
      <c r="AF1449"/>
    </row>
    <row r="1450" spans="1:32" ht="91">
      <c r="A1450" s="1199"/>
      <c r="B1450" s="958" t="s">
        <v>56</v>
      </c>
      <c r="C1450" s="958" t="s">
        <v>4773</v>
      </c>
      <c r="D1450" s="973" t="s">
        <v>57</v>
      </c>
      <c r="E1450" s="973"/>
      <c r="F1450" s="973"/>
      <c r="G1450" s="973"/>
      <c r="H1450" s="973" t="s">
        <v>58</v>
      </c>
      <c r="I1450" s="1970" t="s">
        <v>47</v>
      </c>
      <c r="J1450" s="1987" t="s">
        <v>4774</v>
      </c>
      <c r="K1450" s="1970"/>
      <c r="L1450" s="2009" t="s">
        <v>4775</v>
      </c>
      <c r="M1450" s="2009"/>
      <c r="N1450" s="2009"/>
      <c r="O1450" s="2009" t="s">
        <v>4776</v>
      </c>
      <c r="P1450" s="1780">
        <v>6</v>
      </c>
      <c r="Q1450" s="1780">
        <v>6</v>
      </c>
      <c r="R1450" s="1029">
        <v>560000</v>
      </c>
      <c r="S1450" s="1042" t="s">
        <v>1650</v>
      </c>
      <c r="T1450" s="1049" t="s">
        <v>38</v>
      </c>
      <c r="U1450" s="1049"/>
      <c r="V1450" s="1049"/>
      <c r="W1450" s="2100" t="s">
        <v>747</v>
      </c>
      <c r="X1450" s="336"/>
      <c r="Y1450" s="336"/>
      <c r="Z1450" s="336"/>
      <c r="AA1450" s="336"/>
      <c r="AB1450" s="336"/>
      <c r="AC1450" s="336"/>
      <c r="AD1450" s="336"/>
      <c r="AE1450" s="336"/>
    </row>
    <row r="1451" spans="1:32" ht="37.5">
      <c r="A1451" s="1649"/>
      <c r="B1451" s="1496" t="s">
        <v>56</v>
      </c>
      <c r="C1451" s="1665" t="s">
        <v>4777</v>
      </c>
      <c r="D1451" s="1665" t="s">
        <v>57</v>
      </c>
      <c r="E1451" s="1665"/>
      <c r="F1451" s="1665"/>
      <c r="G1451" s="1665"/>
      <c r="H1451" s="1665" t="s">
        <v>58</v>
      </c>
      <c r="I1451" s="1692" t="s">
        <v>47</v>
      </c>
      <c r="J1451" s="1699" t="s">
        <v>4778</v>
      </c>
      <c r="K1451" s="1712"/>
      <c r="L1451" s="1729">
        <v>43966</v>
      </c>
      <c r="M1451" s="1729"/>
      <c r="N1451" s="1729"/>
      <c r="O1451" s="1729" t="s">
        <v>837</v>
      </c>
      <c r="P1451" s="1730" t="s">
        <v>60</v>
      </c>
      <c r="Q1451" s="1730" t="s">
        <v>60</v>
      </c>
      <c r="R1451" s="1808">
        <v>80000</v>
      </c>
      <c r="S1451" s="1729" t="s">
        <v>60</v>
      </c>
      <c r="T1451" s="1729" t="s">
        <v>62</v>
      </c>
      <c r="U1451" s="1665" t="s">
        <v>60</v>
      </c>
      <c r="V1451" s="1665"/>
      <c r="W1451" s="1855" t="s">
        <v>1940</v>
      </c>
      <c r="X1451" s="1865"/>
      <c r="Y1451" s="1865"/>
      <c r="Z1451" s="1865"/>
      <c r="AA1451" s="1865"/>
      <c r="AB1451" s="1865"/>
      <c r="AC1451" s="1865"/>
      <c r="AD1451" s="1865"/>
      <c r="AE1451" s="1865"/>
    </row>
    <row r="1452" spans="1:32" ht="37.5">
      <c r="A1452" s="1649"/>
      <c r="B1452" s="1496" t="s">
        <v>56</v>
      </c>
      <c r="C1452" s="1666" t="s">
        <v>60</v>
      </c>
      <c r="D1452" s="1665" t="s">
        <v>4779</v>
      </c>
      <c r="E1452" s="1665"/>
      <c r="F1452" s="1665"/>
      <c r="G1452" s="1665"/>
      <c r="H1452" s="1665" t="s">
        <v>4780</v>
      </c>
      <c r="I1452" s="1692" t="s">
        <v>47</v>
      </c>
      <c r="J1452" s="1700" t="s">
        <v>4781</v>
      </c>
      <c r="K1452" s="1713"/>
      <c r="L1452" s="1729">
        <v>44138</v>
      </c>
      <c r="M1452" s="1729"/>
      <c r="N1452" s="1729"/>
      <c r="O1452" s="1729" t="s">
        <v>837</v>
      </c>
      <c r="P1452" s="1768" t="s">
        <v>60</v>
      </c>
      <c r="Q1452" s="1768" t="s">
        <v>60</v>
      </c>
      <c r="R1452" s="1804" t="s">
        <v>60</v>
      </c>
      <c r="S1452" s="1729" t="s">
        <v>4782</v>
      </c>
      <c r="T1452" s="1729" t="s">
        <v>60</v>
      </c>
      <c r="U1452" s="1729" t="s">
        <v>60</v>
      </c>
      <c r="V1452" s="1729"/>
      <c r="W1452" s="1692" t="s">
        <v>4783</v>
      </c>
      <c r="X1452" s="1865"/>
      <c r="Y1452" s="1865"/>
      <c r="Z1452" s="1865"/>
      <c r="AA1452" s="1865"/>
      <c r="AB1452" s="1865"/>
      <c r="AC1452" s="1865"/>
      <c r="AD1452" s="1865"/>
      <c r="AE1452" s="1865"/>
    </row>
    <row r="1453" spans="1:32" ht="37.5">
      <c r="A1453" s="1649"/>
      <c r="B1453" s="1496" t="s">
        <v>56</v>
      </c>
      <c r="C1453" s="1666"/>
      <c r="D1453" s="1665" t="s">
        <v>57</v>
      </c>
      <c r="E1453" s="1665"/>
      <c r="F1453" s="1665"/>
      <c r="G1453" s="1665"/>
      <c r="H1453" s="1665" t="s">
        <v>58</v>
      </c>
      <c r="I1453" s="1692" t="s">
        <v>47</v>
      </c>
      <c r="J1453" s="1700" t="s">
        <v>4784</v>
      </c>
      <c r="K1453" s="1713"/>
      <c r="L1453" s="1750" t="s">
        <v>251</v>
      </c>
      <c r="M1453" s="1750"/>
      <c r="N1453" s="1750"/>
      <c r="O1453" s="1750" t="s">
        <v>251</v>
      </c>
      <c r="P1453" s="1768"/>
      <c r="Q1453" s="1768"/>
      <c r="R1453" s="1808">
        <v>96202</v>
      </c>
      <c r="S1453" s="1833" t="s">
        <v>60</v>
      </c>
      <c r="T1453" s="1729" t="s">
        <v>38</v>
      </c>
      <c r="U1453" s="1729"/>
      <c r="V1453" s="1729"/>
      <c r="W1453" s="1692"/>
      <c r="X1453" s="1865"/>
      <c r="Y1453" s="1865"/>
      <c r="Z1453" s="1865"/>
      <c r="AA1453" s="1865"/>
      <c r="AB1453" s="1865"/>
      <c r="AC1453" s="1865"/>
      <c r="AD1453" s="1865"/>
      <c r="AE1453" s="1865"/>
    </row>
    <row r="1454" spans="1:32" ht="37.5">
      <c r="A1454" s="1649"/>
      <c r="B1454" s="1496" t="s">
        <v>56</v>
      </c>
      <c r="C1454" s="1666"/>
      <c r="D1454" s="1665" t="s">
        <v>32</v>
      </c>
      <c r="E1454" s="1665"/>
      <c r="F1454" s="1665"/>
      <c r="G1454" s="1665"/>
      <c r="H1454" s="1665" t="s">
        <v>308</v>
      </c>
      <c r="I1454" s="1692" t="s">
        <v>47</v>
      </c>
      <c r="J1454" s="1700" t="s">
        <v>4785</v>
      </c>
      <c r="K1454" s="1713"/>
      <c r="L1454" s="1750" t="s">
        <v>60</v>
      </c>
      <c r="M1454" s="1750"/>
      <c r="N1454" s="1750"/>
      <c r="O1454" s="1750" t="s">
        <v>4786</v>
      </c>
      <c r="P1454" s="1768" t="s">
        <v>60</v>
      </c>
      <c r="Q1454" s="1768"/>
      <c r="R1454" s="1808" t="s">
        <v>60</v>
      </c>
      <c r="S1454" s="1833" t="s">
        <v>60</v>
      </c>
      <c r="T1454" s="1729" t="s">
        <v>38</v>
      </c>
      <c r="U1454" s="1729"/>
      <c r="V1454" s="1729"/>
      <c r="W1454" s="1692" t="s">
        <v>714</v>
      </c>
      <c r="X1454" s="1865"/>
      <c r="Y1454" s="1865"/>
      <c r="Z1454" s="1865"/>
      <c r="AA1454" s="1865"/>
      <c r="AB1454" s="1865"/>
      <c r="AC1454" s="1865"/>
      <c r="AD1454" s="1865"/>
      <c r="AE1454" s="1865"/>
    </row>
    <row r="1455" spans="1:32" ht="39">
      <c r="A1455" s="1649"/>
      <c r="B1455" s="1496" t="s">
        <v>56</v>
      </c>
      <c r="C1455" s="1496" t="s">
        <v>71</v>
      </c>
      <c r="D1455" s="1683" t="s">
        <v>57</v>
      </c>
      <c r="E1455" s="1683"/>
      <c r="F1455" s="1683"/>
      <c r="G1455" s="1683"/>
      <c r="H1455" s="1683" t="s">
        <v>58</v>
      </c>
      <c r="I1455" s="1513" t="s">
        <v>47</v>
      </c>
      <c r="J1455" s="1707" t="s">
        <v>4787</v>
      </c>
      <c r="K1455" s="1513"/>
      <c r="L1455" s="1737">
        <v>43040</v>
      </c>
      <c r="M1455" s="1737"/>
      <c r="N1455" s="1737"/>
      <c r="O1455" s="1737" t="s">
        <v>4788</v>
      </c>
      <c r="P1455" s="1765">
        <v>1</v>
      </c>
      <c r="Q1455" s="1765">
        <v>1</v>
      </c>
      <c r="R1455" s="1821">
        <v>25000</v>
      </c>
      <c r="S1455" s="1835" t="s">
        <v>1615</v>
      </c>
      <c r="T1455" s="1847" t="s">
        <v>38</v>
      </c>
      <c r="U1455" s="1847"/>
      <c r="V1455" s="1847"/>
      <c r="W1455" s="1858" t="s">
        <v>4769</v>
      </c>
      <c r="X1455" s="1865"/>
      <c r="Y1455" s="1865"/>
      <c r="Z1455" s="1865"/>
      <c r="AA1455" s="1865"/>
      <c r="AB1455" s="1865"/>
      <c r="AC1455" s="1865"/>
      <c r="AD1455" s="1865"/>
      <c r="AE1455" s="1865"/>
    </row>
    <row r="1456" spans="1:32" ht="37.5">
      <c r="A1456" s="1649"/>
      <c r="B1456" s="1496" t="s">
        <v>56</v>
      </c>
      <c r="C1456" s="1666" t="s">
        <v>4789</v>
      </c>
      <c r="D1456" s="1665" t="s">
        <v>57</v>
      </c>
      <c r="E1456" s="1665"/>
      <c r="F1456" s="1665"/>
      <c r="G1456" s="1665"/>
      <c r="H1456" s="1665" t="s">
        <v>58</v>
      </c>
      <c r="I1456" s="1692" t="s">
        <v>47</v>
      </c>
      <c r="J1456" s="1699" t="s">
        <v>4790</v>
      </c>
      <c r="K1456" s="1712"/>
      <c r="L1456" s="1731">
        <v>44011</v>
      </c>
      <c r="M1456" s="1731"/>
      <c r="N1456" s="1731"/>
      <c r="O1456" s="1731" t="s">
        <v>991</v>
      </c>
      <c r="P1456" s="1771">
        <v>3</v>
      </c>
      <c r="Q1456" s="1771">
        <v>3</v>
      </c>
      <c r="R1456" s="2055">
        <v>312029.09999999998</v>
      </c>
      <c r="S1456" s="1771" t="s">
        <v>3435</v>
      </c>
      <c r="T1456" s="1771" t="s">
        <v>62</v>
      </c>
      <c r="U1456" s="1731">
        <v>43700</v>
      </c>
      <c r="V1456" s="1731"/>
      <c r="W1456" s="1692" t="s">
        <v>4791</v>
      </c>
      <c r="X1456" s="1865"/>
      <c r="Y1456" s="1865"/>
      <c r="Z1456" s="1865"/>
      <c r="AA1456" s="1865"/>
      <c r="AB1456" s="1865"/>
      <c r="AC1456" s="1865"/>
      <c r="AD1456" s="1865"/>
      <c r="AE1456" s="1865"/>
    </row>
    <row r="1457" spans="1:31" ht="42">
      <c r="A1457" s="2919"/>
      <c r="B1457" s="1865"/>
      <c r="C1457" s="1955" t="s">
        <v>4009</v>
      </c>
      <c r="D1457" s="1955" t="s">
        <v>32</v>
      </c>
      <c r="E1457" s="1955"/>
      <c r="F1457" s="1955"/>
      <c r="G1457" s="1955"/>
      <c r="H1457" s="1955" t="s">
        <v>33</v>
      </c>
      <c r="I1457" s="1955" t="s">
        <v>268</v>
      </c>
      <c r="J1457" s="1989" t="s">
        <v>4792</v>
      </c>
      <c r="K1457" s="2005"/>
      <c r="L1457" s="1955"/>
      <c r="M1457" s="2018"/>
      <c r="N1457" s="2018"/>
      <c r="O1457" s="2018" t="s">
        <v>45</v>
      </c>
      <c r="P1457" s="1955" t="s">
        <v>45</v>
      </c>
      <c r="Q1457" s="1955" t="s">
        <v>215</v>
      </c>
      <c r="R1457" s="2062">
        <v>64000</v>
      </c>
      <c r="S1457" s="2005" t="s">
        <v>270</v>
      </c>
      <c r="T1457" s="1955" t="s">
        <v>38</v>
      </c>
      <c r="U1457" s="1955" t="s">
        <v>67</v>
      </c>
      <c r="V1457" s="1955"/>
      <c r="W1457" s="1955" t="s">
        <v>4793</v>
      </c>
      <c r="X1457" s="1955" t="s">
        <v>4794</v>
      </c>
      <c r="Y1457" s="1955" t="s">
        <v>40</v>
      </c>
      <c r="Z1457" s="1955" t="s">
        <v>154</v>
      </c>
      <c r="AA1457" s="1955" t="s">
        <v>38</v>
      </c>
      <c r="AB1457" s="2018">
        <v>44357</v>
      </c>
      <c r="AC1457" s="2144" t="s">
        <v>4795</v>
      </c>
      <c r="AD1457" s="1955"/>
      <c r="AE1457" s="1955"/>
    </row>
    <row r="1458" spans="1:31" ht="25">
      <c r="A1458" s="1649"/>
      <c r="B1458" s="1496" t="s">
        <v>56</v>
      </c>
      <c r="C1458" s="1666"/>
      <c r="D1458" s="1665" t="s">
        <v>32</v>
      </c>
      <c r="E1458" s="1665"/>
      <c r="F1458" s="1665"/>
      <c r="G1458" s="1665"/>
      <c r="H1458" s="1665" t="s">
        <v>308</v>
      </c>
      <c r="I1458" s="1692" t="s">
        <v>47</v>
      </c>
      <c r="J1458" s="1700" t="s">
        <v>4796</v>
      </c>
      <c r="K1458" s="1713"/>
      <c r="L1458" s="1739" t="s">
        <v>60</v>
      </c>
      <c r="M1458" s="1739"/>
      <c r="N1458" s="1739"/>
      <c r="O1458" s="1750" t="s">
        <v>60</v>
      </c>
      <c r="P1458" s="1768" t="s">
        <v>60</v>
      </c>
      <c r="Q1458" s="1768" t="s">
        <v>60</v>
      </c>
      <c r="R1458" s="1808" t="s">
        <v>60</v>
      </c>
      <c r="S1458" s="1833" t="s">
        <v>60</v>
      </c>
      <c r="T1458" s="1729" t="s">
        <v>38</v>
      </c>
      <c r="U1458" s="1729"/>
      <c r="V1458" s="1729"/>
      <c r="W1458" s="1692" t="s">
        <v>714</v>
      </c>
      <c r="X1458" s="1865"/>
      <c r="Y1458" s="1865"/>
      <c r="Z1458" s="1865"/>
      <c r="AA1458" s="1865"/>
      <c r="AB1458" s="1865"/>
      <c r="AC1458" s="1865"/>
      <c r="AD1458" s="1865"/>
      <c r="AE1458" s="1865"/>
    </row>
    <row r="1459" spans="1:31" ht="87.5">
      <c r="A1459" s="1649"/>
      <c r="B1459" s="1496" t="s">
        <v>56</v>
      </c>
      <c r="C1459" s="1666"/>
      <c r="D1459" s="1665" t="s">
        <v>32</v>
      </c>
      <c r="E1459" s="1665"/>
      <c r="F1459" s="1665"/>
      <c r="G1459" s="1665"/>
      <c r="H1459" s="1665" t="s">
        <v>308</v>
      </c>
      <c r="I1459" s="1692" t="s">
        <v>47</v>
      </c>
      <c r="J1459" s="1981" t="s">
        <v>4797</v>
      </c>
      <c r="K1459" s="1714"/>
      <c r="L1459" s="1739" t="s">
        <v>60</v>
      </c>
      <c r="M1459" s="1739"/>
      <c r="N1459" s="1739"/>
      <c r="O1459" s="1750" t="s">
        <v>60</v>
      </c>
      <c r="P1459" s="1768" t="s">
        <v>60</v>
      </c>
      <c r="Q1459" s="1768" t="s">
        <v>60</v>
      </c>
      <c r="R1459" s="1808">
        <v>100000</v>
      </c>
      <c r="S1459" s="1833" t="s">
        <v>60</v>
      </c>
      <c r="T1459" s="1729" t="s">
        <v>38</v>
      </c>
      <c r="U1459" s="1729"/>
      <c r="V1459" s="1729"/>
      <c r="W1459" s="1692" t="s">
        <v>714</v>
      </c>
      <c r="X1459" s="1865"/>
      <c r="Y1459" s="1865"/>
      <c r="Z1459" s="1865"/>
      <c r="AA1459" s="1865"/>
      <c r="AB1459" s="1865"/>
      <c r="AC1459" s="1865"/>
      <c r="AD1459" s="1865"/>
      <c r="AE1459" s="1865"/>
    </row>
    <row r="1460" spans="1:31" ht="37.5">
      <c r="A1460" s="1649"/>
      <c r="B1460" s="1496" t="s">
        <v>56</v>
      </c>
      <c r="C1460" s="1666"/>
      <c r="D1460" s="1665" t="s">
        <v>32</v>
      </c>
      <c r="E1460" s="1665"/>
      <c r="F1460" s="1665"/>
      <c r="G1460" s="1665"/>
      <c r="H1460" s="1665" t="s">
        <v>308</v>
      </c>
      <c r="I1460" s="1692" t="s">
        <v>47</v>
      </c>
      <c r="J1460" s="1981" t="s">
        <v>4798</v>
      </c>
      <c r="K1460" s="1714"/>
      <c r="L1460" s="1739" t="s">
        <v>60</v>
      </c>
      <c r="M1460" s="1739"/>
      <c r="N1460" s="1739"/>
      <c r="O1460" s="1750" t="s">
        <v>60</v>
      </c>
      <c r="P1460" s="1768" t="s">
        <v>60</v>
      </c>
      <c r="Q1460" s="1768" t="s">
        <v>60</v>
      </c>
      <c r="R1460" s="1808">
        <v>90000</v>
      </c>
      <c r="S1460" s="1833" t="s">
        <v>60</v>
      </c>
      <c r="T1460" s="1729" t="s">
        <v>38</v>
      </c>
      <c r="U1460" s="1729"/>
      <c r="V1460" s="1729"/>
      <c r="W1460" s="1692" t="s">
        <v>714</v>
      </c>
      <c r="X1460" s="1865"/>
      <c r="Y1460" s="1865"/>
      <c r="Z1460" s="1865"/>
      <c r="AA1460" s="1865"/>
      <c r="AB1460" s="1865"/>
      <c r="AC1460" s="1865"/>
      <c r="AD1460" s="1865"/>
      <c r="AE1460" s="1865"/>
    </row>
    <row r="1461" spans="1:31" ht="25">
      <c r="A1461" s="1649"/>
      <c r="B1461" s="1496" t="s">
        <v>56</v>
      </c>
      <c r="C1461" s="1666"/>
      <c r="D1461" s="1665" t="s">
        <v>32</v>
      </c>
      <c r="E1461" s="1665"/>
      <c r="F1461" s="1665"/>
      <c r="G1461" s="1665"/>
      <c r="H1461" s="1665" t="s">
        <v>308</v>
      </c>
      <c r="I1461" s="1692" t="s">
        <v>47</v>
      </c>
      <c r="J1461" s="1981" t="s">
        <v>4799</v>
      </c>
      <c r="K1461" s="1714"/>
      <c r="L1461" s="1739" t="s">
        <v>60</v>
      </c>
      <c r="M1461" s="1739"/>
      <c r="N1461" s="1739"/>
      <c r="O1461" s="1750" t="s">
        <v>60</v>
      </c>
      <c r="P1461" s="1768" t="s">
        <v>60</v>
      </c>
      <c r="Q1461" s="1768" t="s">
        <v>60</v>
      </c>
      <c r="R1461" s="2052">
        <v>100000</v>
      </c>
      <c r="S1461" s="1833" t="s">
        <v>60</v>
      </c>
      <c r="T1461" s="1729" t="s">
        <v>38</v>
      </c>
      <c r="U1461" s="1729"/>
      <c r="V1461" s="1729"/>
      <c r="W1461" s="1692" t="s">
        <v>714</v>
      </c>
      <c r="X1461" s="1865"/>
      <c r="Y1461" s="1865"/>
      <c r="Z1461" s="1865"/>
      <c r="AA1461" s="1865"/>
      <c r="AB1461" s="1865"/>
      <c r="AC1461" s="1865"/>
      <c r="AD1461" s="1865"/>
      <c r="AE1461" s="1865"/>
    </row>
    <row r="1462" spans="1:31" ht="25">
      <c r="A1462" s="1649"/>
      <c r="B1462" s="1496" t="s">
        <v>56</v>
      </c>
      <c r="C1462" s="1665"/>
      <c r="D1462" s="1665" t="s">
        <v>32</v>
      </c>
      <c r="E1462" s="1665"/>
      <c r="F1462" s="1665"/>
      <c r="G1462" s="1665"/>
      <c r="H1462" s="1665" t="s">
        <v>308</v>
      </c>
      <c r="I1462" s="1692" t="s">
        <v>47</v>
      </c>
      <c r="J1462" s="1699" t="s">
        <v>4800</v>
      </c>
      <c r="K1462" s="1712"/>
      <c r="L1462" s="1739" t="s">
        <v>60</v>
      </c>
      <c r="M1462" s="1739"/>
      <c r="N1462" s="1739"/>
      <c r="O1462" s="1750" t="s">
        <v>60</v>
      </c>
      <c r="P1462" s="1768" t="s">
        <v>60</v>
      </c>
      <c r="Q1462" s="1768" t="s">
        <v>60</v>
      </c>
      <c r="R1462" s="2052">
        <v>616000</v>
      </c>
      <c r="S1462" s="1833" t="s">
        <v>60</v>
      </c>
      <c r="T1462" s="1729" t="s">
        <v>70</v>
      </c>
      <c r="U1462" s="1729"/>
      <c r="V1462" s="1729"/>
      <c r="W1462" s="1692" t="s">
        <v>714</v>
      </c>
      <c r="X1462" s="1865"/>
      <c r="Y1462" s="1865"/>
      <c r="Z1462" s="1865"/>
      <c r="AA1462" s="1865"/>
      <c r="AB1462" s="1865"/>
      <c r="AC1462" s="1865"/>
      <c r="AD1462" s="1865"/>
      <c r="AE1462" s="1865"/>
    </row>
    <row r="1463" spans="1:31" ht="37.5">
      <c r="A1463" s="1649"/>
      <c r="B1463" s="1496" t="s">
        <v>56</v>
      </c>
      <c r="C1463" s="1666"/>
      <c r="D1463" s="1665" t="s">
        <v>32</v>
      </c>
      <c r="E1463" s="1665"/>
      <c r="F1463" s="1665"/>
      <c r="G1463" s="1665"/>
      <c r="H1463" s="1665" t="s">
        <v>308</v>
      </c>
      <c r="I1463" s="1692" t="s">
        <v>47</v>
      </c>
      <c r="J1463" s="1981" t="s">
        <v>4801</v>
      </c>
      <c r="K1463" s="1714"/>
      <c r="L1463" s="1739" t="s">
        <v>60</v>
      </c>
      <c r="M1463" s="1739"/>
      <c r="N1463" s="1739"/>
      <c r="O1463" s="1750" t="s">
        <v>60</v>
      </c>
      <c r="P1463" s="1768" t="s">
        <v>60</v>
      </c>
      <c r="Q1463" s="1768" t="s">
        <v>60</v>
      </c>
      <c r="R1463" s="2052">
        <v>90000</v>
      </c>
      <c r="S1463" s="1833" t="s">
        <v>60</v>
      </c>
      <c r="T1463" s="1729" t="s">
        <v>38</v>
      </c>
      <c r="U1463" s="1729"/>
      <c r="V1463" s="1729"/>
      <c r="W1463" s="1692" t="s">
        <v>714</v>
      </c>
      <c r="X1463" s="1865"/>
      <c r="Y1463" s="1865"/>
      <c r="Z1463" s="1865"/>
      <c r="AA1463" s="1865"/>
      <c r="AB1463" s="1865"/>
      <c r="AC1463" s="1865"/>
      <c r="AD1463" s="1865"/>
      <c r="AE1463" s="1865"/>
    </row>
    <row r="1464" spans="1:31" ht="25">
      <c r="A1464" s="1649"/>
      <c r="B1464" s="1496" t="s">
        <v>56</v>
      </c>
      <c r="C1464" s="1666"/>
      <c r="D1464" s="1665" t="s">
        <v>32</v>
      </c>
      <c r="E1464" s="1665"/>
      <c r="F1464" s="1665"/>
      <c r="G1464" s="1665"/>
      <c r="H1464" s="1665" t="s">
        <v>308</v>
      </c>
      <c r="I1464" s="1692" t="s">
        <v>47</v>
      </c>
      <c r="J1464" s="1981" t="s">
        <v>4802</v>
      </c>
      <c r="K1464" s="1714"/>
      <c r="L1464" s="1739" t="s">
        <v>60</v>
      </c>
      <c r="M1464" s="1739"/>
      <c r="N1464" s="1739"/>
      <c r="O1464" s="1750" t="s">
        <v>60</v>
      </c>
      <c r="P1464" s="1768" t="s">
        <v>60</v>
      </c>
      <c r="Q1464" s="1768" t="s">
        <v>60</v>
      </c>
      <c r="R1464" s="1808">
        <v>90000</v>
      </c>
      <c r="S1464" s="1833" t="s">
        <v>60</v>
      </c>
      <c r="T1464" s="1729" t="s">
        <v>38</v>
      </c>
      <c r="U1464" s="1729"/>
      <c r="V1464" s="1729"/>
      <c r="W1464" s="1692" t="s">
        <v>714</v>
      </c>
      <c r="X1464" s="1865"/>
      <c r="Y1464" s="1865"/>
      <c r="Z1464" s="1865"/>
      <c r="AA1464" s="1865"/>
      <c r="AB1464" s="1865"/>
      <c r="AC1464" s="1865"/>
      <c r="AD1464" s="1865"/>
      <c r="AE1464" s="1865"/>
    </row>
    <row r="1465" spans="1:31" ht="25">
      <c r="A1465" s="1649"/>
      <c r="B1465" s="1496" t="s">
        <v>56</v>
      </c>
      <c r="C1465" s="1666"/>
      <c r="D1465" s="1665" t="s">
        <v>32</v>
      </c>
      <c r="E1465" s="1665"/>
      <c r="F1465" s="1665"/>
      <c r="G1465" s="1665"/>
      <c r="H1465" s="1665" t="s">
        <v>308</v>
      </c>
      <c r="I1465" s="1692" t="s">
        <v>47</v>
      </c>
      <c r="J1465" s="1700" t="s">
        <v>4803</v>
      </c>
      <c r="K1465" s="1713"/>
      <c r="L1465" s="1750" t="s">
        <v>60</v>
      </c>
      <c r="M1465" s="1750"/>
      <c r="N1465" s="1750"/>
      <c r="O1465" s="1750" t="s">
        <v>60</v>
      </c>
      <c r="P1465" s="1768" t="s">
        <v>60</v>
      </c>
      <c r="Q1465" s="1768"/>
      <c r="R1465" s="1808">
        <v>1344000</v>
      </c>
      <c r="S1465" s="1833" t="s">
        <v>60</v>
      </c>
      <c r="T1465" s="1729" t="s">
        <v>38</v>
      </c>
      <c r="U1465" s="1729"/>
      <c r="V1465" s="1729"/>
      <c r="W1465" s="1692" t="s">
        <v>714</v>
      </c>
      <c r="X1465" s="1865"/>
      <c r="Y1465" s="1865"/>
      <c r="Z1465" s="1865"/>
      <c r="AA1465" s="1865"/>
      <c r="AB1465" s="1865"/>
      <c r="AC1465" s="1865"/>
      <c r="AD1465" s="1865"/>
      <c r="AE1465" s="1865"/>
    </row>
    <row r="1466" spans="1:31" ht="37.5">
      <c r="A1466" s="1649"/>
      <c r="B1466" s="1496" t="s">
        <v>56</v>
      </c>
      <c r="C1466" s="1666" t="s">
        <v>4804</v>
      </c>
      <c r="D1466" s="1665" t="s">
        <v>57</v>
      </c>
      <c r="E1466" s="1665"/>
      <c r="F1466" s="1665"/>
      <c r="G1466" s="1665"/>
      <c r="H1466" s="1665" t="s">
        <v>58</v>
      </c>
      <c r="I1466" s="1692" t="s">
        <v>47</v>
      </c>
      <c r="J1466" s="1700" t="s">
        <v>4805</v>
      </c>
      <c r="K1466" s="1713"/>
      <c r="L1466" s="1750" t="s">
        <v>60</v>
      </c>
      <c r="M1466" s="1750"/>
      <c r="N1466" s="1750"/>
      <c r="O1466" s="1750" t="s">
        <v>60</v>
      </c>
      <c r="P1466" s="1768" t="s">
        <v>60</v>
      </c>
      <c r="Q1466" s="1768" t="s">
        <v>60</v>
      </c>
      <c r="R1466" s="1808">
        <v>200000</v>
      </c>
      <c r="S1466" s="1833" t="s">
        <v>60</v>
      </c>
      <c r="T1466" s="1729" t="s">
        <v>1568</v>
      </c>
      <c r="U1466" s="1729"/>
      <c r="V1466" s="1729"/>
      <c r="W1466" s="1692" t="s">
        <v>2295</v>
      </c>
      <c r="X1466" s="1865"/>
      <c r="Y1466" s="1865"/>
      <c r="Z1466" s="1865"/>
      <c r="AA1466" s="1865"/>
      <c r="AB1466" s="1865"/>
      <c r="AC1466" s="1865"/>
      <c r="AD1466" s="1865"/>
      <c r="AE1466" s="1865"/>
    </row>
    <row r="1467" spans="1:31" ht="37.5">
      <c r="A1467" s="1649"/>
      <c r="B1467" s="1496" t="s">
        <v>56</v>
      </c>
      <c r="C1467" s="1666" t="s">
        <v>4806</v>
      </c>
      <c r="D1467" s="1665" t="s">
        <v>57</v>
      </c>
      <c r="E1467" s="1665"/>
      <c r="F1467" s="1665"/>
      <c r="G1467" s="1665"/>
      <c r="H1467" s="1665" t="s">
        <v>58</v>
      </c>
      <c r="I1467" s="1692" t="s">
        <v>47</v>
      </c>
      <c r="J1467" s="1700" t="s">
        <v>4807</v>
      </c>
      <c r="K1467" s="1713"/>
      <c r="L1467" s="1750">
        <v>43132</v>
      </c>
      <c r="M1467" s="1750"/>
      <c r="N1467" s="1750"/>
      <c r="O1467" s="1750" t="s">
        <v>60</v>
      </c>
      <c r="P1467" s="1768" t="s">
        <v>4808</v>
      </c>
      <c r="Q1467" s="1768" t="s">
        <v>1551</v>
      </c>
      <c r="R1467" s="1808" t="s">
        <v>60</v>
      </c>
      <c r="S1467" s="1833" t="s">
        <v>1189</v>
      </c>
      <c r="T1467" s="1729" t="s">
        <v>38</v>
      </c>
      <c r="U1467" s="1729"/>
      <c r="V1467" s="1729"/>
      <c r="W1467" s="1665" t="s">
        <v>205</v>
      </c>
      <c r="X1467" s="1865"/>
      <c r="Y1467" s="1865"/>
      <c r="Z1467" s="1865"/>
      <c r="AA1467" s="1865"/>
      <c r="AB1467" s="1865"/>
      <c r="AC1467" s="1865"/>
      <c r="AD1467" s="1865"/>
      <c r="AE1467" s="1865"/>
    </row>
    <row r="1468" spans="1:31" ht="37.5">
      <c r="A1468" s="1649"/>
      <c r="B1468" s="1496" t="s">
        <v>56</v>
      </c>
      <c r="C1468" s="1666"/>
      <c r="D1468" s="1665" t="s">
        <v>57</v>
      </c>
      <c r="E1468" s="1665"/>
      <c r="F1468" s="1665"/>
      <c r="G1468" s="1665"/>
      <c r="H1468" s="1665" t="s">
        <v>58</v>
      </c>
      <c r="I1468" s="1692" t="s">
        <v>47</v>
      </c>
      <c r="J1468" s="1700" t="s">
        <v>4809</v>
      </c>
      <c r="K1468" s="1713"/>
      <c r="L1468" s="1750">
        <v>43102</v>
      </c>
      <c r="M1468" s="1750"/>
      <c r="N1468" s="1750"/>
      <c r="O1468" s="1750" t="s">
        <v>60</v>
      </c>
      <c r="P1468" s="1768">
        <v>1</v>
      </c>
      <c r="Q1468" s="1768">
        <v>1</v>
      </c>
      <c r="R1468" s="1808">
        <v>70404</v>
      </c>
      <c r="S1468" s="1833" t="s">
        <v>1937</v>
      </c>
      <c r="T1468" s="1729" t="s">
        <v>38</v>
      </c>
      <c r="U1468" s="1729"/>
      <c r="V1468" s="1729"/>
      <c r="W1468" s="1692" t="s">
        <v>2008</v>
      </c>
      <c r="X1468" s="1865"/>
      <c r="Y1468" s="1865"/>
      <c r="Z1468" s="1865"/>
      <c r="AA1468" s="1865"/>
      <c r="AB1468" s="1865"/>
      <c r="AC1468" s="1865"/>
      <c r="AD1468" s="1865"/>
      <c r="AE1468" s="1865"/>
    </row>
    <row r="1469" spans="1:31" ht="37.5">
      <c r="A1469" s="1649"/>
      <c r="B1469" s="1496" t="s">
        <v>56</v>
      </c>
      <c r="C1469" s="1666"/>
      <c r="D1469" s="1665" t="s">
        <v>57</v>
      </c>
      <c r="E1469" s="1665"/>
      <c r="F1469" s="1665"/>
      <c r="G1469" s="1665"/>
      <c r="H1469" s="1665" t="s">
        <v>58</v>
      </c>
      <c r="I1469" s="1692" t="s">
        <v>47</v>
      </c>
      <c r="J1469" s="1700" t="s">
        <v>4810</v>
      </c>
      <c r="K1469" s="1713"/>
      <c r="L1469" s="1750" t="s">
        <v>60</v>
      </c>
      <c r="M1469" s="1750"/>
      <c r="N1469" s="1750"/>
      <c r="O1469" s="1750" t="s">
        <v>60</v>
      </c>
      <c r="P1469" s="1768" t="s">
        <v>60</v>
      </c>
      <c r="Q1469" s="1768" t="s">
        <v>60</v>
      </c>
      <c r="R1469" s="1808">
        <v>400000</v>
      </c>
      <c r="S1469" s="1833" t="s">
        <v>1937</v>
      </c>
      <c r="T1469" s="1729" t="s">
        <v>38</v>
      </c>
      <c r="U1469" s="1729"/>
      <c r="V1469" s="1729"/>
      <c r="W1469" s="1692" t="s">
        <v>1627</v>
      </c>
      <c r="X1469" s="1865"/>
      <c r="Y1469" s="1865"/>
      <c r="Z1469" s="1865"/>
      <c r="AA1469" s="1865"/>
      <c r="AB1469" s="1865"/>
      <c r="AC1469" s="1865"/>
      <c r="AD1469" s="1865"/>
      <c r="AE1469" s="1865"/>
    </row>
    <row r="1470" spans="1:31" ht="37.5">
      <c r="A1470" s="1649"/>
      <c r="B1470" s="1496" t="s">
        <v>56</v>
      </c>
      <c r="C1470" s="1666"/>
      <c r="D1470" s="1665" t="s">
        <v>57</v>
      </c>
      <c r="E1470" s="1665"/>
      <c r="F1470" s="1665"/>
      <c r="G1470" s="1665"/>
      <c r="H1470" s="1665" t="s">
        <v>58</v>
      </c>
      <c r="I1470" s="1692" t="s">
        <v>47</v>
      </c>
      <c r="J1470" s="1700" t="s">
        <v>4811</v>
      </c>
      <c r="K1470" s="1713"/>
      <c r="L1470" s="1750" t="s">
        <v>60</v>
      </c>
      <c r="M1470" s="1750"/>
      <c r="N1470" s="1750"/>
      <c r="O1470" s="1750" t="s">
        <v>60</v>
      </c>
      <c r="P1470" s="1768" t="s">
        <v>60</v>
      </c>
      <c r="Q1470" s="1768" t="s">
        <v>60</v>
      </c>
      <c r="R1470" s="1808">
        <v>173040</v>
      </c>
      <c r="S1470" s="1833" t="s">
        <v>1937</v>
      </c>
      <c r="T1470" s="1729" t="s">
        <v>38</v>
      </c>
      <c r="U1470" s="1729"/>
      <c r="V1470" s="1729"/>
      <c r="W1470" s="1692" t="s">
        <v>4812</v>
      </c>
      <c r="X1470" s="1865"/>
      <c r="Y1470" s="1865"/>
      <c r="Z1470" s="1865"/>
      <c r="AA1470" s="1865"/>
      <c r="AB1470" s="1865"/>
      <c r="AC1470" s="1865"/>
      <c r="AD1470" s="1865"/>
      <c r="AE1470" s="1865"/>
    </row>
    <row r="1471" spans="1:31" ht="37.5">
      <c r="A1471" s="1649"/>
      <c r="B1471" s="1496" t="s">
        <v>56</v>
      </c>
      <c r="C1471" s="1666"/>
      <c r="D1471" s="1665" t="s">
        <v>57</v>
      </c>
      <c r="E1471" s="1665"/>
      <c r="F1471" s="1665"/>
      <c r="G1471" s="1665"/>
      <c r="H1471" s="1665" t="s">
        <v>58</v>
      </c>
      <c r="I1471" s="1692" t="s">
        <v>47</v>
      </c>
      <c r="J1471" s="1700" t="s">
        <v>4813</v>
      </c>
      <c r="K1471" s="1713"/>
      <c r="L1471" s="1750" t="s">
        <v>45</v>
      </c>
      <c r="M1471" s="1750"/>
      <c r="N1471" s="1750"/>
      <c r="O1471" s="1750" t="s">
        <v>60</v>
      </c>
      <c r="P1471" s="1768" t="s">
        <v>60</v>
      </c>
      <c r="Q1471" s="1768" t="s">
        <v>60</v>
      </c>
      <c r="R1471" s="1808">
        <v>250000</v>
      </c>
      <c r="S1471" s="1833" t="s">
        <v>1937</v>
      </c>
      <c r="T1471" s="1729" t="s">
        <v>38</v>
      </c>
      <c r="U1471" s="1729"/>
      <c r="V1471" s="1729"/>
      <c r="W1471" s="1692" t="s">
        <v>1860</v>
      </c>
      <c r="X1471" s="1865"/>
      <c r="Y1471" s="1865"/>
      <c r="Z1471" s="1865"/>
      <c r="AA1471" s="1865"/>
      <c r="AB1471" s="1865"/>
      <c r="AC1471" s="1865"/>
      <c r="AD1471" s="1865"/>
      <c r="AE1471" s="1865"/>
    </row>
    <row r="1472" spans="1:31" ht="37.5">
      <c r="A1472" s="1649"/>
      <c r="B1472" s="1496" t="s">
        <v>56</v>
      </c>
      <c r="C1472" s="1666"/>
      <c r="D1472" s="1665" t="s">
        <v>57</v>
      </c>
      <c r="E1472" s="1665"/>
      <c r="F1472" s="1665"/>
      <c r="G1472" s="1665"/>
      <c r="H1472" s="1665" t="s">
        <v>58</v>
      </c>
      <c r="I1472" s="1692" t="s">
        <v>47</v>
      </c>
      <c r="J1472" s="1700" t="s">
        <v>4814</v>
      </c>
      <c r="K1472" s="1713"/>
      <c r="L1472" s="1750" t="s">
        <v>45</v>
      </c>
      <c r="M1472" s="1750"/>
      <c r="N1472" s="1750"/>
      <c r="O1472" s="1750" t="s">
        <v>4815</v>
      </c>
      <c r="P1472" s="1768" t="s">
        <v>60</v>
      </c>
      <c r="Q1472" s="1768" t="s">
        <v>60</v>
      </c>
      <c r="R1472" s="1808">
        <v>200000</v>
      </c>
      <c r="S1472" s="1833" t="s">
        <v>1937</v>
      </c>
      <c r="T1472" s="1729" t="s">
        <v>38</v>
      </c>
      <c r="U1472" s="1729"/>
      <c r="V1472" s="1729"/>
      <c r="W1472" s="1692" t="s">
        <v>1860</v>
      </c>
      <c r="X1472" s="1865"/>
      <c r="Y1472" s="1865"/>
      <c r="Z1472" s="1865"/>
      <c r="AA1472" s="1865"/>
      <c r="AB1472" s="1865"/>
      <c r="AC1472" s="1865"/>
      <c r="AD1472" s="1865"/>
      <c r="AE1472" s="1865"/>
    </row>
    <row r="1473" spans="1:31" ht="37.5">
      <c r="A1473" s="1649"/>
      <c r="B1473" s="1496" t="s">
        <v>56</v>
      </c>
      <c r="C1473" s="1666" t="s">
        <v>4816</v>
      </c>
      <c r="D1473" s="1665" t="s">
        <v>57</v>
      </c>
      <c r="E1473" s="1665"/>
      <c r="F1473" s="1665"/>
      <c r="G1473" s="1665"/>
      <c r="H1473" s="1665" t="s">
        <v>58</v>
      </c>
      <c r="I1473" s="1692" t="s">
        <v>47</v>
      </c>
      <c r="J1473" s="1700" t="s">
        <v>4817</v>
      </c>
      <c r="K1473" s="1713"/>
      <c r="L1473" s="1739" t="s">
        <v>60</v>
      </c>
      <c r="M1473" s="1739"/>
      <c r="N1473" s="1739"/>
      <c r="O1473" s="1750" t="s">
        <v>60</v>
      </c>
      <c r="P1473" s="1768" t="s">
        <v>60</v>
      </c>
      <c r="Q1473" s="1768" t="s">
        <v>60</v>
      </c>
      <c r="R1473" s="1808">
        <v>200000</v>
      </c>
      <c r="S1473" s="1833" t="s">
        <v>1937</v>
      </c>
      <c r="T1473" s="1729" t="s">
        <v>38</v>
      </c>
      <c r="U1473" s="1729"/>
      <c r="V1473" s="1729"/>
      <c r="W1473" s="1665" t="s">
        <v>2228</v>
      </c>
      <c r="X1473" s="1865"/>
      <c r="Y1473" s="1865"/>
      <c r="Z1473" s="1865"/>
      <c r="AA1473" s="1865"/>
      <c r="AB1473" s="1865"/>
      <c r="AC1473" s="1865"/>
      <c r="AD1473" s="1865"/>
      <c r="AE1473" s="1865"/>
    </row>
    <row r="1474" spans="1:31" ht="37.5">
      <c r="A1474" s="1649"/>
      <c r="B1474" s="1496" t="s">
        <v>56</v>
      </c>
      <c r="C1474" s="1666"/>
      <c r="D1474" s="1665" t="s">
        <v>57</v>
      </c>
      <c r="E1474" s="1665"/>
      <c r="F1474" s="1665"/>
      <c r="G1474" s="1665"/>
      <c r="H1474" s="1665" t="s">
        <v>58</v>
      </c>
      <c r="I1474" s="1692" t="s">
        <v>47</v>
      </c>
      <c r="J1474" s="1700" t="s">
        <v>4818</v>
      </c>
      <c r="K1474" s="1713"/>
      <c r="L1474" s="1750">
        <v>43313</v>
      </c>
      <c r="M1474" s="1750"/>
      <c r="N1474" s="1750"/>
      <c r="O1474" s="1750" t="s">
        <v>45</v>
      </c>
      <c r="P1474" s="1768">
        <v>1</v>
      </c>
      <c r="Q1474" s="1768">
        <v>1</v>
      </c>
      <c r="R1474" s="1808">
        <v>50000</v>
      </c>
      <c r="S1474" s="1833" t="s">
        <v>1937</v>
      </c>
      <c r="T1474" s="1729" t="s">
        <v>38</v>
      </c>
      <c r="U1474" s="1729"/>
      <c r="V1474" s="1729"/>
      <c r="W1474" s="1665" t="s">
        <v>60</v>
      </c>
      <c r="X1474" s="1865"/>
      <c r="Y1474" s="1865"/>
      <c r="Z1474" s="1865"/>
      <c r="AA1474" s="1865"/>
      <c r="AB1474" s="1865"/>
      <c r="AC1474" s="1865"/>
      <c r="AD1474" s="1865"/>
      <c r="AE1474" s="1865"/>
    </row>
    <row r="1475" spans="1:31" ht="37.5">
      <c r="A1475" s="1649"/>
      <c r="B1475" s="1496" t="s">
        <v>56</v>
      </c>
      <c r="C1475" s="1666"/>
      <c r="D1475" s="1665" t="s">
        <v>57</v>
      </c>
      <c r="E1475" s="1665"/>
      <c r="F1475" s="1665"/>
      <c r="G1475" s="1665"/>
      <c r="H1475" s="1665" t="s">
        <v>58</v>
      </c>
      <c r="I1475" s="1692" t="s">
        <v>47</v>
      </c>
      <c r="J1475" s="1700" t="s">
        <v>4819</v>
      </c>
      <c r="K1475" s="1713"/>
      <c r="L1475" s="1750" t="s">
        <v>45</v>
      </c>
      <c r="M1475" s="1750"/>
      <c r="N1475" s="1750"/>
      <c r="O1475" s="1750" t="s">
        <v>45</v>
      </c>
      <c r="P1475" s="1768" t="s">
        <v>45</v>
      </c>
      <c r="Q1475" s="1768" t="s">
        <v>45</v>
      </c>
      <c r="R1475" s="1808">
        <v>30000</v>
      </c>
      <c r="S1475" s="1833" t="s">
        <v>1937</v>
      </c>
      <c r="T1475" s="1729" t="s">
        <v>38</v>
      </c>
      <c r="U1475" s="1729"/>
      <c r="V1475" s="1729"/>
      <c r="W1475" s="1665" t="s">
        <v>60</v>
      </c>
      <c r="X1475" s="1865"/>
      <c r="Y1475" s="1865"/>
      <c r="Z1475" s="1865"/>
      <c r="AA1475" s="1865"/>
      <c r="AB1475" s="1865"/>
      <c r="AC1475" s="1865"/>
      <c r="AD1475" s="1865"/>
      <c r="AE1475" s="1865"/>
    </row>
    <row r="1476" spans="1:31" ht="37.5">
      <c r="A1476" s="1649"/>
      <c r="B1476" s="1496" t="s">
        <v>56</v>
      </c>
      <c r="C1476" s="1666"/>
      <c r="D1476" s="1665" t="s">
        <v>57</v>
      </c>
      <c r="E1476" s="1665"/>
      <c r="F1476" s="1665"/>
      <c r="G1476" s="1665"/>
      <c r="H1476" s="1665" t="s">
        <v>58</v>
      </c>
      <c r="I1476" s="1692" t="s">
        <v>47</v>
      </c>
      <c r="J1476" s="1700" t="s">
        <v>4820</v>
      </c>
      <c r="K1476" s="1713"/>
      <c r="L1476" s="1750" t="s">
        <v>60</v>
      </c>
      <c r="M1476" s="1750"/>
      <c r="N1476" s="1750"/>
      <c r="O1476" s="1750" t="s">
        <v>60</v>
      </c>
      <c r="P1476" s="1768" t="s">
        <v>60</v>
      </c>
      <c r="Q1476" s="1768" t="s">
        <v>60</v>
      </c>
      <c r="R1476" s="1808">
        <v>230000</v>
      </c>
      <c r="S1476" s="1833" t="s">
        <v>1937</v>
      </c>
      <c r="T1476" s="1729" t="s">
        <v>38</v>
      </c>
      <c r="U1476" s="1729"/>
      <c r="V1476" s="1729"/>
      <c r="W1476" s="1692" t="s">
        <v>4821</v>
      </c>
      <c r="X1476" s="1865"/>
      <c r="Y1476" s="1865"/>
      <c r="Z1476" s="1865"/>
      <c r="AA1476" s="1865"/>
      <c r="AB1476" s="1865"/>
      <c r="AC1476" s="1865"/>
      <c r="AD1476" s="1865"/>
      <c r="AE1476" s="1865"/>
    </row>
    <row r="1477" spans="1:31" ht="37.5">
      <c r="A1477" s="1649"/>
      <c r="B1477" s="1496" t="s">
        <v>56</v>
      </c>
      <c r="C1477" s="1666"/>
      <c r="D1477" s="1665" t="s">
        <v>57</v>
      </c>
      <c r="E1477" s="1665"/>
      <c r="F1477" s="1665"/>
      <c r="G1477" s="1665"/>
      <c r="H1477" s="1665" t="s">
        <v>58</v>
      </c>
      <c r="I1477" s="1692" t="s">
        <v>47</v>
      </c>
      <c r="J1477" s="1700" t="s">
        <v>4822</v>
      </c>
      <c r="K1477" s="1713"/>
      <c r="L1477" s="1750" t="s">
        <v>60</v>
      </c>
      <c r="M1477" s="1750"/>
      <c r="N1477" s="1750"/>
      <c r="O1477" s="1750" t="s">
        <v>60</v>
      </c>
      <c r="P1477" s="1768" t="s">
        <v>60</v>
      </c>
      <c r="Q1477" s="1768" t="s">
        <v>60</v>
      </c>
      <c r="R1477" s="1808">
        <v>185000</v>
      </c>
      <c r="S1477" s="1833" t="s">
        <v>1937</v>
      </c>
      <c r="T1477" s="1729" t="s">
        <v>38</v>
      </c>
      <c r="U1477" s="1729"/>
      <c r="V1477" s="1729"/>
      <c r="W1477" s="1692" t="s">
        <v>4821</v>
      </c>
      <c r="X1477" s="1865"/>
      <c r="Y1477" s="1865"/>
      <c r="Z1477" s="1865"/>
      <c r="AA1477" s="1865"/>
      <c r="AB1477" s="1865"/>
      <c r="AC1477" s="1865"/>
      <c r="AD1477" s="1865"/>
      <c r="AE1477" s="1865"/>
    </row>
    <row r="1478" spans="1:31" ht="25">
      <c r="A1478" s="1649"/>
      <c r="B1478" s="1496" t="s">
        <v>56</v>
      </c>
      <c r="C1478" s="1665"/>
      <c r="D1478" s="1665" t="s">
        <v>32</v>
      </c>
      <c r="E1478" s="1665"/>
      <c r="F1478" s="1665"/>
      <c r="G1478" s="1665"/>
      <c r="H1478" s="1665" t="s">
        <v>308</v>
      </c>
      <c r="I1478" s="1692" t="s">
        <v>47</v>
      </c>
      <c r="J1478" s="1699" t="s">
        <v>4823</v>
      </c>
      <c r="K1478" s="1712"/>
      <c r="L1478" s="1739" t="s">
        <v>60</v>
      </c>
      <c r="M1478" s="1739"/>
      <c r="N1478" s="1739"/>
      <c r="O1478" s="1750" t="s">
        <v>60</v>
      </c>
      <c r="P1478" s="1768" t="s">
        <v>60</v>
      </c>
      <c r="Q1478" s="1768" t="s">
        <v>60</v>
      </c>
      <c r="R1478" s="2052" t="s">
        <v>60</v>
      </c>
      <c r="S1478" s="1833" t="s">
        <v>60</v>
      </c>
      <c r="T1478" s="1729" t="s">
        <v>38</v>
      </c>
      <c r="U1478" s="1729"/>
      <c r="V1478" s="1729"/>
      <c r="W1478" s="1692" t="s">
        <v>714</v>
      </c>
      <c r="X1478" s="1865"/>
      <c r="Y1478" s="1865"/>
      <c r="Z1478" s="1865"/>
      <c r="AA1478" s="1865"/>
      <c r="AB1478" s="1865"/>
      <c r="AC1478" s="1865"/>
      <c r="AD1478" s="1865"/>
      <c r="AE1478" s="1865"/>
    </row>
    <row r="1479" spans="1:31" ht="37.5">
      <c r="A1479" s="1649"/>
      <c r="B1479" s="1496" t="s">
        <v>56</v>
      </c>
      <c r="C1479" s="1666"/>
      <c r="D1479" s="1665" t="s">
        <v>57</v>
      </c>
      <c r="E1479" s="1665"/>
      <c r="F1479" s="1665"/>
      <c r="G1479" s="1665"/>
      <c r="H1479" s="1665" t="s">
        <v>58</v>
      </c>
      <c r="I1479" s="1692" t="s">
        <v>47</v>
      </c>
      <c r="J1479" s="1700" t="s">
        <v>4824</v>
      </c>
      <c r="K1479" s="1713"/>
      <c r="L1479" s="1750" t="s">
        <v>45</v>
      </c>
      <c r="M1479" s="1750"/>
      <c r="N1479" s="1750"/>
      <c r="O1479" s="1750" t="s">
        <v>45</v>
      </c>
      <c r="P1479" s="1768" t="s">
        <v>60</v>
      </c>
      <c r="Q1479" s="1768" t="s">
        <v>45</v>
      </c>
      <c r="R1479" s="2055">
        <v>8000</v>
      </c>
      <c r="S1479" s="1833" t="s">
        <v>176</v>
      </c>
      <c r="T1479" s="1729" t="s">
        <v>38</v>
      </c>
      <c r="U1479" s="1729"/>
      <c r="V1479" s="1729"/>
      <c r="W1479" s="1692" t="s">
        <v>1627</v>
      </c>
      <c r="X1479" s="1865"/>
      <c r="Y1479" s="1865"/>
      <c r="Z1479" s="1865"/>
      <c r="AA1479" s="1865"/>
      <c r="AB1479" s="1865"/>
      <c r="AC1479" s="1865"/>
      <c r="AD1479" s="1865"/>
      <c r="AE1479" s="1865"/>
    </row>
    <row r="1480" spans="1:31" ht="37.5">
      <c r="A1480" s="1649"/>
      <c r="B1480" s="1496" t="s">
        <v>56</v>
      </c>
      <c r="C1480" s="1666"/>
      <c r="D1480" s="1665" t="s">
        <v>57</v>
      </c>
      <c r="E1480" s="1665"/>
      <c r="F1480" s="1665"/>
      <c r="G1480" s="1665"/>
      <c r="H1480" s="1665" t="s">
        <v>58</v>
      </c>
      <c r="I1480" s="1692" t="s">
        <v>47</v>
      </c>
      <c r="J1480" s="1700" t="s">
        <v>4825</v>
      </c>
      <c r="K1480" s="1713"/>
      <c r="L1480" s="1750" t="s">
        <v>60</v>
      </c>
      <c r="M1480" s="1750"/>
      <c r="N1480" s="1750"/>
      <c r="O1480" s="1750" t="s">
        <v>60</v>
      </c>
      <c r="P1480" s="1768" t="s">
        <v>60</v>
      </c>
      <c r="Q1480" s="1768" t="s">
        <v>60</v>
      </c>
      <c r="R1480" s="1808">
        <v>50470</v>
      </c>
      <c r="S1480" s="1833" t="s">
        <v>60</v>
      </c>
      <c r="T1480" s="1729" t="s">
        <v>38</v>
      </c>
      <c r="U1480" s="1729"/>
      <c r="V1480" s="1729"/>
      <c r="W1480" s="1692" t="s">
        <v>60</v>
      </c>
      <c r="X1480" s="1865"/>
      <c r="Y1480" s="1865"/>
      <c r="Z1480" s="1865"/>
      <c r="AA1480" s="1865"/>
      <c r="AB1480" s="1865"/>
      <c r="AC1480" s="1865"/>
      <c r="AD1480" s="1865"/>
      <c r="AE1480" s="1865"/>
    </row>
    <row r="1481" spans="1:31" ht="37.5">
      <c r="A1481" s="1649"/>
      <c r="B1481" s="1496" t="s">
        <v>56</v>
      </c>
      <c r="C1481" s="1666"/>
      <c r="D1481" s="1665" t="s">
        <v>57</v>
      </c>
      <c r="E1481" s="1665"/>
      <c r="F1481" s="1665"/>
      <c r="G1481" s="1665"/>
      <c r="H1481" s="1665" t="s">
        <v>58</v>
      </c>
      <c r="I1481" s="1692" t="s">
        <v>47</v>
      </c>
      <c r="J1481" s="1700" t="s">
        <v>4826</v>
      </c>
      <c r="K1481" s="1713"/>
      <c r="L1481" s="1750" t="s">
        <v>60</v>
      </c>
      <c r="M1481" s="1750"/>
      <c r="N1481" s="1750"/>
      <c r="O1481" s="1750" t="s">
        <v>60</v>
      </c>
      <c r="P1481" s="1768" t="s">
        <v>60</v>
      </c>
      <c r="Q1481" s="1768" t="s">
        <v>60</v>
      </c>
      <c r="R1481" s="1808">
        <v>25750</v>
      </c>
      <c r="S1481" s="1833" t="s">
        <v>60</v>
      </c>
      <c r="T1481" s="1729" t="s">
        <v>38</v>
      </c>
      <c r="U1481" s="1729"/>
      <c r="V1481" s="1729"/>
      <c r="W1481" s="1692" t="s">
        <v>60</v>
      </c>
      <c r="X1481" s="1865"/>
      <c r="Y1481" s="1865"/>
      <c r="Z1481" s="1865"/>
      <c r="AA1481" s="1865"/>
      <c r="AB1481" s="1865"/>
      <c r="AC1481" s="1865"/>
      <c r="AD1481" s="1865"/>
      <c r="AE1481" s="1865"/>
    </row>
    <row r="1482" spans="1:31" ht="37.5">
      <c r="A1482" s="1649"/>
      <c r="B1482" s="1496" t="s">
        <v>56</v>
      </c>
      <c r="C1482" s="1666"/>
      <c r="D1482" s="1665" t="s">
        <v>57</v>
      </c>
      <c r="E1482" s="1665"/>
      <c r="F1482" s="1665"/>
      <c r="G1482" s="1665"/>
      <c r="H1482" s="1665" t="s">
        <v>58</v>
      </c>
      <c r="I1482" s="1692" t="s">
        <v>47</v>
      </c>
      <c r="J1482" s="1700" t="s">
        <v>4827</v>
      </c>
      <c r="K1482" s="1713"/>
      <c r="L1482" s="1750">
        <v>43132</v>
      </c>
      <c r="M1482" s="1750"/>
      <c r="N1482" s="1750"/>
      <c r="O1482" s="1750" t="s">
        <v>60</v>
      </c>
      <c r="P1482" s="1768" t="s">
        <v>45</v>
      </c>
      <c r="Q1482" s="1768" t="s">
        <v>45</v>
      </c>
      <c r="R1482" s="1808">
        <v>214566</v>
      </c>
      <c r="S1482" s="1833" t="s">
        <v>1937</v>
      </c>
      <c r="T1482" s="1729" t="s">
        <v>38</v>
      </c>
      <c r="U1482" s="1729"/>
      <c r="V1482" s="1729"/>
      <c r="W1482" s="1692" t="s">
        <v>60</v>
      </c>
      <c r="X1482" s="1865"/>
      <c r="Y1482" s="1865"/>
      <c r="Z1482" s="1865"/>
      <c r="AA1482" s="1865"/>
      <c r="AB1482" s="1865"/>
      <c r="AC1482" s="1865"/>
      <c r="AD1482" s="1865"/>
      <c r="AE1482" s="1865"/>
    </row>
    <row r="1483" spans="1:31" ht="37.5">
      <c r="A1483" s="1649"/>
      <c r="B1483" s="1496" t="s">
        <v>56</v>
      </c>
      <c r="C1483" s="1666"/>
      <c r="D1483" s="1665" t="s">
        <v>57</v>
      </c>
      <c r="E1483" s="1665"/>
      <c r="F1483" s="1665"/>
      <c r="G1483" s="1665"/>
      <c r="H1483" s="1665" t="s">
        <v>58</v>
      </c>
      <c r="I1483" s="1692" t="s">
        <v>47</v>
      </c>
      <c r="J1483" s="1700" t="s">
        <v>4828</v>
      </c>
      <c r="K1483" s="1713"/>
      <c r="L1483" s="1750" t="s">
        <v>60</v>
      </c>
      <c r="M1483" s="1750"/>
      <c r="N1483" s="1750"/>
      <c r="O1483" s="1750" t="s">
        <v>60</v>
      </c>
      <c r="P1483" s="1768" t="s">
        <v>60</v>
      </c>
      <c r="Q1483" s="1768" t="s">
        <v>60</v>
      </c>
      <c r="R1483" s="1808">
        <v>177241</v>
      </c>
      <c r="S1483" s="1833" t="s">
        <v>60</v>
      </c>
      <c r="T1483" s="1729" t="s">
        <v>1568</v>
      </c>
      <c r="U1483" s="1729"/>
      <c r="V1483" s="1729"/>
      <c r="W1483" s="1692" t="s">
        <v>60</v>
      </c>
      <c r="X1483" s="1865"/>
      <c r="Y1483" s="1865"/>
      <c r="Z1483" s="1865"/>
      <c r="AA1483" s="1865"/>
      <c r="AB1483" s="1865"/>
      <c r="AC1483" s="1865"/>
      <c r="AD1483" s="1865"/>
      <c r="AE1483" s="1865"/>
    </row>
    <row r="1484" spans="1:31" ht="37.5">
      <c r="A1484" s="1649"/>
      <c r="B1484" s="1496" t="s">
        <v>56</v>
      </c>
      <c r="C1484" s="1666"/>
      <c r="D1484" s="1665" t="s">
        <v>57</v>
      </c>
      <c r="E1484" s="1665"/>
      <c r="F1484" s="1665"/>
      <c r="G1484" s="1665"/>
      <c r="H1484" s="1665" t="s">
        <v>58</v>
      </c>
      <c r="I1484" s="1692" t="s">
        <v>47</v>
      </c>
      <c r="J1484" s="1700" t="s">
        <v>4829</v>
      </c>
      <c r="K1484" s="1713"/>
      <c r="L1484" s="1750" t="s">
        <v>60</v>
      </c>
      <c r="M1484" s="1750"/>
      <c r="N1484" s="1750"/>
      <c r="O1484" s="1750" t="s">
        <v>60</v>
      </c>
      <c r="P1484" s="1768" t="s">
        <v>60</v>
      </c>
      <c r="Q1484" s="1768" t="s">
        <v>60</v>
      </c>
      <c r="R1484" s="1808">
        <v>178232</v>
      </c>
      <c r="S1484" s="1833" t="s">
        <v>60</v>
      </c>
      <c r="T1484" s="1729" t="s">
        <v>38</v>
      </c>
      <c r="U1484" s="1729"/>
      <c r="V1484" s="1729"/>
      <c r="W1484" s="1692" t="s">
        <v>60</v>
      </c>
      <c r="X1484" s="1865"/>
      <c r="Y1484" s="1865"/>
      <c r="Z1484" s="1865"/>
      <c r="AA1484" s="1865"/>
      <c r="AB1484" s="1865"/>
      <c r="AC1484" s="1865"/>
      <c r="AD1484" s="1865"/>
      <c r="AE1484" s="1865"/>
    </row>
    <row r="1485" spans="1:31" ht="37.5">
      <c r="A1485" s="1649"/>
      <c r="B1485" s="1496" t="s">
        <v>56</v>
      </c>
      <c r="C1485" s="1666"/>
      <c r="D1485" s="1665" t="s">
        <v>57</v>
      </c>
      <c r="E1485" s="1665"/>
      <c r="F1485" s="1665"/>
      <c r="G1485" s="1665"/>
      <c r="H1485" s="1665" t="s">
        <v>58</v>
      </c>
      <c r="I1485" s="1692" t="s">
        <v>47</v>
      </c>
      <c r="J1485" s="1700" t="s">
        <v>4830</v>
      </c>
      <c r="K1485" s="1713"/>
      <c r="L1485" s="1750" t="s">
        <v>60</v>
      </c>
      <c r="M1485" s="1750"/>
      <c r="N1485" s="1750"/>
      <c r="O1485" s="1750" t="s">
        <v>60</v>
      </c>
      <c r="P1485" s="1768" t="s">
        <v>60</v>
      </c>
      <c r="Q1485" s="1768" t="s">
        <v>60</v>
      </c>
      <c r="R1485" s="1808">
        <v>124996</v>
      </c>
      <c r="S1485" s="1833" t="s">
        <v>60</v>
      </c>
      <c r="T1485" s="1729" t="s">
        <v>38</v>
      </c>
      <c r="U1485" s="1729"/>
      <c r="V1485" s="1729"/>
      <c r="W1485" s="1692" t="s">
        <v>60</v>
      </c>
      <c r="X1485" s="1865"/>
      <c r="Y1485" s="1865"/>
      <c r="Z1485" s="1865"/>
      <c r="AA1485" s="1865"/>
      <c r="AB1485" s="1865"/>
      <c r="AC1485" s="1865"/>
      <c r="AD1485" s="1865"/>
      <c r="AE1485" s="1865"/>
    </row>
    <row r="1486" spans="1:31" ht="37.5">
      <c r="A1486" s="1649"/>
      <c r="B1486" s="1496" t="s">
        <v>56</v>
      </c>
      <c r="C1486" s="1666"/>
      <c r="D1486" s="1665" t="s">
        <v>57</v>
      </c>
      <c r="E1486" s="1665"/>
      <c r="F1486" s="1665"/>
      <c r="G1486" s="1665"/>
      <c r="H1486" s="1665" t="s">
        <v>58</v>
      </c>
      <c r="I1486" s="1692" t="s">
        <v>47</v>
      </c>
      <c r="J1486" s="1700" t="s">
        <v>4831</v>
      </c>
      <c r="K1486" s="1713"/>
      <c r="L1486" s="1750" t="s">
        <v>60</v>
      </c>
      <c r="M1486" s="1750"/>
      <c r="N1486" s="1750"/>
      <c r="O1486" s="1750" t="s">
        <v>45</v>
      </c>
      <c r="P1486" s="1768" t="s">
        <v>45</v>
      </c>
      <c r="Q1486" s="1768" t="s">
        <v>45</v>
      </c>
      <c r="R1486" s="1808">
        <v>110716</v>
      </c>
      <c r="S1486" s="1833" t="s">
        <v>60</v>
      </c>
      <c r="T1486" s="1729" t="s">
        <v>38</v>
      </c>
      <c r="U1486" s="1729"/>
      <c r="V1486" s="1729"/>
      <c r="W1486" s="1692" t="s">
        <v>60</v>
      </c>
      <c r="X1486" s="1865"/>
      <c r="Y1486" s="1865"/>
      <c r="Z1486" s="1865"/>
      <c r="AA1486" s="1865"/>
      <c r="AB1486" s="1865"/>
      <c r="AC1486" s="1865"/>
      <c r="AD1486" s="1865"/>
      <c r="AE1486" s="1865"/>
    </row>
    <row r="1487" spans="1:31" ht="37.5">
      <c r="A1487" s="1649"/>
      <c r="B1487" s="1496" t="s">
        <v>56</v>
      </c>
      <c r="C1487" s="1666"/>
      <c r="D1487" s="1665" t="s">
        <v>57</v>
      </c>
      <c r="E1487" s="1665"/>
      <c r="F1487" s="1665"/>
      <c r="G1487" s="1665"/>
      <c r="H1487" s="1665" t="s">
        <v>58</v>
      </c>
      <c r="I1487" s="1692" t="s">
        <v>47</v>
      </c>
      <c r="J1487" s="1700" t="s">
        <v>4832</v>
      </c>
      <c r="K1487" s="1713"/>
      <c r="L1487" s="1750" t="s">
        <v>60</v>
      </c>
      <c r="M1487" s="1750"/>
      <c r="N1487" s="1750"/>
      <c r="O1487" s="1750" t="s">
        <v>60</v>
      </c>
      <c r="P1487" s="1768" t="s">
        <v>60</v>
      </c>
      <c r="Q1487" s="1768" t="s">
        <v>60</v>
      </c>
      <c r="R1487" s="1808">
        <v>270000</v>
      </c>
      <c r="S1487" s="1833" t="s">
        <v>1937</v>
      </c>
      <c r="T1487" s="1729" t="s">
        <v>38</v>
      </c>
      <c r="U1487" s="1729"/>
      <c r="V1487" s="1729"/>
      <c r="W1487" s="1692" t="s">
        <v>1860</v>
      </c>
      <c r="X1487" s="1865"/>
      <c r="Y1487" s="1865"/>
      <c r="Z1487" s="1865"/>
      <c r="AA1487" s="1865"/>
      <c r="AB1487" s="1865"/>
      <c r="AC1487" s="1865"/>
      <c r="AD1487" s="1865"/>
      <c r="AE1487" s="1865"/>
    </row>
    <row r="1488" spans="1:31" ht="37.5">
      <c r="A1488" s="1649"/>
      <c r="B1488" s="1496" t="s">
        <v>56</v>
      </c>
      <c r="C1488" s="1666"/>
      <c r="D1488" s="1665" t="s">
        <v>32</v>
      </c>
      <c r="E1488" s="1665"/>
      <c r="F1488" s="1665"/>
      <c r="G1488" s="1665"/>
      <c r="H1488" s="1665" t="s">
        <v>308</v>
      </c>
      <c r="I1488" s="1692" t="s">
        <v>47</v>
      </c>
      <c r="J1488" s="1981" t="s">
        <v>4833</v>
      </c>
      <c r="K1488" s="1714"/>
      <c r="L1488" s="2010" t="s">
        <v>60</v>
      </c>
      <c r="M1488" s="2010"/>
      <c r="N1488" s="2010"/>
      <c r="O1488" s="1729" t="s">
        <v>60</v>
      </c>
      <c r="P1488" s="1768" t="s">
        <v>60</v>
      </c>
      <c r="Q1488" s="1768" t="s">
        <v>60</v>
      </c>
      <c r="R1488" s="2064" t="s">
        <v>60</v>
      </c>
      <c r="S1488" s="1833" t="s">
        <v>60</v>
      </c>
      <c r="T1488" s="1729" t="s">
        <v>38</v>
      </c>
      <c r="U1488" s="1729"/>
      <c r="V1488" s="1729"/>
      <c r="W1488" s="1692" t="s">
        <v>2448</v>
      </c>
      <c r="X1488" s="1865"/>
      <c r="Y1488" s="1865"/>
      <c r="Z1488" s="1865"/>
      <c r="AA1488" s="1865"/>
      <c r="AB1488" s="1865"/>
      <c r="AC1488" s="1865"/>
      <c r="AD1488" s="1865"/>
      <c r="AE1488" s="1865"/>
    </row>
    <row r="1489" spans="1:31" ht="25">
      <c r="A1489" s="1649"/>
      <c r="B1489" s="1496" t="s">
        <v>56</v>
      </c>
      <c r="C1489" s="1674"/>
      <c r="D1489" s="1665" t="s">
        <v>32</v>
      </c>
      <c r="E1489" s="1665"/>
      <c r="F1489" s="1665"/>
      <c r="G1489" s="1665"/>
      <c r="H1489" s="1665" t="s">
        <v>308</v>
      </c>
      <c r="I1489" s="1692" t="s">
        <v>47</v>
      </c>
      <c r="J1489" s="1699" t="s">
        <v>4834</v>
      </c>
      <c r="K1489" s="1712"/>
      <c r="L1489" s="1739">
        <v>43556</v>
      </c>
      <c r="M1489" s="1739"/>
      <c r="N1489" s="1739"/>
      <c r="O1489" s="1750" t="s">
        <v>45</v>
      </c>
      <c r="P1489" s="1768" t="s">
        <v>60</v>
      </c>
      <c r="Q1489" s="1768" t="s">
        <v>60</v>
      </c>
      <c r="R1489" s="1808">
        <f>SUM(AVERAGE(10,15)*AVERAGE(80,160))*12</f>
        <v>18000</v>
      </c>
      <c r="S1489" s="1833" t="s">
        <v>60</v>
      </c>
      <c r="T1489" s="1729" t="s">
        <v>38</v>
      </c>
      <c r="U1489" s="1729"/>
      <c r="V1489" s="1729"/>
      <c r="W1489" s="1665" t="s">
        <v>408</v>
      </c>
      <c r="X1489" s="1865"/>
      <c r="Y1489" s="1865"/>
      <c r="Z1489" s="1865"/>
      <c r="AA1489" s="1865"/>
      <c r="AB1489" s="1865"/>
      <c r="AC1489" s="1865"/>
      <c r="AD1489" s="1865"/>
      <c r="AE1489" s="1865"/>
    </row>
    <row r="1490" spans="1:31" ht="37.5">
      <c r="A1490" s="1649"/>
      <c r="B1490" s="1496" t="s">
        <v>56</v>
      </c>
      <c r="C1490" s="1666"/>
      <c r="D1490" s="1665" t="s">
        <v>57</v>
      </c>
      <c r="E1490" s="1665"/>
      <c r="F1490" s="1665"/>
      <c r="G1490" s="1665"/>
      <c r="H1490" s="1665" t="s">
        <v>58</v>
      </c>
      <c r="I1490" s="1692" t="s">
        <v>47</v>
      </c>
      <c r="J1490" s="1700" t="s">
        <v>4835</v>
      </c>
      <c r="K1490" s="1713"/>
      <c r="L1490" s="1750" t="s">
        <v>45</v>
      </c>
      <c r="M1490" s="1750"/>
      <c r="N1490" s="1750"/>
      <c r="O1490" s="1750" t="s">
        <v>45</v>
      </c>
      <c r="P1490" s="1768" t="s">
        <v>60</v>
      </c>
      <c r="Q1490" s="1768" t="s">
        <v>45</v>
      </c>
      <c r="R1490" s="2055">
        <v>3000</v>
      </c>
      <c r="S1490" s="1833" t="s">
        <v>176</v>
      </c>
      <c r="T1490" s="1729" t="s">
        <v>38</v>
      </c>
      <c r="U1490" s="1729"/>
      <c r="V1490" s="1729"/>
      <c r="W1490" s="1692" t="s">
        <v>1627</v>
      </c>
      <c r="X1490" s="1865"/>
      <c r="Y1490" s="1865"/>
      <c r="Z1490" s="1865"/>
      <c r="AA1490" s="1865"/>
      <c r="AB1490" s="1865"/>
      <c r="AC1490" s="1865"/>
      <c r="AD1490" s="1865"/>
      <c r="AE1490" s="1865"/>
    </row>
    <row r="1491" spans="1:31" ht="37.5">
      <c r="A1491" s="1649"/>
      <c r="B1491" s="1496" t="s">
        <v>56</v>
      </c>
      <c r="C1491" s="1666"/>
      <c r="D1491" s="1665" t="s">
        <v>57</v>
      </c>
      <c r="E1491" s="1665"/>
      <c r="F1491" s="1665"/>
      <c r="G1491" s="1665"/>
      <c r="H1491" s="1665" t="s">
        <v>58</v>
      </c>
      <c r="I1491" s="1692" t="s">
        <v>47</v>
      </c>
      <c r="J1491" s="1700" t="s">
        <v>4836</v>
      </c>
      <c r="K1491" s="1713"/>
      <c r="L1491" s="1750" t="s">
        <v>45</v>
      </c>
      <c r="M1491" s="1750"/>
      <c r="N1491" s="1750"/>
      <c r="O1491" s="1750" t="s">
        <v>45</v>
      </c>
      <c r="P1491" s="1768" t="s">
        <v>60</v>
      </c>
      <c r="Q1491" s="1768" t="s">
        <v>45</v>
      </c>
      <c r="R1491" s="2055">
        <v>5000</v>
      </c>
      <c r="S1491" s="1833" t="s">
        <v>176</v>
      </c>
      <c r="T1491" s="1729" t="s">
        <v>38</v>
      </c>
      <c r="U1491" s="1729"/>
      <c r="V1491" s="1729"/>
      <c r="W1491" s="1692" t="s">
        <v>1627</v>
      </c>
      <c r="X1491" s="1865"/>
      <c r="Y1491" s="1865"/>
      <c r="Z1491" s="1865"/>
      <c r="AA1491" s="1865"/>
      <c r="AB1491" s="1865"/>
      <c r="AC1491" s="1865"/>
      <c r="AD1491" s="1865"/>
      <c r="AE1491" s="1865"/>
    </row>
    <row r="1492" spans="1:31" ht="37.5">
      <c r="A1492" s="1649"/>
      <c r="B1492" s="1496" t="s">
        <v>56</v>
      </c>
      <c r="C1492" s="1666" t="s">
        <v>3237</v>
      </c>
      <c r="D1492" s="1665" t="s">
        <v>57</v>
      </c>
      <c r="E1492" s="1665"/>
      <c r="F1492" s="1665"/>
      <c r="G1492" s="1665"/>
      <c r="H1492" s="1665" t="s">
        <v>58</v>
      </c>
      <c r="I1492" s="1666" t="s">
        <v>47</v>
      </c>
      <c r="J1492" s="1701" t="s">
        <v>4837</v>
      </c>
      <c r="K1492" s="1715"/>
      <c r="L1492" s="1756" t="s">
        <v>60</v>
      </c>
      <c r="M1492" s="1756"/>
      <c r="N1492" s="1756"/>
      <c r="O1492" s="1844" t="s">
        <v>60</v>
      </c>
      <c r="P1492" s="1773" t="s">
        <v>60</v>
      </c>
      <c r="Q1492" s="1773" t="s">
        <v>60</v>
      </c>
      <c r="R1492" s="1808" t="s">
        <v>60</v>
      </c>
      <c r="S1492" s="1715" t="s">
        <v>60</v>
      </c>
      <c r="T1492" s="1844"/>
      <c r="U1492" s="1844"/>
      <c r="V1492" s="1844"/>
      <c r="W1492" s="1666" t="s">
        <v>2554</v>
      </c>
      <c r="X1492" s="1865"/>
      <c r="Y1492" s="1865"/>
      <c r="Z1492" s="1865"/>
      <c r="AA1492" s="1865"/>
      <c r="AB1492" s="1865"/>
      <c r="AC1492" s="1865"/>
      <c r="AD1492" s="1865"/>
      <c r="AE1492" s="1865"/>
    </row>
    <row r="1493" spans="1:31" ht="37.5">
      <c r="A1493" s="1649"/>
      <c r="B1493" s="1496" t="s">
        <v>56</v>
      </c>
      <c r="C1493" s="1666" t="s">
        <v>4838</v>
      </c>
      <c r="D1493" s="1665" t="s">
        <v>57</v>
      </c>
      <c r="E1493" s="1665"/>
      <c r="F1493" s="1665"/>
      <c r="G1493" s="1665"/>
      <c r="H1493" s="1665" t="s">
        <v>58</v>
      </c>
      <c r="I1493" s="1692" t="s">
        <v>47</v>
      </c>
      <c r="J1493" s="1700" t="s">
        <v>4839</v>
      </c>
      <c r="K1493" s="1713"/>
      <c r="L1493" s="1750" t="s">
        <v>60</v>
      </c>
      <c r="M1493" s="1750"/>
      <c r="N1493" s="1750"/>
      <c r="O1493" s="1750" t="s">
        <v>60</v>
      </c>
      <c r="P1493" s="1768">
        <v>1</v>
      </c>
      <c r="Q1493" s="1768">
        <v>1</v>
      </c>
      <c r="R1493" s="1808">
        <v>142805</v>
      </c>
      <c r="S1493" s="1833" t="s">
        <v>1937</v>
      </c>
      <c r="T1493" s="1729" t="s">
        <v>38</v>
      </c>
      <c r="U1493" s="1729"/>
      <c r="V1493" s="1729"/>
      <c r="W1493" s="1692" t="s">
        <v>60</v>
      </c>
      <c r="X1493" s="1865"/>
      <c r="Y1493" s="1865"/>
      <c r="Z1493" s="1865"/>
      <c r="AA1493" s="1865"/>
      <c r="AB1493" s="1865"/>
      <c r="AC1493" s="1865"/>
      <c r="AD1493" s="1865"/>
      <c r="AE1493" s="1865"/>
    </row>
    <row r="1494" spans="1:31" ht="37.5">
      <c r="A1494" s="1649"/>
      <c r="B1494" s="1496" t="s">
        <v>56</v>
      </c>
      <c r="C1494" s="1666" t="s">
        <v>4840</v>
      </c>
      <c r="D1494" s="1665" t="s">
        <v>32</v>
      </c>
      <c r="E1494" s="1665"/>
      <c r="F1494" s="1665"/>
      <c r="G1494" s="1665"/>
      <c r="H1494" s="1665" t="s">
        <v>308</v>
      </c>
      <c r="I1494" s="1692" t="s">
        <v>47</v>
      </c>
      <c r="J1494" s="1700" t="s">
        <v>4841</v>
      </c>
      <c r="K1494" s="1713"/>
      <c r="L1494" s="1730" t="s">
        <v>60</v>
      </c>
      <c r="M1494" s="1730"/>
      <c r="N1494" s="1730"/>
      <c r="O1494" s="1730" t="s">
        <v>60</v>
      </c>
      <c r="P1494" s="1768">
        <v>1</v>
      </c>
      <c r="Q1494" s="1768">
        <v>1</v>
      </c>
      <c r="R1494" s="1808" t="s">
        <v>60</v>
      </c>
      <c r="S1494" s="1833" t="s">
        <v>60</v>
      </c>
      <c r="T1494" s="1729" t="s">
        <v>38</v>
      </c>
      <c r="U1494" s="1729"/>
      <c r="V1494" s="1729"/>
      <c r="W1494" s="1692" t="s">
        <v>2395</v>
      </c>
      <c r="X1494" s="1865"/>
      <c r="Y1494" s="1865"/>
      <c r="Z1494" s="1865"/>
      <c r="AA1494" s="1865"/>
      <c r="AB1494" s="1865"/>
      <c r="AC1494" s="1865"/>
      <c r="AD1494" s="1865"/>
      <c r="AE1494" s="1865"/>
    </row>
    <row r="1495" spans="1:31" ht="37.5">
      <c r="A1495" s="1649"/>
      <c r="B1495" s="1496" t="s">
        <v>56</v>
      </c>
      <c r="C1495" s="1666" t="s">
        <v>991</v>
      </c>
      <c r="D1495" s="1665" t="s">
        <v>32</v>
      </c>
      <c r="E1495" s="1665"/>
      <c r="F1495" s="1665"/>
      <c r="G1495" s="1665"/>
      <c r="H1495" s="1665" t="s">
        <v>308</v>
      </c>
      <c r="I1495" s="1692" t="s">
        <v>47</v>
      </c>
      <c r="J1495" s="1700" t="s">
        <v>4842</v>
      </c>
      <c r="K1495" s="1713"/>
      <c r="L1495" s="1730" t="s">
        <v>60</v>
      </c>
      <c r="M1495" s="1730"/>
      <c r="N1495" s="1730"/>
      <c r="O1495" s="1730" t="s">
        <v>60</v>
      </c>
      <c r="P1495" s="1768" t="s">
        <v>60</v>
      </c>
      <c r="Q1495" s="1768" t="s">
        <v>60</v>
      </c>
      <c r="R1495" s="1808" t="s">
        <v>60</v>
      </c>
      <c r="S1495" s="1833" t="s">
        <v>60</v>
      </c>
      <c r="T1495" s="1729" t="s">
        <v>38</v>
      </c>
      <c r="U1495" s="1729"/>
      <c r="V1495" s="1729"/>
      <c r="W1495" s="1692" t="s">
        <v>2433</v>
      </c>
      <c r="X1495" s="1865"/>
      <c r="Y1495" s="1865"/>
      <c r="Z1495" s="1865"/>
      <c r="AA1495" s="1865"/>
      <c r="AB1495" s="1865"/>
      <c r="AC1495" s="1865"/>
      <c r="AD1495" s="1865"/>
      <c r="AE1495" s="1865"/>
    </row>
    <row r="1496" spans="1:31" ht="25">
      <c r="A1496" s="1649"/>
      <c r="B1496" s="1496" t="s">
        <v>56</v>
      </c>
      <c r="C1496" s="1666" t="s">
        <v>991</v>
      </c>
      <c r="D1496" s="1665" t="s">
        <v>32</v>
      </c>
      <c r="E1496" s="1665"/>
      <c r="F1496" s="1665"/>
      <c r="G1496" s="1665"/>
      <c r="H1496" s="1665" t="s">
        <v>308</v>
      </c>
      <c r="I1496" s="1692" t="s">
        <v>47</v>
      </c>
      <c r="J1496" s="1700" t="s">
        <v>4843</v>
      </c>
      <c r="K1496" s="1713"/>
      <c r="L1496" s="1730" t="s">
        <v>60</v>
      </c>
      <c r="M1496" s="1730"/>
      <c r="N1496" s="1730"/>
      <c r="O1496" s="1730" t="s">
        <v>60</v>
      </c>
      <c r="P1496" s="1768" t="s">
        <v>60</v>
      </c>
      <c r="Q1496" s="1768" t="s">
        <v>60</v>
      </c>
      <c r="R1496" s="1808">
        <v>43000</v>
      </c>
      <c r="S1496" s="1833" t="s">
        <v>60</v>
      </c>
      <c r="T1496" s="1729" t="s">
        <v>60</v>
      </c>
      <c r="U1496" s="1729"/>
      <c r="V1496" s="1729"/>
      <c r="W1496" s="1692" t="s">
        <v>714</v>
      </c>
      <c r="X1496" s="1865"/>
      <c r="Y1496" s="1865"/>
      <c r="Z1496" s="1865"/>
      <c r="AA1496" s="1865"/>
      <c r="AB1496" s="1865"/>
      <c r="AC1496" s="1865"/>
      <c r="AD1496" s="1865"/>
      <c r="AE1496" s="1865"/>
    </row>
    <row r="1497" spans="1:31" ht="37.5">
      <c r="A1497" s="1649"/>
      <c r="B1497" s="1496" t="s">
        <v>56</v>
      </c>
      <c r="C1497" s="1666" t="s">
        <v>4844</v>
      </c>
      <c r="D1497" s="1665" t="s">
        <v>32</v>
      </c>
      <c r="E1497" s="1665"/>
      <c r="F1497" s="1665"/>
      <c r="G1497" s="1665"/>
      <c r="H1497" s="1665" t="s">
        <v>308</v>
      </c>
      <c r="I1497" s="1692" t="s">
        <v>47</v>
      </c>
      <c r="J1497" s="1700" t="s">
        <v>4845</v>
      </c>
      <c r="K1497" s="1713"/>
      <c r="L1497" s="1730" t="s">
        <v>60</v>
      </c>
      <c r="M1497" s="1730"/>
      <c r="N1497" s="1730"/>
      <c r="O1497" s="1730" t="s">
        <v>60</v>
      </c>
      <c r="P1497" s="1768" t="s">
        <v>60</v>
      </c>
      <c r="Q1497" s="1768" t="s">
        <v>45</v>
      </c>
      <c r="R1497" s="1808">
        <v>142000</v>
      </c>
      <c r="S1497" s="1833" t="s">
        <v>60</v>
      </c>
      <c r="T1497" s="1729" t="s">
        <v>38</v>
      </c>
      <c r="U1497" s="1729"/>
      <c r="V1497" s="1729"/>
      <c r="W1497" s="1692" t="s">
        <v>2688</v>
      </c>
      <c r="X1497" s="1865"/>
      <c r="Y1497" s="1865"/>
      <c r="Z1497" s="1865"/>
      <c r="AA1497" s="1865"/>
      <c r="AB1497" s="1865"/>
      <c r="AC1497" s="1865"/>
      <c r="AD1497" s="1865"/>
      <c r="AE1497" s="1865"/>
    </row>
    <row r="1498" spans="1:31" ht="37.5">
      <c r="A1498" s="1649"/>
      <c r="B1498" s="1496" t="s">
        <v>56</v>
      </c>
      <c r="C1498" s="1666" t="s">
        <v>991</v>
      </c>
      <c r="D1498" s="1665" t="s">
        <v>57</v>
      </c>
      <c r="E1498" s="1665"/>
      <c r="F1498" s="1665"/>
      <c r="G1498" s="1665"/>
      <c r="H1498" s="1665" t="s">
        <v>58</v>
      </c>
      <c r="I1498" s="1666" t="s">
        <v>47</v>
      </c>
      <c r="J1498" s="1701" t="s">
        <v>1909</v>
      </c>
      <c r="K1498" s="1715"/>
      <c r="L1498" s="1732">
        <v>43525</v>
      </c>
      <c r="M1498" s="1732"/>
      <c r="N1498" s="1732"/>
      <c r="O1498" s="1732" t="s">
        <v>45</v>
      </c>
      <c r="P1498" s="1773" t="s">
        <v>60</v>
      </c>
      <c r="Q1498" s="1773" t="s">
        <v>60</v>
      </c>
      <c r="R1498" s="1808">
        <v>350000</v>
      </c>
      <c r="S1498" s="1715" t="s">
        <v>270</v>
      </c>
      <c r="T1498" s="1844" t="s">
        <v>38</v>
      </c>
      <c r="U1498" s="1844"/>
      <c r="V1498" s="1844"/>
      <c r="W1498" s="1666" t="s">
        <v>1637</v>
      </c>
      <c r="X1498" s="1865"/>
      <c r="Y1498" s="1865"/>
      <c r="Z1498" s="1865"/>
      <c r="AA1498" s="1865"/>
      <c r="AB1498" s="1865"/>
      <c r="AC1498" s="1865"/>
      <c r="AD1498" s="1865"/>
      <c r="AE1498" s="1865"/>
    </row>
    <row r="1499" spans="1:31" ht="37.5">
      <c r="A1499" s="1649"/>
      <c r="B1499" s="1496" t="s">
        <v>56</v>
      </c>
      <c r="C1499" s="1666" t="s">
        <v>991</v>
      </c>
      <c r="D1499" s="1665" t="s">
        <v>57</v>
      </c>
      <c r="E1499" s="1665"/>
      <c r="F1499" s="1665"/>
      <c r="G1499" s="1665"/>
      <c r="H1499" s="1665" t="s">
        <v>58</v>
      </c>
      <c r="I1499" s="1692" t="s">
        <v>47</v>
      </c>
      <c r="J1499" s="1700" t="s">
        <v>4846</v>
      </c>
      <c r="K1499" s="1713"/>
      <c r="L1499" s="1730">
        <v>43649</v>
      </c>
      <c r="M1499" s="1730"/>
      <c r="N1499" s="1730"/>
      <c r="O1499" s="1730" t="s">
        <v>60</v>
      </c>
      <c r="P1499" s="1768" t="s">
        <v>60</v>
      </c>
      <c r="Q1499" s="1768" t="s">
        <v>60</v>
      </c>
      <c r="R1499" s="1808">
        <v>10000</v>
      </c>
      <c r="S1499" s="1833" t="s">
        <v>3325</v>
      </c>
      <c r="T1499" s="1729" t="s">
        <v>38</v>
      </c>
      <c r="U1499" s="1729"/>
      <c r="V1499" s="1729"/>
      <c r="W1499" s="1692" t="s">
        <v>1713</v>
      </c>
      <c r="X1499" s="1865"/>
      <c r="Y1499" s="1865"/>
      <c r="Z1499" s="1865"/>
      <c r="AA1499" s="1865"/>
      <c r="AB1499" s="1865"/>
      <c r="AC1499" s="1865"/>
      <c r="AD1499" s="1865"/>
      <c r="AE1499" s="1865"/>
    </row>
    <row r="1500" spans="1:31" ht="25">
      <c r="A1500" s="1649"/>
      <c r="B1500" s="1496" t="s">
        <v>56</v>
      </c>
      <c r="C1500" s="1666" t="s">
        <v>991</v>
      </c>
      <c r="D1500" s="1665" t="s">
        <v>32</v>
      </c>
      <c r="E1500" s="1665"/>
      <c r="F1500" s="1665"/>
      <c r="G1500" s="1665"/>
      <c r="H1500" s="1665" t="s">
        <v>308</v>
      </c>
      <c r="I1500" s="1692" t="s">
        <v>47</v>
      </c>
      <c r="J1500" s="1700" t="s">
        <v>4847</v>
      </c>
      <c r="K1500" s="1713"/>
      <c r="L1500" s="1730" t="s">
        <v>60</v>
      </c>
      <c r="M1500" s="1730"/>
      <c r="N1500" s="1730"/>
      <c r="O1500" s="1730" t="s">
        <v>60</v>
      </c>
      <c r="P1500" s="1768" t="s">
        <v>60</v>
      </c>
      <c r="Q1500" s="1768" t="s">
        <v>60</v>
      </c>
      <c r="R1500" s="1808">
        <v>10000000</v>
      </c>
      <c r="S1500" s="1833" t="s">
        <v>60</v>
      </c>
      <c r="T1500" s="1729" t="s">
        <v>38</v>
      </c>
      <c r="U1500" s="1729"/>
      <c r="V1500" s="1729"/>
      <c r="W1500" s="1692" t="s">
        <v>714</v>
      </c>
      <c r="X1500" s="1865"/>
      <c r="Y1500" s="1865"/>
      <c r="Z1500" s="1865"/>
      <c r="AA1500" s="1865"/>
      <c r="AB1500" s="1865"/>
      <c r="AC1500" s="1865"/>
      <c r="AD1500" s="1865"/>
      <c r="AE1500" s="1865"/>
    </row>
    <row r="1501" spans="1:31" ht="25">
      <c r="A1501" s="1649"/>
      <c r="B1501" s="1496" t="s">
        <v>56</v>
      </c>
      <c r="C1501" s="1666" t="s">
        <v>991</v>
      </c>
      <c r="D1501" s="1665" t="s">
        <v>32</v>
      </c>
      <c r="E1501" s="1665"/>
      <c r="F1501" s="1665"/>
      <c r="G1501" s="1665"/>
      <c r="H1501" s="1665" t="s">
        <v>308</v>
      </c>
      <c r="I1501" s="1692" t="s">
        <v>47</v>
      </c>
      <c r="J1501" s="1700" t="s">
        <v>4848</v>
      </c>
      <c r="K1501" s="1713"/>
      <c r="L1501" s="1730" t="s">
        <v>60</v>
      </c>
      <c r="M1501" s="1730"/>
      <c r="N1501" s="1730"/>
      <c r="O1501" s="1730" t="s">
        <v>60</v>
      </c>
      <c r="P1501" s="1768" t="s">
        <v>60</v>
      </c>
      <c r="Q1501" s="1768" t="s">
        <v>60</v>
      </c>
      <c r="R1501" s="1808">
        <v>79000</v>
      </c>
      <c r="S1501" s="1833" t="s">
        <v>60</v>
      </c>
      <c r="T1501" s="1729" t="s">
        <v>60</v>
      </c>
      <c r="U1501" s="1729"/>
      <c r="V1501" s="1729"/>
      <c r="W1501" s="1692" t="s">
        <v>714</v>
      </c>
      <c r="X1501" s="1865"/>
      <c r="Y1501" s="1865"/>
      <c r="Z1501" s="1865"/>
      <c r="AA1501" s="1865"/>
      <c r="AB1501" s="1865"/>
      <c r="AC1501" s="1865"/>
      <c r="AD1501" s="1865"/>
      <c r="AE1501" s="1865"/>
    </row>
    <row r="1502" spans="1:31" ht="37.5">
      <c r="A1502" s="1649"/>
      <c r="B1502" s="1496" t="s">
        <v>56</v>
      </c>
      <c r="C1502" s="1666" t="s">
        <v>991</v>
      </c>
      <c r="D1502" s="1665" t="s">
        <v>57</v>
      </c>
      <c r="E1502" s="1665"/>
      <c r="F1502" s="1665"/>
      <c r="G1502" s="1665"/>
      <c r="H1502" s="1665" t="s">
        <v>58</v>
      </c>
      <c r="I1502" s="1666" t="s">
        <v>47</v>
      </c>
      <c r="J1502" s="1701" t="s">
        <v>4849</v>
      </c>
      <c r="K1502" s="1715"/>
      <c r="L1502" s="1732" t="s">
        <v>45</v>
      </c>
      <c r="M1502" s="1732"/>
      <c r="N1502" s="1732"/>
      <c r="O1502" s="1732" t="s">
        <v>45</v>
      </c>
      <c r="P1502" s="1773" t="s">
        <v>60</v>
      </c>
      <c r="Q1502" s="1773" t="s">
        <v>60</v>
      </c>
      <c r="R1502" s="1808">
        <v>7000</v>
      </c>
      <c r="S1502" s="1715" t="s">
        <v>37</v>
      </c>
      <c r="T1502" s="1844" t="s">
        <v>38</v>
      </c>
      <c r="U1502" s="1844"/>
      <c r="V1502" s="1844"/>
      <c r="W1502" s="1666" t="s">
        <v>1637</v>
      </c>
      <c r="X1502" s="1865"/>
      <c r="Y1502" s="1865"/>
      <c r="Z1502" s="1865"/>
      <c r="AA1502" s="1865"/>
      <c r="AB1502" s="1865"/>
      <c r="AC1502" s="1865"/>
      <c r="AD1502" s="1865"/>
      <c r="AE1502" s="1865"/>
    </row>
    <row r="1503" spans="1:31" ht="37.5">
      <c r="A1503" s="1649"/>
      <c r="B1503" s="1496" t="s">
        <v>56</v>
      </c>
      <c r="C1503" s="1666" t="s">
        <v>991</v>
      </c>
      <c r="D1503" s="1665" t="s">
        <v>32</v>
      </c>
      <c r="E1503" s="1665"/>
      <c r="F1503" s="1665"/>
      <c r="G1503" s="1665"/>
      <c r="H1503" s="1665" t="s">
        <v>308</v>
      </c>
      <c r="I1503" s="1692" t="s">
        <v>47</v>
      </c>
      <c r="J1503" s="1700" t="s">
        <v>4850</v>
      </c>
      <c r="K1503" s="1713"/>
      <c r="L1503" s="1730" t="s">
        <v>60</v>
      </c>
      <c r="M1503" s="1730"/>
      <c r="N1503" s="1730"/>
      <c r="O1503" s="1730" t="s">
        <v>60</v>
      </c>
      <c r="P1503" s="1768">
        <v>2</v>
      </c>
      <c r="Q1503" s="1768">
        <v>2</v>
      </c>
      <c r="R1503" s="1808" t="s">
        <v>60</v>
      </c>
      <c r="S1503" s="1833" t="s">
        <v>60</v>
      </c>
      <c r="T1503" s="1729" t="s">
        <v>38</v>
      </c>
      <c r="U1503" s="1729"/>
      <c r="V1503" s="1729"/>
      <c r="W1503" s="1692" t="s">
        <v>2433</v>
      </c>
      <c r="X1503" s="1865"/>
      <c r="Y1503" s="1865"/>
      <c r="Z1503" s="1865"/>
      <c r="AA1503" s="1865"/>
      <c r="AB1503" s="1865"/>
      <c r="AC1503" s="1865"/>
      <c r="AD1503" s="1865"/>
      <c r="AE1503" s="1865"/>
    </row>
    <row r="1504" spans="1:31" ht="37.5">
      <c r="A1504" s="1649"/>
      <c r="B1504" s="1496" t="s">
        <v>56</v>
      </c>
      <c r="C1504" s="1666" t="s">
        <v>991</v>
      </c>
      <c r="D1504" s="1665" t="s">
        <v>57</v>
      </c>
      <c r="E1504" s="1665"/>
      <c r="F1504" s="1665"/>
      <c r="G1504" s="1665"/>
      <c r="H1504" s="1665" t="s">
        <v>58</v>
      </c>
      <c r="I1504" s="1666" t="s">
        <v>47</v>
      </c>
      <c r="J1504" s="1701" t="s">
        <v>4851</v>
      </c>
      <c r="K1504" s="1715"/>
      <c r="L1504" s="1732">
        <v>43514</v>
      </c>
      <c r="M1504" s="1732"/>
      <c r="N1504" s="1732"/>
      <c r="O1504" s="1732" t="s">
        <v>45</v>
      </c>
      <c r="P1504" s="1773" t="s">
        <v>60</v>
      </c>
      <c r="Q1504" s="1773" t="s">
        <v>60</v>
      </c>
      <c r="R1504" s="1808">
        <v>304500</v>
      </c>
      <c r="S1504" s="1715" t="s">
        <v>1937</v>
      </c>
      <c r="T1504" s="1844" t="s">
        <v>38</v>
      </c>
      <c r="U1504" s="1844"/>
      <c r="V1504" s="1844"/>
      <c r="W1504" s="1666" t="s">
        <v>2848</v>
      </c>
      <c r="X1504" s="1865"/>
      <c r="Y1504" s="1865"/>
      <c r="Z1504" s="1865"/>
      <c r="AA1504" s="1865"/>
      <c r="AB1504" s="1865"/>
      <c r="AC1504" s="1865"/>
      <c r="AD1504" s="1865"/>
      <c r="AE1504" s="1865"/>
    </row>
    <row r="1505" spans="1:31" ht="37.5">
      <c r="A1505" s="1649"/>
      <c r="B1505" s="1496" t="s">
        <v>56</v>
      </c>
      <c r="C1505" s="1666" t="s">
        <v>991</v>
      </c>
      <c r="D1505" s="1665" t="s">
        <v>57</v>
      </c>
      <c r="E1505" s="1665"/>
      <c r="F1505" s="1665"/>
      <c r="G1505" s="1665"/>
      <c r="H1505" s="1665" t="s">
        <v>58</v>
      </c>
      <c r="I1505" s="1692" t="s">
        <v>47</v>
      </c>
      <c r="J1505" s="1700" t="s">
        <v>4852</v>
      </c>
      <c r="K1505" s="1713"/>
      <c r="L1505" s="1730" t="s">
        <v>4853</v>
      </c>
      <c r="M1505" s="1730"/>
      <c r="N1505" s="1730"/>
      <c r="O1505" s="1730" t="s">
        <v>60</v>
      </c>
      <c r="P1505" s="1768" t="s">
        <v>60</v>
      </c>
      <c r="Q1505" s="1768" t="s">
        <v>60</v>
      </c>
      <c r="R1505" s="1808" t="s">
        <v>60</v>
      </c>
      <c r="S1505" s="1833" t="s">
        <v>60</v>
      </c>
      <c r="T1505" s="1729" t="s">
        <v>38</v>
      </c>
      <c r="U1505" s="1729"/>
      <c r="V1505" s="1729"/>
      <c r="W1505" s="1692" t="s">
        <v>60</v>
      </c>
      <c r="X1505" s="1865"/>
      <c r="Y1505" s="1865"/>
      <c r="Z1505" s="1865"/>
      <c r="AA1505" s="1865"/>
      <c r="AB1505" s="1865"/>
      <c r="AC1505" s="1865"/>
      <c r="AD1505" s="1865"/>
      <c r="AE1505" s="1865"/>
    </row>
    <row r="1506" spans="1:31" ht="37.5">
      <c r="A1506" s="1649"/>
      <c r="B1506" s="1496" t="s">
        <v>56</v>
      </c>
      <c r="C1506" s="1666" t="s">
        <v>991</v>
      </c>
      <c r="D1506" s="1665" t="s">
        <v>57</v>
      </c>
      <c r="E1506" s="1665"/>
      <c r="F1506" s="1665"/>
      <c r="G1506" s="1665"/>
      <c r="H1506" s="1665" t="s">
        <v>58</v>
      </c>
      <c r="I1506" s="1692" t="s">
        <v>47</v>
      </c>
      <c r="J1506" s="1700" t="s">
        <v>4854</v>
      </c>
      <c r="K1506" s="1713"/>
      <c r="L1506" s="1730" t="s">
        <v>4853</v>
      </c>
      <c r="M1506" s="1730"/>
      <c r="N1506" s="1730"/>
      <c r="O1506" s="1730" t="s">
        <v>60</v>
      </c>
      <c r="P1506" s="1768" t="s">
        <v>60</v>
      </c>
      <c r="Q1506" s="1768" t="s">
        <v>60</v>
      </c>
      <c r="R1506" s="1808" t="s">
        <v>60</v>
      </c>
      <c r="S1506" s="1833" t="s">
        <v>60</v>
      </c>
      <c r="T1506" s="1729" t="s">
        <v>38</v>
      </c>
      <c r="U1506" s="1729"/>
      <c r="V1506" s="1729"/>
      <c r="W1506" s="1692" t="s">
        <v>60</v>
      </c>
      <c r="X1506" s="1865"/>
      <c r="Y1506" s="1865"/>
      <c r="Z1506" s="1865"/>
      <c r="AA1506" s="1865"/>
      <c r="AB1506" s="1865"/>
      <c r="AC1506" s="1865"/>
      <c r="AD1506" s="1865"/>
      <c r="AE1506" s="1865"/>
    </row>
    <row r="1507" spans="1:31" ht="37.5">
      <c r="A1507" s="1649"/>
      <c r="B1507" s="1496" t="s">
        <v>56</v>
      </c>
      <c r="C1507" s="1666" t="s">
        <v>991</v>
      </c>
      <c r="D1507" s="1665" t="s">
        <v>57</v>
      </c>
      <c r="E1507" s="1665"/>
      <c r="F1507" s="1665"/>
      <c r="G1507" s="1665"/>
      <c r="H1507" s="1665" t="s">
        <v>58</v>
      </c>
      <c r="I1507" s="1692" t="s">
        <v>47</v>
      </c>
      <c r="J1507" s="1700" t="s">
        <v>4855</v>
      </c>
      <c r="K1507" s="1713"/>
      <c r="L1507" s="1730" t="s">
        <v>4853</v>
      </c>
      <c r="M1507" s="1730"/>
      <c r="N1507" s="1730"/>
      <c r="O1507" s="1730" t="s">
        <v>60</v>
      </c>
      <c r="P1507" s="1768" t="s">
        <v>60</v>
      </c>
      <c r="Q1507" s="1768" t="s">
        <v>60</v>
      </c>
      <c r="R1507" s="1808" t="s">
        <v>60</v>
      </c>
      <c r="S1507" s="1833" t="s">
        <v>60</v>
      </c>
      <c r="T1507" s="1729" t="s">
        <v>38</v>
      </c>
      <c r="U1507" s="1729"/>
      <c r="V1507" s="1729"/>
      <c r="W1507" s="1692" t="s">
        <v>60</v>
      </c>
      <c r="X1507" s="1865"/>
      <c r="Y1507" s="1865"/>
      <c r="Z1507" s="1865"/>
      <c r="AA1507" s="1865"/>
      <c r="AB1507" s="1865"/>
      <c r="AC1507" s="1865"/>
      <c r="AD1507" s="1865"/>
      <c r="AE1507" s="1865"/>
    </row>
    <row r="1508" spans="1:31" ht="37.5">
      <c r="A1508" s="1649"/>
      <c r="B1508" s="1496" t="s">
        <v>56</v>
      </c>
      <c r="C1508" s="1666" t="s">
        <v>991</v>
      </c>
      <c r="D1508" s="1665" t="s">
        <v>57</v>
      </c>
      <c r="E1508" s="1665"/>
      <c r="F1508" s="1665"/>
      <c r="G1508" s="1665"/>
      <c r="H1508" s="1665" t="s">
        <v>58</v>
      </c>
      <c r="I1508" s="1692" t="s">
        <v>47</v>
      </c>
      <c r="J1508" s="1700" t="s">
        <v>4856</v>
      </c>
      <c r="K1508" s="1713"/>
      <c r="L1508" s="1730" t="s">
        <v>4853</v>
      </c>
      <c r="M1508" s="1730"/>
      <c r="N1508" s="1730"/>
      <c r="O1508" s="1730" t="s">
        <v>60</v>
      </c>
      <c r="P1508" s="1768" t="s">
        <v>60</v>
      </c>
      <c r="Q1508" s="1768" t="s">
        <v>60</v>
      </c>
      <c r="R1508" s="1808" t="s">
        <v>60</v>
      </c>
      <c r="S1508" s="1833" t="s">
        <v>60</v>
      </c>
      <c r="T1508" s="1729" t="s">
        <v>38</v>
      </c>
      <c r="U1508" s="1729"/>
      <c r="V1508" s="1729"/>
      <c r="W1508" s="1692" t="s">
        <v>60</v>
      </c>
      <c r="X1508" s="1865"/>
      <c r="Y1508" s="1865"/>
      <c r="Z1508" s="1865"/>
      <c r="AA1508" s="1865"/>
      <c r="AB1508" s="1865"/>
      <c r="AC1508" s="1865"/>
      <c r="AD1508" s="1865"/>
      <c r="AE1508" s="1865"/>
    </row>
    <row r="1509" spans="1:31" ht="37.5">
      <c r="A1509" s="1649"/>
      <c r="B1509" s="1496" t="s">
        <v>56</v>
      </c>
      <c r="C1509" s="1666" t="s">
        <v>1551</v>
      </c>
      <c r="D1509" s="1665" t="s">
        <v>57</v>
      </c>
      <c r="E1509" s="1665"/>
      <c r="F1509" s="1665"/>
      <c r="G1509" s="1665"/>
      <c r="H1509" s="1665" t="s">
        <v>58</v>
      </c>
      <c r="I1509" s="1692" t="s">
        <v>47</v>
      </c>
      <c r="J1509" s="1700" t="s">
        <v>4857</v>
      </c>
      <c r="K1509" s="1713"/>
      <c r="L1509" s="1730" t="s">
        <v>60</v>
      </c>
      <c r="M1509" s="1730"/>
      <c r="N1509" s="1730"/>
      <c r="O1509" s="1730" t="s">
        <v>60</v>
      </c>
      <c r="P1509" s="1768" t="s">
        <v>60</v>
      </c>
      <c r="Q1509" s="1768" t="s">
        <v>45</v>
      </c>
      <c r="R1509" s="1808">
        <v>30000</v>
      </c>
      <c r="S1509" s="1833" t="s">
        <v>60</v>
      </c>
      <c r="T1509" s="1729" t="s">
        <v>38</v>
      </c>
      <c r="U1509" s="1729"/>
      <c r="V1509" s="1729"/>
      <c r="W1509" s="1692" t="s">
        <v>2425</v>
      </c>
      <c r="X1509" s="1865"/>
      <c r="Y1509" s="1865"/>
      <c r="Z1509" s="1865"/>
      <c r="AA1509" s="1865"/>
      <c r="AB1509" s="1865"/>
      <c r="AC1509" s="1865"/>
      <c r="AD1509" s="1865"/>
      <c r="AE1509" s="1865"/>
    </row>
    <row r="1510" spans="1:31" ht="37.5">
      <c r="A1510" s="1649"/>
      <c r="B1510" s="1496" t="s">
        <v>56</v>
      </c>
      <c r="C1510" s="1666" t="s">
        <v>71</v>
      </c>
      <c r="D1510" s="1665" t="s">
        <v>57</v>
      </c>
      <c r="E1510" s="1665"/>
      <c r="F1510" s="1665"/>
      <c r="G1510" s="1665"/>
      <c r="H1510" s="1665" t="s">
        <v>58</v>
      </c>
      <c r="I1510" s="1692" t="s">
        <v>47</v>
      </c>
      <c r="J1510" s="1700" t="s">
        <v>4858</v>
      </c>
      <c r="K1510" s="1713"/>
      <c r="L1510" s="1730">
        <v>43556</v>
      </c>
      <c r="M1510" s="1730"/>
      <c r="N1510" s="1730"/>
      <c r="O1510" s="1730" t="s">
        <v>60</v>
      </c>
      <c r="P1510" s="1768" t="s">
        <v>60</v>
      </c>
      <c r="Q1510" s="1768" t="s">
        <v>60</v>
      </c>
      <c r="R1510" s="1808">
        <v>154500</v>
      </c>
      <c r="S1510" s="1729" t="s">
        <v>1937</v>
      </c>
      <c r="T1510" s="1729" t="s">
        <v>38</v>
      </c>
      <c r="U1510" s="1729"/>
      <c r="V1510" s="1729"/>
      <c r="W1510" s="1692" t="s">
        <v>4859</v>
      </c>
      <c r="X1510" s="1865"/>
      <c r="Y1510" s="1865"/>
      <c r="Z1510" s="1865"/>
      <c r="AA1510" s="1865"/>
      <c r="AB1510" s="1865"/>
      <c r="AC1510" s="1865"/>
      <c r="AD1510" s="1865"/>
      <c r="AE1510" s="1865"/>
    </row>
    <row r="1511" spans="1:31" ht="25">
      <c r="A1511" s="1649"/>
      <c r="B1511" s="1496" t="s">
        <v>56</v>
      </c>
      <c r="C1511" s="1666" t="s">
        <v>71</v>
      </c>
      <c r="D1511" s="1665" t="s">
        <v>57</v>
      </c>
      <c r="E1511" s="1665"/>
      <c r="F1511" s="1665"/>
      <c r="G1511" s="1665"/>
      <c r="H1511" s="1665" t="s">
        <v>308</v>
      </c>
      <c r="I1511" s="1692" t="s">
        <v>47</v>
      </c>
      <c r="J1511" s="1700" t="s">
        <v>4860</v>
      </c>
      <c r="K1511" s="1713"/>
      <c r="L1511" s="1730" t="s">
        <v>60</v>
      </c>
      <c r="M1511" s="1730"/>
      <c r="N1511" s="1730"/>
      <c r="O1511" s="1730" t="s">
        <v>60</v>
      </c>
      <c r="P1511" s="1730" t="s">
        <v>60</v>
      </c>
      <c r="Q1511" s="1730" t="s">
        <v>60</v>
      </c>
      <c r="R1511" s="1808">
        <v>50000</v>
      </c>
      <c r="S1511" s="1833" t="s">
        <v>60</v>
      </c>
      <c r="T1511" s="1729" t="s">
        <v>38</v>
      </c>
      <c r="U1511" s="1729"/>
      <c r="V1511" s="1729"/>
      <c r="W1511" s="1692" t="s">
        <v>1940</v>
      </c>
      <c r="X1511" s="1865"/>
      <c r="Y1511" s="1865"/>
      <c r="Z1511" s="1865"/>
      <c r="AA1511" s="1865"/>
      <c r="AB1511" s="1865"/>
      <c r="AC1511" s="1865"/>
      <c r="AD1511" s="1865"/>
      <c r="AE1511" s="1865"/>
    </row>
    <row r="1512" spans="1:31" ht="25">
      <c r="A1512" s="1649"/>
      <c r="B1512" s="1496" t="s">
        <v>56</v>
      </c>
      <c r="C1512" s="1666" t="s">
        <v>71</v>
      </c>
      <c r="D1512" s="1665" t="s">
        <v>57</v>
      </c>
      <c r="E1512" s="1665"/>
      <c r="F1512" s="1665"/>
      <c r="G1512" s="1665"/>
      <c r="H1512" s="1665" t="s">
        <v>308</v>
      </c>
      <c r="I1512" s="1692" t="s">
        <v>47</v>
      </c>
      <c r="J1512" s="1700" t="s">
        <v>4861</v>
      </c>
      <c r="K1512" s="1713"/>
      <c r="L1512" s="1730" t="s">
        <v>60</v>
      </c>
      <c r="M1512" s="1730"/>
      <c r="N1512" s="1730"/>
      <c r="O1512" s="1730" t="s">
        <v>60</v>
      </c>
      <c r="P1512" s="1730" t="s">
        <v>60</v>
      </c>
      <c r="Q1512" s="1730" t="s">
        <v>60</v>
      </c>
      <c r="R1512" s="1808">
        <v>15000</v>
      </c>
      <c r="S1512" s="1833" t="s">
        <v>60</v>
      </c>
      <c r="T1512" s="1729" t="s">
        <v>38</v>
      </c>
      <c r="U1512" s="1729"/>
      <c r="V1512" s="1729"/>
      <c r="W1512" s="1692" t="s">
        <v>1940</v>
      </c>
      <c r="X1512" s="1865"/>
      <c r="Y1512" s="1865"/>
      <c r="Z1512" s="1865"/>
      <c r="AA1512" s="1865"/>
      <c r="AB1512" s="1865"/>
      <c r="AC1512" s="1865"/>
      <c r="AD1512" s="1865"/>
      <c r="AE1512" s="1865"/>
    </row>
    <row r="1513" spans="1:31" ht="25">
      <c r="A1513" s="1649"/>
      <c r="B1513" s="1496" t="s">
        <v>56</v>
      </c>
      <c r="C1513" s="1666" t="s">
        <v>71</v>
      </c>
      <c r="D1513" s="1665" t="s">
        <v>57</v>
      </c>
      <c r="E1513" s="1665"/>
      <c r="F1513" s="1665"/>
      <c r="G1513" s="1665"/>
      <c r="H1513" s="1665" t="s">
        <v>308</v>
      </c>
      <c r="I1513" s="1692" t="s">
        <v>47</v>
      </c>
      <c r="J1513" s="1700" t="s">
        <v>4862</v>
      </c>
      <c r="K1513" s="1713"/>
      <c r="L1513" s="1730" t="s">
        <v>60</v>
      </c>
      <c r="M1513" s="1730"/>
      <c r="N1513" s="1730"/>
      <c r="O1513" s="1730" t="s">
        <v>60</v>
      </c>
      <c r="P1513" s="1730" t="s">
        <v>60</v>
      </c>
      <c r="Q1513" s="1730" t="s">
        <v>60</v>
      </c>
      <c r="R1513" s="1808">
        <v>13000</v>
      </c>
      <c r="S1513" s="1833" t="s">
        <v>60</v>
      </c>
      <c r="T1513" s="1729" t="s">
        <v>38</v>
      </c>
      <c r="U1513" s="1729"/>
      <c r="V1513" s="1729"/>
      <c r="W1513" s="1692" t="s">
        <v>1940</v>
      </c>
      <c r="X1513" s="1865"/>
      <c r="Y1513" s="1865"/>
      <c r="Z1513" s="1865"/>
      <c r="AA1513" s="1865"/>
      <c r="AB1513" s="1865"/>
      <c r="AC1513" s="1865"/>
      <c r="AD1513" s="1865"/>
      <c r="AE1513" s="1865"/>
    </row>
    <row r="1514" spans="1:31" ht="37.5">
      <c r="A1514" s="1649"/>
      <c r="B1514" s="1496" t="s">
        <v>56</v>
      </c>
      <c r="C1514" s="1666" t="s">
        <v>991</v>
      </c>
      <c r="D1514" s="1665" t="s">
        <v>57</v>
      </c>
      <c r="E1514" s="1665"/>
      <c r="F1514" s="1665"/>
      <c r="G1514" s="1665"/>
      <c r="H1514" s="1665" t="s">
        <v>58</v>
      </c>
      <c r="I1514" s="1692" t="s">
        <v>47</v>
      </c>
      <c r="J1514" s="1700" t="s">
        <v>4863</v>
      </c>
      <c r="K1514" s="1713"/>
      <c r="L1514" s="1730">
        <v>43507</v>
      </c>
      <c r="M1514" s="1730"/>
      <c r="N1514" s="1730"/>
      <c r="O1514" s="1730" t="s">
        <v>45</v>
      </c>
      <c r="P1514" s="1768">
        <v>1</v>
      </c>
      <c r="Q1514" s="1768">
        <v>1</v>
      </c>
      <c r="R1514" s="1808">
        <v>380515</v>
      </c>
      <c r="S1514" s="1833" t="s">
        <v>1937</v>
      </c>
      <c r="T1514" s="1729" t="s">
        <v>38</v>
      </c>
      <c r="U1514" s="1729"/>
      <c r="V1514" s="1729"/>
      <c r="W1514" s="1692" t="s">
        <v>2398</v>
      </c>
      <c r="X1514" s="1865"/>
      <c r="Y1514" s="1865"/>
      <c r="Z1514" s="1865"/>
      <c r="AA1514" s="1865"/>
      <c r="AB1514" s="1865"/>
      <c r="AC1514" s="1865"/>
      <c r="AD1514" s="1865"/>
      <c r="AE1514" s="1865"/>
    </row>
    <row r="1515" spans="1:31" ht="37.5">
      <c r="A1515" s="1649"/>
      <c r="B1515" s="1496" t="s">
        <v>56</v>
      </c>
      <c r="C1515" s="1666" t="s">
        <v>4864</v>
      </c>
      <c r="D1515" s="1665" t="s">
        <v>122</v>
      </c>
      <c r="E1515" s="1665"/>
      <c r="F1515" s="1665"/>
      <c r="G1515" s="1665"/>
      <c r="H1515" s="1665" t="s">
        <v>308</v>
      </c>
      <c r="I1515" s="1692" t="s">
        <v>47</v>
      </c>
      <c r="J1515" s="1700" t="s">
        <v>4865</v>
      </c>
      <c r="K1515" s="1713"/>
      <c r="L1515" s="1730">
        <v>43709</v>
      </c>
      <c r="M1515" s="1730"/>
      <c r="N1515" s="1730"/>
      <c r="O1515" s="1730" t="s">
        <v>60</v>
      </c>
      <c r="P1515" s="1768" t="s">
        <v>60</v>
      </c>
      <c r="Q1515" s="1768" t="s">
        <v>60</v>
      </c>
      <c r="R1515" s="1808">
        <v>146000</v>
      </c>
      <c r="S1515" s="1833" t="s">
        <v>2110</v>
      </c>
      <c r="T1515" s="1729" t="s">
        <v>62</v>
      </c>
      <c r="U1515" s="1729"/>
      <c r="V1515" s="1729"/>
      <c r="W1515" s="1715" t="s">
        <v>2408</v>
      </c>
      <c r="X1515" s="1865"/>
      <c r="Y1515" s="1865"/>
      <c r="Z1515" s="1865"/>
      <c r="AA1515" s="1865"/>
      <c r="AB1515" s="1865"/>
      <c r="AC1515" s="1865"/>
      <c r="AD1515" s="1865"/>
      <c r="AE1515" s="1865"/>
    </row>
    <row r="1516" spans="1:31" ht="37.5">
      <c r="A1516" s="1649"/>
      <c r="B1516" s="1496" t="s">
        <v>56</v>
      </c>
      <c r="C1516" s="1666" t="s">
        <v>991</v>
      </c>
      <c r="D1516" s="1665" t="s">
        <v>122</v>
      </c>
      <c r="E1516" s="1665"/>
      <c r="F1516" s="1665"/>
      <c r="G1516" s="1665"/>
      <c r="H1516" s="1665" t="s">
        <v>308</v>
      </c>
      <c r="I1516" s="1692" t="s">
        <v>47</v>
      </c>
      <c r="J1516" s="1700" t="s">
        <v>4866</v>
      </c>
      <c r="K1516" s="1713"/>
      <c r="L1516" s="1730" t="s">
        <v>60</v>
      </c>
      <c r="M1516" s="1730"/>
      <c r="N1516" s="1730"/>
      <c r="O1516" s="1730" t="s">
        <v>60</v>
      </c>
      <c r="P1516" s="1768" t="s">
        <v>60</v>
      </c>
      <c r="Q1516" s="1768" t="s">
        <v>60</v>
      </c>
      <c r="R1516" s="1808">
        <v>218000</v>
      </c>
      <c r="S1516" s="1833" t="s">
        <v>2110</v>
      </c>
      <c r="T1516" s="1729" t="s">
        <v>62</v>
      </c>
      <c r="U1516" s="1729"/>
      <c r="V1516" s="1729"/>
      <c r="W1516" s="1715" t="s">
        <v>2408</v>
      </c>
      <c r="X1516" s="1865"/>
      <c r="Y1516" s="1865"/>
      <c r="Z1516" s="1865"/>
      <c r="AA1516" s="1865"/>
      <c r="AB1516" s="1865"/>
      <c r="AC1516" s="1865"/>
      <c r="AD1516" s="1865"/>
      <c r="AE1516" s="1865"/>
    </row>
    <row r="1517" spans="1:31" ht="25">
      <c r="A1517" s="1649"/>
      <c r="B1517" s="1496" t="s">
        <v>56</v>
      </c>
      <c r="C1517" s="1666" t="s">
        <v>991</v>
      </c>
      <c r="D1517" s="1665" t="s">
        <v>122</v>
      </c>
      <c r="E1517" s="1665"/>
      <c r="F1517" s="1665"/>
      <c r="G1517" s="1665"/>
      <c r="H1517" s="1665" t="s">
        <v>308</v>
      </c>
      <c r="I1517" s="1692" t="s">
        <v>47</v>
      </c>
      <c r="J1517" s="1700" t="s">
        <v>4867</v>
      </c>
      <c r="K1517" s="1713"/>
      <c r="L1517" s="1730" t="s">
        <v>60</v>
      </c>
      <c r="M1517" s="1730"/>
      <c r="N1517" s="1730"/>
      <c r="O1517" s="1730" t="s">
        <v>60</v>
      </c>
      <c r="P1517" s="1768" t="s">
        <v>60</v>
      </c>
      <c r="Q1517" s="1768" t="s">
        <v>60</v>
      </c>
      <c r="R1517" s="1808">
        <v>15000000</v>
      </c>
      <c r="S1517" s="1833" t="s">
        <v>60</v>
      </c>
      <c r="T1517" s="1729" t="s">
        <v>310</v>
      </c>
      <c r="U1517" s="1729"/>
      <c r="V1517" s="1729"/>
      <c r="W1517" s="1715" t="s">
        <v>2408</v>
      </c>
      <c r="X1517" s="1865"/>
      <c r="Y1517" s="1865"/>
      <c r="Z1517" s="1865"/>
      <c r="AA1517" s="1865"/>
      <c r="AB1517" s="1865"/>
      <c r="AC1517" s="1865"/>
      <c r="AD1517" s="1865"/>
      <c r="AE1517" s="1865"/>
    </row>
    <row r="1518" spans="1:31" ht="25">
      <c r="A1518" s="1649"/>
      <c r="B1518" s="1496" t="s">
        <v>56</v>
      </c>
      <c r="C1518" s="1666" t="s">
        <v>991</v>
      </c>
      <c r="D1518" s="1665" t="s">
        <v>122</v>
      </c>
      <c r="E1518" s="1665"/>
      <c r="F1518" s="1665"/>
      <c r="G1518" s="1665"/>
      <c r="H1518" s="1665" t="s">
        <v>308</v>
      </c>
      <c r="I1518" s="1692" t="s">
        <v>47</v>
      </c>
      <c r="J1518" s="1700" t="s">
        <v>4868</v>
      </c>
      <c r="K1518" s="1713"/>
      <c r="L1518" s="1730" t="s">
        <v>60</v>
      </c>
      <c r="M1518" s="1730"/>
      <c r="N1518" s="1730"/>
      <c r="O1518" s="1730" t="s">
        <v>60</v>
      </c>
      <c r="P1518" s="1768" t="s">
        <v>60</v>
      </c>
      <c r="Q1518" s="1768" t="s">
        <v>60</v>
      </c>
      <c r="R1518" s="1808">
        <v>373000</v>
      </c>
      <c r="S1518" s="1833" t="s">
        <v>60</v>
      </c>
      <c r="T1518" s="1729" t="s">
        <v>62</v>
      </c>
      <c r="U1518" s="1729"/>
      <c r="V1518" s="1729"/>
      <c r="W1518" s="1715" t="s">
        <v>2408</v>
      </c>
      <c r="X1518" s="1865"/>
      <c r="Y1518" s="1865"/>
      <c r="Z1518" s="1865"/>
      <c r="AA1518" s="1865"/>
      <c r="AB1518" s="1865"/>
      <c r="AC1518" s="1865"/>
      <c r="AD1518" s="1865"/>
      <c r="AE1518" s="1865"/>
    </row>
    <row r="1519" spans="1:31" ht="37.5">
      <c r="A1519" s="1649"/>
      <c r="B1519" s="1496" t="s">
        <v>56</v>
      </c>
      <c r="C1519" s="1666" t="s">
        <v>991</v>
      </c>
      <c r="D1519" s="1665" t="s">
        <v>122</v>
      </c>
      <c r="E1519" s="1665"/>
      <c r="F1519" s="1665"/>
      <c r="G1519" s="1665"/>
      <c r="H1519" s="1665" t="s">
        <v>308</v>
      </c>
      <c r="I1519" s="1692" t="s">
        <v>47</v>
      </c>
      <c r="J1519" s="1700" t="s">
        <v>4869</v>
      </c>
      <c r="K1519" s="1713"/>
      <c r="L1519" s="1730" t="s">
        <v>60</v>
      </c>
      <c r="M1519" s="1730"/>
      <c r="N1519" s="1730"/>
      <c r="O1519" s="1730" t="s">
        <v>60</v>
      </c>
      <c r="P1519" s="1768" t="s">
        <v>60</v>
      </c>
      <c r="Q1519" s="1768" t="s">
        <v>60</v>
      </c>
      <c r="R1519" s="1808">
        <v>32000</v>
      </c>
      <c r="S1519" s="1833" t="s">
        <v>2110</v>
      </c>
      <c r="T1519" s="1729" t="s">
        <v>2455</v>
      </c>
      <c r="U1519" s="1729"/>
      <c r="V1519" s="1729"/>
      <c r="W1519" s="1715" t="s">
        <v>2408</v>
      </c>
      <c r="X1519" s="1865"/>
      <c r="Y1519" s="1865"/>
      <c r="Z1519" s="1865"/>
      <c r="AA1519" s="1865"/>
      <c r="AB1519" s="1865"/>
      <c r="AC1519" s="1865"/>
      <c r="AD1519" s="1865"/>
      <c r="AE1519" s="1865"/>
    </row>
    <row r="1520" spans="1:31" ht="37.5">
      <c r="A1520" s="1649"/>
      <c r="B1520" s="1496" t="s">
        <v>56</v>
      </c>
      <c r="C1520" s="1666" t="s">
        <v>991</v>
      </c>
      <c r="D1520" s="1665" t="s">
        <v>122</v>
      </c>
      <c r="E1520" s="1665"/>
      <c r="F1520" s="1665"/>
      <c r="G1520" s="1665"/>
      <c r="H1520" s="1665" t="s">
        <v>308</v>
      </c>
      <c r="I1520" s="1692" t="s">
        <v>47</v>
      </c>
      <c r="J1520" s="1700" t="s">
        <v>4870</v>
      </c>
      <c r="K1520" s="1713"/>
      <c r="L1520" s="1730" t="s">
        <v>60</v>
      </c>
      <c r="M1520" s="1730"/>
      <c r="N1520" s="1730"/>
      <c r="O1520" s="1730" t="s">
        <v>60</v>
      </c>
      <c r="P1520" s="1768" t="s">
        <v>60</v>
      </c>
      <c r="Q1520" s="1768" t="s">
        <v>60</v>
      </c>
      <c r="R1520" s="1808">
        <v>58000</v>
      </c>
      <c r="S1520" s="1833" t="s">
        <v>1937</v>
      </c>
      <c r="T1520" s="1729" t="s">
        <v>62</v>
      </c>
      <c r="U1520" s="1729"/>
      <c r="V1520" s="1729"/>
      <c r="W1520" s="1715" t="s">
        <v>2408</v>
      </c>
      <c r="X1520" s="1865"/>
      <c r="Y1520" s="1865"/>
      <c r="Z1520" s="1865"/>
      <c r="AA1520" s="1865"/>
      <c r="AB1520" s="1865"/>
      <c r="AC1520" s="1865"/>
      <c r="AD1520" s="1865"/>
      <c r="AE1520" s="1865"/>
    </row>
    <row r="1521" spans="1:31" ht="37.5">
      <c r="A1521" s="1649"/>
      <c r="B1521" s="1496" t="s">
        <v>56</v>
      </c>
      <c r="C1521" s="1666" t="s">
        <v>991</v>
      </c>
      <c r="D1521" s="1665" t="s">
        <v>32</v>
      </c>
      <c r="E1521" s="1665"/>
      <c r="F1521" s="1665"/>
      <c r="G1521" s="1665"/>
      <c r="H1521" s="1665" t="s">
        <v>308</v>
      </c>
      <c r="I1521" s="1692" t="s">
        <v>47</v>
      </c>
      <c r="J1521" s="1700" t="s">
        <v>4871</v>
      </c>
      <c r="K1521" s="1713"/>
      <c r="L1521" s="1730" t="s">
        <v>60</v>
      </c>
      <c r="M1521" s="1730"/>
      <c r="N1521" s="1730"/>
      <c r="O1521" s="1730" t="s">
        <v>60</v>
      </c>
      <c r="P1521" s="1768" t="s">
        <v>60</v>
      </c>
      <c r="Q1521" s="1768" t="s">
        <v>60</v>
      </c>
      <c r="R1521" s="1808">
        <v>70000</v>
      </c>
      <c r="S1521" s="1833" t="s">
        <v>2110</v>
      </c>
      <c r="T1521" s="1729" t="s">
        <v>62</v>
      </c>
      <c r="U1521" s="1729"/>
      <c r="V1521" s="1729"/>
      <c r="W1521" s="1715" t="s">
        <v>2408</v>
      </c>
      <c r="X1521" s="1865"/>
      <c r="Y1521" s="1865"/>
      <c r="Z1521" s="1865"/>
      <c r="AA1521" s="1865"/>
      <c r="AB1521" s="1865"/>
      <c r="AC1521" s="1865"/>
      <c r="AD1521" s="1865"/>
      <c r="AE1521" s="1865"/>
    </row>
    <row r="1522" spans="1:31" ht="37.5">
      <c r="A1522" s="1649"/>
      <c r="B1522" s="1496" t="s">
        <v>56</v>
      </c>
      <c r="C1522" s="1666" t="s">
        <v>991</v>
      </c>
      <c r="D1522" s="1665" t="s">
        <v>110</v>
      </c>
      <c r="E1522" s="1665"/>
      <c r="F1522" s="1665"/>
      <c r="G1522" s="1665"/>
      <c r="H1522" s="1665" t="s">
        <v>308</v>
      </c>
      <c r="I1522" s="1692" t="s">
        <v>47</v>
      </c>
      <c r="J1522" s="1700" t="s">
        <v>4872</v>
      </c>
      <c r="K1522" s="1713"/>
      <c r="L1522" s="1730" t="s">
        <v>60</v>
      </c>
      <c r="M1522" s="1730"/>
      <c r="N1522" s="1730"/>
      <c r="O1522" s="1730" t="s">
        <v>60</v>
      </c>
      <c r="P1522" s="1768" t="s">
        <v>60</v>
      </c>
      <c r="Q1522" s="1768" t="s">
        <v>60</v>
      </c>
      <c r="R1522" s="1808">
        <v>305000</v>
      </c>
      <c r="S1522" s="1833" t="s">
        <v>2110</v>
      </c>
      <c r="T1522" s="1729" t="s">
        <v>62</v>
      </c>
      <c r="U1522" s="1729"/>
      <c r="V1522" s="1729"/>
      <c r="W1522" s="1715" t="s">
        <v>2408</v>
      </c>
      <c r="X1522" s="1865"/>
      <c r="Y1522" s="1865"/>
      <c r="Z1522" s="1865"/>
      <c r="AA1522" s="1865"/>
      <c r="AB1522" s="1865"/>
      <c r="AC1522" s="1865"/>
      <c r="AD1522" s="1865"/>
      <c r="AE1522" s="1865"/>
    </row>
    <row r="1523" spans="1:31" ht="25">
      <c r="A1523" s="1649"/>
      <c r="B1523" s="1496" t="s">
        <v>56</v>
      </c>
      <c r="C1523" s="1666" t="s">
        <v>991</v>
      </c>
      <c r="D1523" s="1665" t="s">
        <v>32</v>
      </c>
      <c r="E1523" s="1665"/>
      <c r="F1523" s="1665"/>
      <c r="G1523" s="1665"/>
      <c r="H1523" s="1665" t="s">
        <v>308</v>
      </c>
      <c r="I1523" s="1666" t="s">
        <v>47</v>
      </c>
      <c r="J1523" s="1701" t="s">
        <v>4873</v>
      </c>
      <c r="K1523" s="1715"/>
      <c r="L1523" s="1732" t="s">
        <v>60</v>
      </c>
      <c r="M1523" s="1732"/>
      <c r="N1523" s="1732"/>
      <c r="O1523" s="1732" t="s">
        <v>60</v>
      </c>
      <c r="P1523" s="1773">
        <v>3</v>
      </c>
      <c r="Q1523" s="1773">
        <v>3</v>
      </c>
      <c r="R1523" s="1808">
        <v>72000</v>
      </c>
      <c r="S1523" s="1715" t="s">
        <v>84</v>
      </c>
      <c r="T1523" s="1844" t="s">
        <v>62</v>
      </c>
      <c r="U1523" s="1844"/>
      <c r="V1523" s="1844"/>
      <c r="W1523" s="1715" t="s">
        <v>2408</v>
      </c>
      <c r="X1523" s="1865"/>
      <c r="Y1523" s="1865"/>
      <c r="Z1523" s="1865"/>
      <c r="AA1523" s="1865"/>
      <c r="AB1523" s="1865"/>
      <c r="AC1523" s="1865"/>
      <c r="AD1523" s="1865"/>
      <c r="AE1523" s="1865"/>
    </row>
    <row r="1524" spans="1:31" ht="37.5">
      <c r="A1524" s="1649"/>
      <c r="B1524" s="1496" t="s">
        <v>56</v>
      </c>
      <c r="C1524" s="1666" t="s">
        <v>60</v>
      </c>
      <c r="D1524" s="1665" t="s">
        <v>57</v>
      </c>
      <c r="E1524" s="1665"/>
      <c r="F1524" s="1665"/>
      <c r="G1524" s="1665"/>
      <c r="H1524" s="1665" t="s">
        <v>58</v>
      </c>
      <c r="I1524" s="1692" t="s">
        <v>47</v>
      </c>
      <c r="J1524" s="1700" t="s">
        <v>4874</v>
      </c>
      <c r="K1524" s="1713"/>
      <c r="L1524" s="1730" t="s">
        <v>60</v>
      </c>
      <c r="M1524" s="1730"/>
      <c r="N1524" s="1730"/>
      <c r="O1524" s="1730" t="s">
        <v>60</v>
      </c>
      <c r="P1524" s="1768" t="s">
        <v>60</v>
      </c>
      <c r="Q1524" s="1768" t="s">
        <v>60</v>
      </c>
      <c r="R1524" s="1808">
        <v>100000000</v>
      </c>
      <c r="S1524" s="1833" t="s">
        <v>91</v>
      </c>
      <c r="T1524" s="1729" t="s">
        <v>310</v>
      </c>
      <c r="U1524" s="1729"/>
      <c r="V1524" s="1729"/>
      <c r="W1524" s="1715" t="s">
        <v>2417</v>
      </c>
      <c r="X1524" s="1865"/>
      <c r="Y1524" s="1865"/>
      <c r="Z1524" s="1865"/>
      <c r="AA1524" s="1865"/>
      <c r="AB1524" s="1865"/>
      <c r="AC1524" s="1865"/>
      <c r="AD1524" s="1865"/>
      <c r="AE1524" s="1865"/>
    </row>
    <row r="1525" spans="1:31" ht="50">
      <c r="A1525" s="1649"/>
      <c r="B1525" s="1496" t="s">
        <v>56</v>
      </c>
      <c r="C1525" s="1666" t="s">
        <v>60</v>
      </c>
      <c r="D1525" s="1665" t="s">
        <v>57</v>
      </c>
      <c r="E1525" s="1665"/>
      <c r="F1525" s="1665"/>
      <c r="G1525" s="1665"/>
      <c r="H1525" s="1665" t="s">
        <v>58</v>
      </c>
      <c r="I1525" s="1692" t="s">
        <v>47</v>
      </c>
      <c r="J1525" s="1700" t="s">
        <v>4875</v>
      </c>
      <c r="K1525" s="1713"/>
      <c r="L1525" s="1730" t="s">
        <v>60</v>
      </c>
      <c r="M1525" s="1730"/>
      <c r="N1525" s="1730"/>
      <c r="O1525" s="1730" t="s">
        <v>60</v>
      </c>
      <c r="P1525" s="1730" t="s">
        <v>60</v>
      </c>
      <c r="Q1525" s="1730" t="s">
        <v>60</v>
      </c>
      <c r="R1525" s="1808">
        <v>500000</v>
      </c>
      <c r="S1525" s="1833" t="s">
        <v>1937</v>
      </c>
      <c r="T1525" s="1729" t="s">
        <v>310</v>
      </c>
      <c r="U1525" s="1729"/>
      <c r="V1525" s="1729"/>
      <c r="W1525" s="1715" t="s">
        <v>2417</v>
      </c>
      <c r="X1525" s="1865"/>
      <c r="Y1525" s="1865"/>
      <c r="Z1525" s="1865"/>
      <c r="AA1525" s="1865"/>
      <c r="AB1525" s="1865"/>
      <c r="AC1525" s="1865"/>
      <c r="AD1525" s="1865"/>
      <c r="AE1525" s="1865"/>
    </row>
    <row r="1526" spans="1:31" ht="37.5">
      <c r="A1526" s="1649"/>
      <c r="B1526" s="1496" t="s">
        <v>56</v>
      </c>
      <c r="C1526" s="1666" t="s">
        <v>60</v>
      </c>
      <c r="D1526" s="1665" t="s">
        <v>57</v>
      </c>
      <c r="E1526" s="1665"/>
      <c r="F1526" s="1665"/>
      <c r="G1526" s="1665"/>
      <c r="H1526" s="1665" t="s">
        <v>58</v>
      </c>
      <c r="I1526" s="1692" t="s">
        <v>47</v>
      </c>
      <c r="J1526" s="1700" t="s">
        <v>4876</v>
      </c>
      <c r="K1526" s="1713"/>
      <c r="L1526" s="1730" t="s">
        <v>60</v>
      </c>
      <c r="M1526" s="1730"/>
      <c r="N1526" s="1730"/>
      <c r="O1526" s="1730" t="s">
        <v>60</v>
      </c>
      <c r="P1526" s="1730" t="s">
        <v>60</v>
      </c>
      <c r="Q1526" s="1730" t="s">
        <v>60</v>
      </c>
      <c r="R1526" s="1808">
        <v>10000</v>
      </c>
      <c r="S1526" s="1833" t="s">
        <v>37</v>
      </c>
      <c r="T1526" s="1729" t="s">
        <v>2455</v>
      </c>
      <c r="U1526" s="1729"/>
      <c r="V1526" s="1729"/>
      <c r="W1526" s="1715" t="s">
        <v>2417</v>
      </c>
      <c r="X1526" s="1865"/>
      <c r="Y1526" s="1865"/>
      <c r="Z1526" s="1865"/>
      <c r="AA1526" s="1865"/>
      <c r="AB1526" s="1865"/>
      <c r="AC1526" s="1865"/>
      <c r="AD1526" s="1865"/>
      <c r="AE1526" s="1865"/>
    </row>
    <row r="1527" spans="1:31" ht="37.5">
      <c r="A1527" s="1649"/>
      <c r="B1527" s="1496" t="s">
        <v>56</v>
      </c>
      <c r="C1527" s="1666" t="s">
        <v>60</v>
      </c>
      <c r="D1527" s="1665" t="s">
        <v>57</v>
      </c>
      <c r="E1527" s="1665"/>
      <c r="F1527" s="1665"/>
      <c r="G1527" s="1665"/>
      <c r="H1527" s="1665" t="s">
        <v>58</v>
      </c>
      <c r="I1527" s="1692" t="s">
        <v>47</v>
      </c>
      <c r="J1527" s="1700" t="s">
        <v>4877</v>
      </c>
      <c r="K1527" s="1713"/>
      <c r="L1527" s="1730">
        <v>43862</v>
      </c>
      <c r="M1527" s="1730"/>
      <c r="N1527" s="1730"/>
      <c r="O1527" s="1730" t="s">
        <v>60</v>
      </c>
      <c r="P1527" s="1768">
        <v>1</v>
      </c>
      <c r="Q1527" s="1768">
        <v>1</v>
      </c>
      <c r="R1527" s="1808">
        <v>8000</v>
      </c>
      <c r="S1527" s="1833" t="s">
        <v>4878</v>
      </c>
      <c r="T1527" s="1729" t="s">
        <v>2455</v>
      </c>
      <c r="U1527" s="1729"/>
      <c r="V1527" s="1729"/>
      <c r="W1527" s="1712" t="s">
        <v>2417</v>
      </c>
      <c r="X1527" s="1865"/>
      <c r="Y1527" s="1865"/>
      <c r="Z1527" s="1865"/>
      <c r="AA1527" s="1865"/>
      <c r="AB1527" s="1865"/>
      <c r="AC1527" s="1865"/>
      <c r="AD1527" s="1865"/>
      <c r="AE1527" s="1865"/>
    </row>
    <row r="1528" spans="1:31" ht="37.5">
      <c r="A1528" s="1649"/>
      <c r="B1528" s="1496" t="s">
        <v>56</v>
      </c>
      <c r="C1528" s="1666" t="s">
        <v>60</v>
      </c>
      <c r="D1528" s="1665" t="s">
        <v>32</v>
      </c>
      <c r="E1528" s="1665"/>
      <c r="F1528" s="1665"/>
      <c r="G1528" s="1665"/>
      <c r="H1528" s="1665" t="s">
        <v>58</v>
      </c>
      <c r="I1528" s="1692" t="s">
        <v>47</v>
      </c>
      <c r="J1528" s="1700" t="s">
        <v>4879</v>
      </c>
      <c r="K1528" s="1713"/>
      <c r="L1528" s="1730">
        <v>43697</v>
      </c>
      <c r="M1528" s="1730"/>
      <c r="N1528" s="1730"/>
      <c r="O1528" s="1730" t="s">
        <v>60</v>
      </c>
      <c r="P1528" s="1768" t="s">
        <v>60</v>
      </c>
      <c r="Q1528" s="1768" t="s">
        <v>60</v>
      </c>
      <c r="R1528" s="1808" t="s">
        <v>60</v>
      </c>
      <c r="S1528" s="1833" t="s">
        <v>60</v>
      </c>
      <c r="T1528" s="1729" t="s">
        <v>60</v>
      </c>
      <c r="U1528" s="1729" t="s">
        <v>60</v>
      </c>
      <c r="V1528" s="1729"/>
      <c r="W1528" s="1692" t="s">
        <v>2572</v>
      </c>
      <c r="X1528" s="1865"/>
      <c r="Y1528" s="1865"/>
      <c r="Z1528" s="1865"/>
      <c r="AA1528" s="1865"/>
      <c r="AB1528" s="1865"/>
      <c r="AC1528" s="1865"/>
      <c r="AD1528" s="1865"/>
      <c r="AE1528" s="1865"/>
    </row>
    <row r="1529" spans="1:31" ht="37.5">
      <c r="A1529" s="1649"/>
      <c r="B1529" s="1496" t="s">
        <v>56</v>
      </c>
      <c r="C1529" s="1666" t="s">
        <v>60</v>
      </c>
      <c r="D1529" s="1665" t="s">
        <v>110</v>
      </c>
      <c r="E1529" s="1665"/>
      <c r="F1529" s="1665"/>
      <c r="G1529" s="1665"/>
      <c r="H1529" s="1665" t="s">
        <v>308</v>
      </c>
      <c r="I1529" s="1692" t="s">
        <v>47</v>
      </c>
      <c r="J1529" s="1700" t="s">
        <v>4880</v>
      </c>
      <c r="K1529" s="1713"/>
      <c r="L1529" s="1730" t="s">
        <v>60</v>
      </c>
      <c r="M1529" s="1730"/>
      <c r="N1529" s="1730"/>
      <c r="O1529" s="1730" t="s">
        <v>60</v>
      </c>
      <c r="P1529" s="1768" t="s">
        <v>60</v>
      </c>
      <c r="Q1529" s="1768" t="s">
        <v>60</v>
      </c>
      <c r="R1529" s="1808" t="s">
        <v>60</v>
      </c>
      <c r="S1529" s="1833" t="s">
        <v>2110</v>
      </c>
      <c r="T1529" s="1729" t="s">
        <v>60</v>
      </c>
      <c r="U1529" s="1729" t="s">
        <v>60</v>
      </c>
      <c r="V1529" s="1729"/>
      <c r="W1529" s="1692" t="s">
        <v>3040</v>
      </c>
      <c r="X1529" s="1865"/>
      <c r="Y1529" s="1865"/>
      <c r="Z1529" s="1865"/>
      <c r="AA1529" s="1865"/>
      <c r="AB1529" s="1865"/>
      <c r="AC1529" s="1865"/>
      <c r="AD1529" s="1865"/>
      <c r="AE1529" s="1865"/>
    </row>
    <row r="1530" spans="1:31" ht="37.5">
      <c r="A1530" s="1649"/>
      <c r="B1530" s="1496" t="s">
        <v>56</v>
      </c>
      <c r="C1530" s="1666" t="s">
        <v>60</v>
      </c>
      <c r="D1530" s="1665" t="s">
        <v>57</v>
      </c>
      <c r="E1530" s="1665"/>
      <c r="F1530" s="1665"/>
      <c r="G1530" s="1665"/>
      <c r="H1530" s="1665" t="s">
        <v>308</v>
      </c>
      <c r="I1530" s="1666" t="s">
        <v>47</v>
      </c>
      <c r="J1530" s="1701" t="s">
        <v>4881</v>
      </c>
      <c r="K1530" s="1715"/>
      <c r="L1530" s="1732" t="s">
        <v>60</v>
      </c>
      <c r="M1530" s="1732"/>
      <c r="N1530" s="1732"/>
      <c r="O1530" s="1732" t="s">
        <v>60</v>
      </c>
      <c r="P1530" s="1773" t="s">
        <v>60</v>
      </c>
      <c r="Q1530" s="1773" t="s">
        <v>60</v>
      </c>
      <c r="R1530" s="1808" t="s">
        <v>60</v>
      </c>
      <c r="S1530" s="1715" t="s">
        <v>84</v>
      </c>
      <c r="T1530" s="1844" t="s">
        <v>60</v>
      </c>
      <c r="U1530" s="1729" t="s">
        <v>60</v>
      </c>
      <c r="V1530" s="1729"/>
      <c r="W1530" s="1666" t="s">
        <v>2688</v>
      </c>
      <c r="X1530" s="1865"/>
      <c r="Y1530" s="1865"/>
      <c r="Z1530" s="1865"/>
      <c r="AA1530" s="1865"/>
      <c r="AB1530" s="1865"/>
      <c r="AC1530" s="1865"/>
      <c r="AD1530" s="1865"/>
      <c r="AE1530" s="1865"/>
    </row>
    <row r="1531" spans="1:31" ht="37.5">
      <c r="A1531" s="1649"/>
      <c r="B1531" s="1496" t="s">
        <v>56</v>
      </c>
      <c r="C1531" s="1666" t="s">
        <v>60</v>
      </c>
      <c r="D1531" s="1665" t="s">
        <v>122</v>
      </c>
      <c r="E1531" s="1665"/>
      <c r="F1531" s="1665"/>
      <c r="G1531" s="1665"/>
      <c r="H1531" s="1665" t="s">
        <v>308</v>
      </c>
      <c r="I1531" s="1692" t="s">
        <v>47</v>
      </c>
      <c r="J1531" s="1700" t="s">
        <v>4882</v>
      </c>
      <c r="K1531" s="1713"/>
      <c r="L1531" s="1730" t="s">
        <v>60</v>
      </c>
      <c r="M1531" s="1730"/>
      <c r="N1531" s="1730"/>
      <c r="O1531" s="1730" t="s">
        <v>60</v>
      </c>
      <c r="P1531" s="1768" t="s">
        <v>60</v>
      </c>
      <c r="Q1531" s="1768" t="s">
        <v>60</v>
      </c>
      <c r="R1531" s="1808">
        <v>6000000</v>
      </c>
      <c r="S1531" s="1833" t="s">
        <v>2110</v>
      </c>
      <c r="T1531" s="1729" t="s">
        <v>310</v>
      </c>
      <c r="U1531" s="1729" t="s">
        <v>60</v>
      </c>
      <c r="V1531" s="1729"/>
      <c r="W1531" s="1692" t="s">
        <v>714</v>
      </c>
      <c r="X1531" s="1865"/>
      <c r="Y1531" s="1865"/>
      <c r="Z1531" s="1865"/>
      <c r="AA1531" s="1865"/>
      <c r="AB1531" s="1865"/>
      <c r="AC1531" s="1865"/>
      <c r="AD1531" s="1865"/>
      <c r="AE1531" s="1865"/>
    </row>
    <row r="1532" spans="1:31" ht="25">
      <c r="A1532" s="1649"/>
      <c r="B1532" s="1496" t="s">
        <v>56</v>
      </c>
      <c r="C1532" s="1666" t="s">
        <v>60</v>
      </c>
      <c r="D1532" s="1665" t="s">
        <v>122</v>
      </c>
      <c r="E1532" s="1665"/>
      <c r="F1532" s="1665"/>
      <c r="G1532" s="1665"/>
      <c r="H1532" s="1665" t="s">
        <v>308</v>
      </c>
      <c r="I1532" s="1692" t="s">
        <v>47</v>
      </c>
      <c r="J1532" s="1700" t="s">
        <v>4883</v>
      </c>
      <c r="K1532" s="1713"/>
      <c r="L1532" s="1730" t="s">
        <v>60</v>
      </c>
      <c r="M1532" s="1730"/>
      <c r="N1532" s="1730"/>
      <c r="O1532" s="1730" t="s">
        <v>60</v>
      </c>
      <c r="P1532" s="1768">
        <v>8</v>
      </c>
      <c r="Q1532" s="1768">
        <v>8</v>
      </c>
      <c r="R1532" s="1808" t="s">
        <v>60</v>
      </c>
      <c r="S1532" s="1833" t="s">
        <v>1189</v>
      </c>
      <c r="T1532" s="1729" t="s">
        <v>310</v>
      </c>
      <c r="U1532" s="1729" t="s">
        <v>60</v>
      </c>
      <c r="V1532" s="1729"/>
      <c r="W1532" s="1692" t="s">
        <v>4884</v>
      </c>
      <c r="X1532" s="1865"/>
      <c r="Y1532" s="1865"/>
      <c r="Z1532" s="1865"/>
      <c r="AA1532" s="1865"/>
      <c r="AB1532" s="1865"/>
      <c r="AC1532" s="1865"/>
      <c r="AD1532" s="1865"/>
      <c r="AE1532" s="1865"/>
    </row>
    <row r="1533" spans="1:31" ht="37.5">
      <c r="A1533" s="1649"/>
      <c r="B1533" s="1496" t="s">
        <v>56</v>
      </c>
      <c r="C1533" s="1666" t="s">
        <v>60</v>
      </c>
      <c r="D1533" s="1665" t="s">
        <v>57</v>
      </c>
      <c r="E1533" s="1665"/>
      <c r="F1533" s="1665"/>
      <c r="G1533" s="1665"/>
      <c r="H1533" s="1665" t="s">
        <v>58</v>
      </c>
      <c r="I1533" s="1692" t="s">
        <v>47</v>
      </c>
      <c r="J1533" s="1700" t="s">
        <v>4885</v>
      </c>
      <c r="K1533" s="1713"/>
      <c r="L1533" s="1729">
        <v>43862</v>
      </c>
      <c r="M1533" s="1729"/>
      <c r="N1533" s="1729"/>
      <c r="O1533" s="1729" t="s">
        <v>60</v>
      </c>
      <c r="P1533" s="1768">
        <v>1</v>
      </c>
      <c r="Q1533" s="1768">
        <v>1</v>
      </c>
      <c r="R1533" s="1808">
        <v>24999</v>
      </c>
      <c r="S1533" s="1833" t="s">
        <v>529</v>
      </c>
      <c r="T1533" s="1729" t="s">
        <v>2455</v>
      </c>
      <c r="U1533" s="1729" t="s">
        <v>589</v>
      </c>
      <c r="V1533" s="1729"/>
      <c r="W1533" s="1692" t="s">
        <v>1047</v>
      </c>
      <c r="X1533" s="1865"/>
      <c r="Y1533" s="1865"/>
      <c r="Z1533" s="1865"/>
      <c r="AA1533" s="1865"/>
      <c r="AB1533" s="1865"/>
      <c r="AC1533" s="1865"/>
      <c r="AD1533" s="1865"/>
      <c r="AE1533" s="1865"/>
    </row>
    <row r="1534" spans="1:31" ht="37.5">
      <c r="A1534" s="1649"/>
      <c r="B1534" s="1496" t="s">
        <v>56</v>
      </c>
      <c r="C1534" s="1665" t="s">
        <v>60</v>
      </c>
      <c r="D1534" s="1665" t="s">
        <v>57</v>
      </c>
      <c r="E1534" s="1665"/>
      <c r="F1534" s="1665"/>
      <c r="G1534" s="1665"/>
      <c r="H1534" s="1665" t="s">
        <v>58</v>
      </c>
      <c r="I1534" s="1692" t="s">
        <v>47</v>
      </c>
      <c r="J1534" s="1699" t="s">
        <v>4886</v>
      </c>
      <c r="K1534" s="1712"/>
      <c r="L1534" s="1729">
        <v>44287</v>
      </c>
      <c r="M1534" s="1729"/>
      <c r="N1534" s="1729"/>
      <c r="O1534" s="1729" t="s">
        <v>60</v>
      </c>
      <c r="P1534" s="1768" t="s">
        <v>991</v>
      </c>
      <c r="Q1534" s="1768" t="s">
        <v>991</v>
      </c>
      <c r="R1534" s="1808" t="s">
        <v>991</v>
      </c>
      <c r="S1534" s="1729" t="s">
        <v>1189</v>
      </c>
      <c r="T1534" s="1729" t="s">
        <v>310</v>
      </c>
      <c r="U1534" s="1665" t="s">
        <v>60</v>
      </c>
      <c r="V1534" s="1665"/>
      <c r="W1534" s="1855" t="s">
        <v>3733</v>
      </c>
      <c r="X1534" s="1865"/>
      <c r="Y1534" s="1865"/>
      <c r="Z1534" s="1865"/>
      <c r="AA1534" s="1865"/>
      <c r="AB1534" s="1865"/>
      <c r="AC1534" s="1865"/>
      <c r="AD1534" s="1865"/>
      <c r="AE1534" s="1865"/>
    </row>
    <row r="1535" spans="1:31" ht="37.5">
      <c r="A1535" s="1649"/>
      <c r="B1535" s="1496" t="s">
        <v>56</v>
      </c>
      <c r="C1535" s="1666" t="s">
        <v>60</v>
      </c>
      <c r="D1535" s="1665" t="s">
        <v>57</v>
      </c>
      <c r="E1535" s="1665"/>
      <c r="F1535" s="1665"/>
      <c r="G1535" s="1665"/>
      <c r="H1535" s="1665" t="s">
        <v>58</v>
      </c>
      <c r="I1535" s="1692" t="s">
        <v>47</v>
      </c>
      <c r="J1535" s="1700" t="s">
        <v>4887</v>
      </c>
      <c r="K1535" s="1713"/>
      <c r="L1535" s="1729" t="s">
        <v>60</v>
      </c>
      <c r="M1535" s="1729"/>
      <c r="N1535" s="1729"/>
      <c r="O1535" s="1729" t="s">
        <v>60</v>
      </c>
      <c r="P1535" s="1768" t="s">
        <v>60</v>
      </c>
      <c r="Q1535" s="1768" t="s">
        <v>60</v>
      </c>
      <c r="R1535" s="1808">
        <v>520000</v>
      </c>
      <c r="S1535" s="1729" t="s">
        <v>2110</v>
      </c>
      <c r="T1535" s="1729" t="s">
        <v>310</v>
      </c>
      <c r="U1535" s="1729" t="s">
        <v>60</v>
      </c>
      <c r="V1535" s="1729"/>
      <c r="W1535" s="1692" t="s">
        <v>4888</v>
      </c>
      <c r="X1535" s="1865"/>
      <c r="Y1535" s="1865"/>
      <c r="Z1535" s="1865"/>
      <c r="AA1535" s="1865"/>
      <c r="AB1535" s="1865"/>
      <c r="AC1535" s="1865"/>
      <c r="AD1535" s="1865"/>
      <c r="AE1535" s="1865"/>
    </row>
    <row r="1536" spans="1:31" ht="25">
      <c r="A1536" s="1649"/>
      <c r="B1536" s="1496" t="s">
        <v>56</v>
      </c>
      <c r="C1536" s="1666" t="s">
        <v>60</v>
      </c>
      <c r="D1536" s="1665" t="s">
        <v>57</v>
      </c>
      <c r="E1536" s="1665"/>
      <c r="F1536" s="1665"/>
      <c r="G1536" s="1665"/>
      <c r="H1536" s="1665" t="s">
        <v>33</v>
      </c>
      <c r="I1536" s="1692" t="s">
        <v>47</v>
      </c>
      <c r="J1536" s="1700" t="s">
        <v>4889</v>
      </c>
      <c r="K1536" s="1713"/>
      <c r="L1536" s="1729">
        <v>43800</v>
      </c>
      <c r="M1536" s="1729"/>
      <c r="N1536" s="1729"/>
      <c r="O1536" s="1729" t="s">
        <v>45</v>
      </c>
      <c r="P1536" s="1768" t="s">
        <v>45</v>
      </c>
      <c r="Q1536" s="1768" t="s">
        <v>45</v>
      </c>
      <c r="R1536" s="1808">
        <v>300000</v>
      </c>
      <c r="S1536" s="1729" t="s">
        <v>45</v>
      </c>
      <c r="T1536" s="1729" t="s">
        <v>62</v>
      </c>
      <c r="U1536" s="1729" t="s">
        <v>45</v>
      </c>
      <c r="V1536" s="1729"/>
      <c r="W1536" s="1692" t="s">
        <v>2677</v>
      </c>
      <c r="X1536" s="1865"/>
      <c r="Y1536" s="1865"/>
      <c r="Z1536" s="1865"/>
      <c r="AA1536" s="1865"/>
      <c r="AB1536" s="1865"/>
      <c r="AC1536" s="1865"/>
      <c r="AD1536" s="1865"/>
      <c r="AE1536" s="1865"/>
    </row>
    <row r="1537" spans="1:32" ht="50">
      <c r="A1537" s="1649"/>
      <c r="B1537" s="1496" t="s">
        <v>56</v>
      </c>
      <c r="C1537" s="1665" t="s">
        <v>4890</v>
      </c>
      <c r="D1537" s="1665" t="s">
        <v>57</v>
      </c>
      <c r="E1537" s="1665"/>
      <c r="F1537" s="1665"/>
      <c r="G1537" s="1665"/>
      <c r="H1537" s="1665" t="s">
        <v>58</v>
      </c>
      <c r="I1537" s="1692" t="s">
        <v>47</v>
      </c>
      <c r="J1537" s="1699" t="s">
        <v>4891</v>
      </c>
      <c r="K1537" s="1712"/>
      <c r="L1537" s="1729">
        <v>44287</v>
      </c>
      <c r="M1537" s="1729"/>
      <c r="N1537" s="1729"/>
      <c r="O1537" s="1729" t="s">
        <v>60</v>
      </c>
      <c r="P1537" s="1768">
        <v>1</v>
      </c>
      <c r="Q1537" s="1768">
        <v>1</v>
      </c>
      <c r="R1537" s="1808">
        <v>225290.317824</v>
      </c>
      <c r="S1537" s="1729" t="s">
        <v>1189</v>
      </c>
      <c r="T1537" s="1729" t="s">
        <v>62</v>
      </c>
      <c r="U1537" s="1665" t="s">
        <v>60</v>
      </c>
      <c r="V1537" s="1665"/>
      <c r="W1537" s="1855" t="s">
        <v>3382</v>
      </c>
      <c r="X1537" s="1865"/>
      <c r="Y1537" s="1865"/>
      <c r="Z1537" s="1865"/>
      <c r="AA1537" s="1865"/>
      <c r="AB1537" s="1865"/>
      <c r="AC1537" s="1865"/>
      <c r="AD1537" s="1865"/>
      <c r="AE1537" s="1865"/>
    </row>
    <row r="1538" spans="1:32" ht="37.5">
      <c r="A1538" s="1649"/>
      <c r="B1538" s="1496" t="s">
        <v>56</v>
      </c>
      <c r="C1538" s="1665" t="s">
        <v>4892</v>
      </c>
      <c r="D1538" s="1665" t="s">
        <v>57</v>
      </c>
      <c r="E1538" s="1665"/>
      <c r="F1538" s="1665"/>
      <c r="G1538" s="1665"/>
      <c r="H1538" s="1665" t="s">
        <v>58</v>
      </c>
      <c r="I1538" s="1692" t="s">
        <v>47</v>
      </c>
      <c r="J1538" s="1699" t="s">
        <v>4893</v>
      </c>
      <c r="K1538" s="1712"/>
      <c r="L1538" s="1729" t="s">
        <v>60</v>
      </c>
      <c r="M1538" s="1729"/>
      <c r="N1538" s="1729"/>
      <c r="O1538" s="1729" t="s">
        <v>60</v>
      </c>
      <c r="P1538" s="1768" t="s">
        <v>60</v>
      </c>
      <c r="Q1538" s="1768" t="s">
        <v>60</v>
      </c>
      <c r="R1538" s="1808">
        <v>337000</v>
      </c>
      <c r="S1538" s="1729" t="s">
        <v>1189</v>
      </c>
      <c r="T1538" s="1729" t="s">
        <v>62</v>
      </c>
      <c r="U1538" s="1665" t="s">
        <v>60</v>
      </c>
      <c r="V1538" s="1665"/>
      <c r="W1538" s="1855" t="s">
        <v>1868</v>
      </c>
      <c r="X1538" s="1865"/>
      <c r="Y1538" s="1865"/>
      <c r="Z1538" s="1865"/>
      <c r="AA1538" s="1865"/>
      <c r="AB1538" s="1865"/>
      <c r="AC1538" s="1865"/>
      <c r="AD1538" s="1865"/>
      <c r="AE1538" s="1865"/>
    </row>
    <row r="1539" spans="1:32" ht="100">
      <c r="A1539" s="1649"/>
      <c r="B1539" s="1496" t="s">
        <v>56</v>
      </c>
      <c r="C1539" s="1665" t="s">
        <v>4894</v>
      </c>
      <c r="D1539" s="1665" t="s">
        <v>57</v>
      </c>
      <c r="E1539" s="1665"/>
      <c r="F1539" s="1665"/>
      <c r="G1539" s="1665"/>
      <c r="H1539" s="1665" t="s">
        <v>58</v>
      </c>
      <c r="I1539" s="1692" t="s">
        <v>47</v>
      </c>
      <c r="J1539" s="1699" t="s">
        <v>4895</v>
      </c>
      <c r="K1539" s="1712"/>
      <c r="L1539" s="1729">
        <v>44011</v>
      </c>
      <c r="M1539" s="1729"/>
      <c r="N1539" s="1729"/>
      <c r="O1539" s="1729" t="s">
        <v>60</v>
      </c>
      <c r="P1539" s="1768">
        <v>1</v>
      </c>
      <c r="Q1539" s="1768">
        <v>1</v>
      </c>
      <c r="R1539" s="1804">
        <v>390485</v>
      </c>
      <c r="S1539" s="1729" t="s">
        <v>1189</v>
      </c>
      <c r="T1539" s="1729" t="s">
        <v>62</v>
      </c>
      <c r="U1539" s="1665" t="s">
        <v>60</v>
      </c>
      <c r="V1539" s="1665"/>
      <c r="W1539" s="1855" t="s">
        <v>3733</v>
      </c>
      <c r="X1539" s="1865"/>
      <c r="Y1539" s="1865"/>
      <c r="Z1539" s="1865"/>
      <c r="AA1539" s="1865"/>
      <c r="AB1539" s="1865"/>
      <c r="AC1539" s="1865"/>
      <c r="AD1539" s="1865"/>
      <c r="AE1539" s="1865"/>
    </row>
    <row r="1540" spans="1:32" ht="25">
      <c r="A1540" s="1649"/>
      <c r="B1540" s="1496" t="s">
        <v>56</v>
      </c>
      <c r="C1540" s="1666" t="s">
        <v>60</v>
      </c>
      <c r="D1540" s="1665" t="s">
        <v>32</v>
      </c>
      <c r="E1540" s="1665"/>
      <c r="F1540" s="1665"/>
      <c r="G1540" s="1665"/>
      <c r="H1540" s="1665" t="s">
        <v>279</v>
      </c>
      <c r="I1540" s="1692" t="s">
        <v>47</v>
      </c>
      <c r="J1540" s="1700" t="s">
        <v>4896</v>
      </c>
      <c r="K1540" s="1713"/>
      <c r="L1540" s="1729" t="s">
        <v>60</v>
      </c>
      <c r="M1540" s="1729"/>
      <c r="N1540" s="1729"/>
      <c r="O1540" s="1729" t="s">
        <v>60</v>
      </c>
      <c r="P1540" s="1768" t="s">
        <v>60</v>
      </c>
      <c r="Q1540" s="1768" t="s">
        <v>60</v>
      </c>
      <c r="R1540" s="1804">
        <v>250000</v>
      </c>
      <c r="S1540" s="1729" t="s">
        <v>60</v>
      </c>
      <c r="T1540" s="1729" t="s">
        <v>62</v>
      </c>
      <c r="U1540" s="1729" t="s">
        <v>60</v>
      </c>
      <c r="V1540" s="1729"/>
      <c r="W1540" s="1692" t="s">
        <v>60</v>
      </c>
      <c r="X1540" s="1865"/>
      <c r="Y1540" s="1865"/>
      <c r="Z1540" s="1865"/>
      <c r="AA1540" s="1865"/>
      <c r="AB1540" s="1865"/>
      <c r="AC1540" s="1865"/>
      <c r="AD1540" s="1865"/>
      <c r="AE1540" s="1865"/>
    </row>
    <row r="1541" spans="1:32" ht="37.5">
      <c r="A1541" s="1649"/>
      <c r="B1541" s="1496" t="s">
        <v>56</v>
      </c>
      <c r="C1541" s="1666" t="s">
        <v>60</v>
      </c>
      <c r="D1541" s="1665" t="s">
        <v>57</v>
      </c>
      <c r="E1541" s="1665"/>
      <c r="F1541" s="1665"/>
      <c r="G1541" s="1665"/>
      <c r="H1541" s="1665" t="s">
        <v>58</v>
      </c>
      <c r="I1541" s="1692" t="s">
        <v>47</v>
      </c>
      <c r="J1541" s="1700" t="s">
        <v>4897</v>
      </c>
      <c r="K1541" s="1713"/>
      <c r="L1541" s="1729" t="s">
        <v>60</v>
      </c>
      <c r="M1541" s="1729"/>
      <c r="N1541" s="1729"/>
      <c r="O1541" s="1729" t="s">
        <v>60</v>
      </c>
      <c r="P1541" s="1768" t="s">
        <v>60</v>
      </c>
      <c r="Q1541" s="1768" t="s">
        <v>45</v>
      </c>
      <c r="R1541" s="1804" t="s">
        <v>60</v>
      </c>
      <c r="S1541" s="1729" t="s">
        <v>60</v>
      </c>
      <c r="T1541" s="1729" t="s">
        <v>60</v>
      </c>
      <c r="U1541" s="1729" t="s">
        <v>60</v>
      </c>
      <c r="V1541" s="1729"/>
      <c r="W1541" s="1692" t="s">
        <v>1868</v>
      </c>
      <c r="X1541" s="1865"/>
      <c r="Y1541" s="1865"/>
      <c r="Z1541" s="1865"/>
      <c r="AA1541" s="1865"/>
      <c r="AB1541" s="1865"/>
      <c r="AC1541" s="1865"/>
      <c r="AD1541" s="1865"/>
      <c r="AE1541" s="1865"/>
    </row>
    <row r="1542" spans="1:32" ht="37.5">
      <c r="A1542" s="1649"/>
      <c r="B1542" s="1496" t="s">
        <v>56</v>
      </c>
      <c r="C1542" s="1666" t="s">
        <v>60</v>
      </c>
      <c r="D1542" s="1665" t="s">
        <v>57</v>
      </c>
      <c r="E1542" s="1665"/>
      <c r="F1542" s="1665"/>
      <c r="G1542" s="1665"/>
      <c r="H1542" s="1665" t="s">
        <v>58</v>
      </c>
      <c r="I1542" s="1692" t="s">
        <v>47</v>
      </c>
      <c r="J1542" s="1699" t="s">
        <v>4898</v>
      </c>
      <c r="K1542" s="1712"/>
      <c r="L1542" s="1731" t="s">
        <v>60</v>
      </c>
      <c r="M1542" s="1731"/>
      <c r="N1542" s="1731"/>
      <c r="O1542" s="1731" t="s">
        <v>60</v>
      </c>
      <c r="P1542" s="1771" t="s">
        <v>60</v>
      </c>
      <c r="Q1542" s="1771" t="s">
        <v>60</v>
      </c>
      <c r="R1542" s="1809">
        <v>250000</v>
      </c>
      <c r="S1542" s="1771" t="s">
        <v>60</v>
      </c>
      <c r="T1542" s="1771" t="s">
        <v>62</v>
      </c>
      <c r="U1542" s="1731">
        <v>43700</v>
      </c>
      <c r="V1542" s="1731"/>
      <c r="W1542" s="1692" t="s">
        <v>1868</v>
      </c>
      <c r="X1542" s="1865"/>
      <c r="Y1542" s="1865"/>
      <c r="Z1542" s="1865"/>
      <c r="AA1542" s="1865"/>
      <c r="AB1542" s="1865"/>
      <c r="AC1542" s="1865"/>
      <c r="AD1542" s="1865"/>
      <c r="AE1542" s="1865"/>
    </row>
    <row r="1543" spans="1:32" ht="37.5">
      <c r="A1543" s="1649"/>
      <c r="B1543" s="1496" t="s">
        <v>56</v>
      </c>
      <c r="C1543" s="1666" t="s">
        <v>60</v>
      </c>
      <c r="D1543" s="1665" t="s">
        <v>57</v>
      </c>
      <c r="E1543" s="1665"/>
      <c r="F1543" s="1665"/>
      <c r="G1543" s="1665"/>
      <c r="H1543" s="1665" t="s">
        <v>58</v>
      </c>
      <c r="I1543" s="1692" t="s">
        <v>47</v>
      </c>
      <c r="J1543" s="1699" t="s">
        <v>4899</v>
      </c>
      <c r="K1543" s="1712"/>
      <c r="L1543" s="1731" t="s">
        <v>4900</v>
      </c>
      <c r="M1543" s="1731"/>
      <c r="N1543" s="1731"/>
      <c r="O1543" s="1731" t="s">
        <v>60</v>
      </c>
      <c r="P1543" s="1771" t="s">
        <v>60</v>
      </c>
      <c r="Q1543" s="1771" t="s">
        <v>60</v>
      </c>
      <c r="R1543" s="1809">
        <v>700000</v>
      </c>
      <c r="S1543" s="1771" t="s">
        <v>4901</v>
      </c>
      <c r="T1543" s="1771" t="s">
        <v>310</v>
      </c>
      <c r="U1543" s="1731">
        <v>43700</v>
      </c>
      <c r="V1543" s="1731"/>
      <c r="W1543" s="1692" t="s">
        <v>1868</v>
      </c>
      <c r="X1543" s="1865"/>
      <c r="Y1543" s="1865"/>
      <c r="Z1543" s="1865"/>
      <c r="AA1543" s="1865"/>
      <c r="AB1543" s="1865"/>
      <c r="AC1543" s="1865"/>
      <c r="AD1543" s="1865"/>
      <c r="AE1543" s="1865"/>
    </row>
    <row r="1544" spans="1:32" ht="37.5">
      <c r="A1544" s="1649"/>
      <c r="B1544" s="1496" t="s">
        <v>56</v>
      </c>
      <c r="C1544" s="1666" t="s">
        <v>60</v>
      </c>
      <c r="D1544" s="1665" t="s">
        <v>57</v>
      </c>
      <c r="E1544" s="1665"/>
      <c r="F1544" s="1665"/>
      <c r="G1544" s="1665"/>
      <c r="H1544" s="1665" t="s">
        <v>58</v>
      </c>
      <c r="I1544" s="1692" t="s">
        <v>47</v>
      </c>
      <c r="J1544" s="1700" t="s">
        <v>4902</v>
      </c>
      <c r="K1544" s="1713"/>
      <c r="L1544" s="1729" t="s">
        <v>60</v>
      </c>
      <c r="M1544" s="1729"/>
      <c r="N1544" s="1729"/>
      <c r="O1544" s="1729" t="s">
        <v>60</v>
      </c>
      <c r="P1544" s="1768" t="s">
        <v>60</v>
      </c>
      <c r="Q1544" s="1768" t="s">
        <v>60</v>
      </c>
      <c r="R1544" s="1804">
        <v>652000</v>
      </c>
      <c r="S1544" s="1729" t="s">
        <v>1937</v>
      </c>
      <c r="T1544" s="1729" t="s">
        <v>310</v>
      </c>
      <c r="U1544" s="1729">
        <v>43700</v>
      </c>
      <c r="V1544" s="1729"/>
      <c r="W1544" s="1692" t="s">
        <v>1868</v>
      </c>
      <c r="X1544" s="1865"/>
      <c r="Y1544" s="1865"/>
      <c r="Z1544" s="1865"/>
      <c r="AA1544" s="1865"/>
      <c r="AB1544" s="1865"/>
      <c r="AC1544" s="1865"/>
      <c r="AD1544" s="1865"/>
      <c r="AE1544" s="1865"/>
    </row>
    <row r="1545" spans="1:32" ht="37.5">
      <c r="A1545" s="1649"/>
      <c r="B1545" s="1496" t="s">
        <v>56</v>
      </c>
      <c r="C1545" s="1666" t="s">
        <v>60</v>
      </c>
      <c r="D1545" s="1665" t="s">
        <v>57</v>
      </c>
      <c r="E1545" s="1665"/>
      <c r="F1545" s="1665"/>
      <c r="G1545" s="1665"/>
      <c r="H1545" s="1665" t="s">
        <v>58</v>
      </c>
      <c r="I1545" s="1692" t="s">
        <v>47</v>
      </c>
      <c r="J1545" s="1700" t="s">
        <v>4903</v>
      </c>
      <c r="K1545" s="1713"/>
      <c r="L1545" s="1729" t="s">
        <v>60</v>
      </c>
      <c r="M1545" s="1729"/>
      <c r="N1545" s="1729"/>
      <c r="O1545" s="1729" t="s">
        <v>60</v>
      </c>
      <c r="P1545" s="1768" t="s">
        <v>60</v>
      </c>
      <c r="Q1545" s="1768" t="s">
        <v>60</v>
      </c>
      <c r="R1545" s="1804">
        <v>449000</v>
      </c>
      <c r="S1545" s="1729" t="s">
        <v>1937</v>
      </c>
      <c r="T1545" s="1729" t="s">
        <v>62</v>
      </c>
      <c r="U1545" s="1729">
        <v>43700</v>
      </c>
      <c r="V1545" s="1729"/>
      <c r="W1545" s="1692" t="s">
        <v>1868</v>
      </c>
      <c r="X1545" s="1865"/>
      <c r="Y1545" s="1865"/>
      <c r="Z1545" s="1865"/>
      <c r="AA1545" s="1865"/>
      <c r="AB1545" s="1865"/>
      <c r="AC1545" s="1865"/>
      <c r="AD1545" s="1865"/>
      <c r="AE1545" s="1865"/>
    </row>
    <row r="1546" spans="1:32" ht="50">
      <c r="A1546" s="1649"/>
      <c r="B1546" s="1496" t="s">
        <v>56</v>
      </c>
      <c r="C1546" s="1666" t="s">
        <v>4904</v>
      </c>
      <c r="D1546" s="1665" t="s">
        <v>57</v>
      </c>
      <c r="E1546" s="1665"/>
      <c r="F1546" s="1665"/>
      <c r="G1546" s="1665"/>
      <c r="H1546" s="1665" t="s">
        <v>58</v>
      </c>
      <c r="I1546" s="1692" t="s">
        <v>47</v>
      </c>
      <c r="J1546" s="1699" t="s">
        <v>4905</v>
      </c>
      <c r="K1546" s="1712"/>
      <c r="L1546" s="1729" t="s">
        <v>45</v>
      </c>
      <c r="M1546" s="1729"/>
      <c r="N1546" s="1729"/>
      <c r="O1546" s="1729" t="s">
        <v>45</v>
      </c>
      <c r="P1546" s="1771" t="s">
        <v>60</v>
      </c>
      <c r="Q1546" s="1771" t="s">
        <v>60</v>
      </c>
      <c r="R1546" s="1809">
        <v>270000</v>
      </c>
      <c r="S1546" s="1771" t="s">
        <v>176</v>
      </c>
      <c r="T1546" s="1771" t="s">
        <v>62</v>
      </c>
      <c r="U1546" s="1731">
        <v>43700</v>
      </c>
      <c r="V1546" s="1731"/>
      <c r="W1546" s="1692" t="s">
        <v>986</v>
      </c>
      <c r="X1546" s="1865"/>
      <c r="Y1546" s="1865"/>
      <c r="Z1546" s="1865"/>
      <c r="AA1546" s="1865"/>
      <c r="AB1546" s="1865"/>
      <c r="AC1546" s="1865"/>
      <c r="AD1546" s="1865"/>
      <c r="AE1546" s="1865"/>
    </row>
    <row r="1547" spans="1:32" ht="169">
      <c r="A1547" s="1166"/>
      <c r="B1547" s="1406" t="s">
        <v>56</v>
      </c>
      <c r="C1547" s="1406" t="s">
        <v>60</v>
      </c>
      <c r="D1547" s="1385" t="s">
        <v>4428</v>
      </c>
      <c r="E1547" s="1385"/>
      <c r="F1547" s="1385"/>
      <c r="G1547" s="1385"/>
      <c r="H1547" s="1385" t="s">
        <v>58</v>
      </c>
      <c r="I1547" s="698" t="s">
        <v>47</v>
      </c>
      <c r="J1547" s="1704" t="s">
        <v>4906</v>
      </c>
      <c r="K1547" s="1406"/>
      <c r="L1547" s="1385">
        <v>12</v>
      </c>
      <c r="M1547" s="1458"/>
      <c r="N1547" s="1461" t="s">
        <v>60</v>
      </c>
      <c r="O1547" s="1464" t="s">
        <v>60</v>
      </c>
      <c r="P1547" s="1465">
        <v>24</v>
      </c>
      <c r="Q1547" s="1465">
        <v>24</v>
      </c>
      <c r="R1547" s="930" t="s">
        <v>60</v>
      </c>
      <c r="S1547" s="1158" t="s">
        <v>91</v>
      </c>
      <c r="T1547" s="1158" t="s">
        <v>589</v>
      </c>
      <c r="U1547" s="1158" t="s">
        <v>589</v>
      </c>
      <c r="V1547" s="1158"/>
      <c r="W1547" s="1385" t="s">
        <v>722</v>
      </c>
      <c r="X1547" s="1385" t="s">
        <v>312</v>
      </c>
      <c r="Y1547" s="1443" t="s">
        <v>727</v>
      </c>
      <c r="Z1547" s="1484" t="s">
        <v>154</v>
      </c>
      <c r="AA1547" s="1407" t="s">
        <v>70</v>
      </c>
      <c r="AB1547" s="1487">
        <v>44903</v>
      </c>
      <c r="AC1547" s="1488" t="s">
        <v>4907</v>
      </c>
      <c r="AD1547" s="1277"/>
      <c r="AE1547" s="1941"/>
      <c r="AF1547" s="906"/>
    </row>
    <row r="1548" spans="1:32" ht="247">
      <c r="A1548" s="1166">
        <v>44841</v>
      </c>
      <c r="B1548" s="1407" t="s">
        <v>56</v>
      </c>
      <c r="C1548" s="1277"/>
      <c r="D1548" s="1311" t="s">
        <v>32</v>
      </c>
      <c r="E1548" s="1385" t="s">
        <v>449</v>
      </c>
      <c r="F1548" s="1311" t="s">
        <v>361</v>
      </c>
      <c r="G1548" s="1311" t="s">
        <v>362</v>
      </c>
      <c r="H1548" s="698" t="s">
        <v>65</v>
      </c>
      <c r="I1548" s="698" t="s">
        <v>47</v>
      </c>
      <c r="J1548" s="1628" t="s">
        <v>4908</v>
      </c>
      <c r="K1548" s="698" t="s">
        <v>4909</v>
      </c>
      <c r="L1548" s="698"/>
      <c r="M1548" s="1457"/>
      <c r="N1548" s="1158"/>
      <c r="O1548" s="1459" t="s">
        <v>45</v>
      </c>
      <c r="P1548" s="1277"/>
      <c r="Q1548" s="1468"/>
      <c r="R1548" s="930" t="s">
        <v>45</v>
      </c>
      <c r="S1548" s="1311" t="s">
        <v>61</v>
      </c>
      <c r="T1548" s="1478" t="s">
        <v>45</v>
      </c>
      <c r="U1548" s="1481" t="s">
        <v>45</v>
      </c>
      <c r="V1548" s="1481"/>
      <c r="W1548" s="698" t="s">
        <v>961</v>
      </c>
      <c r="X1548" s="698" t="s">
        <v>312</v>
      </c>
      <c r="Y1548" s="698" t="s">
        <v>727</v>
      </c>
      <c r="Z1548" s="698"/>
      <c r="AA1548" s="698" t="s">
        <v>70</v>
      </c>
      <c r="AB1548" s="1487">
        <v>44973</v>
      </c>
      <c r="AC1548" s="1449" t="s">
        <v>4910</v>
      </c>
      <c r="AD1548" s="698"/>
      <c r="AE1548" s="1493"/>
      <c r="AF1548" s="906"/>
    </row>
    <row r="1549" spans="1:32" ht="26">
      <c r="A1549" s="1649"/>
      <c r="B1549" s="1496" t="s">
        <v>56</v>
      </c>
      <c r="C1549" s="1496" t="s">
        <v>71</v>
      </c>
      <c r="D1549" s="1683" t="s">
        <v>32</v>
      </c>
      <c r="E1549" s="1683"/>
      <c r="F1549" s="1683"/>
      <c r="G1549" s="1683"/>
      <c r="H1549" s="1683" t="s">
        <v>279</v>
      </c>
      <c r="I1549" s="1513" t="s">
        <v>47</v>
      </c>
      <c r="J1549" s="1707" t="s">
        <v>4911</v>
      </c>
      <c r="K1549" s="1513"/>
      <c r="L1549" s="1737">
        <v>42925</v>
      </c>
      <c r="M1549" s="1737"/>
      <c r="N1549" s="1737"/>
      <c r="O1549" s="1765" t="s">
        <v>4912</v>
      </c>
      <c r="P1549" s="1765" t="s">
        <v>4912</v>
      </c>
      <c r="Q1549" s="1765" t="s">
        <v>4912</v>
      </c>
      <c r="R1549" s="1821">
        <v>25000</v>
      </c>
      <c r="S1549" s="1835" t="s">
        <v>1615</v>
      </c>
      <c r="T1549" s="1847" t="s">
        <v>38</v>
      </c>
      <c r="U1549" s="1847"/>
      <c r="V1549" s="1847"/>
      <c r="W1549" s="1858" t="s">
        <v>2572</v>
      </c>
      <c r="X1549" s="1865"/>
      <c r="Y1549" s="1865"/>
      <c r="Z1549" s="1865"/>
      <c r="AA1549" s="1865"/>
      <c r="AB1549" s="1865"/>
      <c r="AC1549" s="1865"/>
      <c r="AD1549" s="1865"/>
      <c r="AE1549" s="1865"/>
      <c r="AF1549" s="906"/>
    </row>
    <row r="1550" spans="1:32" ht="29">
      <c r="A1550" s="2920"/>
      <c r="B1550" s="473"/>
      <c r="C1550" s="473" t="s">
        <v>31</v>
      </c>
      <c r="D1550" s="473" t="s">
        <v>32</v>
      </c>
      <c r="E1550" s="473"/>
      <c r="F1550" s="473"/>
      <c r="G1550" s="473"/>
      <c r="H1550" s="2835" t="s">
        <v>1670</v>
      </c>
      <c r="I1550" s="2776" t="s">
        <v>1343</v>
      </c>
      <c r="J1550" s="2921" t="s">
        <v>4913</v>
      </c>
      <c r="K1550" s="2921"/>
      <c r="L1550" s="2921"/>
      <c r="M1550" s="2776"/>
      <c r="N1550" s="2776"/>
      <c r="O1550" s="2776"/>
      <c r="P1550" s="2835">
        <v>36</v>
      </c>
      <c r="Q1550" s="2922">
        <v>25500</v>
      </c>
      <c r="R1550" s="2776"/>
      <c r="S1550" s="2776"/>
      <c r="T1550" s="2776" t="s">
        <v>4914</v>
      </c>
      <c r="U1550" s="473"/>
      <c r="V1550" s="473"/>
      <c r="W1550" s="2776"/>
      <c r="X1550" s="2776"/>
      <c r="Y1550" s="290" t="s">
        <v>40</v>
      </c>
      <c r="Z1550" s="290"/>
      <c r="AA1550" s="2921"/>
      <c r="AB1550" s="2827"/>
      <c r="AC1550" s="2827"/>
      <c r="AD1550" s="2827"/>
      <c r="AE1550" s="2776"/>
      <c r="AF1550" s="906"/>
    </row>
    <row r="1551" spans="1:32" ht="29">
      <c r="A1551" s="2920"/>
      <c r="B1551" s="473"/>
      <c r="C1551" s="473" t="s">
        <v>4915</v>
      </c>
      <c r="D1551" s="2827" t="s">
        <v>32</v>
      </c>
      <c r="E1551" s="2827"/>
      <c r="F1551" s="2827"/>
      <c r="G1551" s="2827"/>
      <c r="H1551" s="2923" t="s">
        <v>1670</v>
      </c>
      <c r="I1551" s="2924" t="s">
        <v>47</v>
      </c>
      <c r="J1551" s="2925" t="s">
        <v>4916</v>
      </c>
      <c r="K1551" s="2925"/>
      <c r="L1551" s="2925"/>
      <c r="M1551" s="2835"/>
      <c r="N1551" s="2835"/>
      <c r="O1551" s="2835"/>
      <c r="P1551" s="2835"/>
      <c r="Q1551" s="2926" t="s">
        <v>589</v>
      </c>
      <c r="R1551" s="1812">
        <v>950000</v>
      </c>
      <c r="S1551" s="2926" t="s">
        <v>91</v>
      </c>
      <c r="T1551" s="2835" t="s">
        <v>38</v>
      </c>
      <c r="U1551" s="473"/>
      <c r="V1551" s="473"/>
      <c r="W1551" s="2835" t="s">
        <v>1737</v>
      </c>
      <c r="X1551" s="2926" t="s">
        <v>86</v>
      </c>
      <c r="Y1551" s="290" t="s">
        <v>40</v>
      </c>
      <c r="Z1551" s="290"/>
      <c r="AA1551" s="2827"/>
      <c r="AB1551" s="1893" t="s">
        <v>3016</v>
      </c>
      <c r="AC1551" s="2927" t="s">
        <v>4917</v>
      </c>
      <c r="AD1551" s="473"/>
      <c r="AE1551" s="2928"/>
      <c r="AF1551" s="906"/>
    </row>
    <row r="1552" spans="1:32" ht="39">
      <c r="A1552" s="1649"/>
      <c r="B1552" s="1496" t="s">
        <v>56</v>
      </c>
      <c r="C1552" s="1669" t="s">
        <v>71</v>
      </c>
      <c r="D1552" s="1683" t="s">
        <v>57</v>
      </c>
      <c r="E1552" s="1683"/>
      <c r="F1552" s="1683"/>
      <c r="G1552" s="1683"/>
      <c r="H1552" s="1683" t="s">
        <v>58</v>
      </c>
      <c r="I1552" s="1513" t="s">
        <v>47</v>
      </c>
      <c r="J1552" s="1707" t="s">
        <v>4918</v>
      </c>
      <c r="K1552" s="1513"/>
      <c r="L1552" s="1737">
        <v>42863</v>
      </c>
      <c r="M1552" s="1737"/>
      <c r="N1552" s="1737"/>
      <c r="O1552" s="1737"/>
      <c r="P1552" s="1765">
        <v>0</v>
      </c>
      <c r="Q1552" s="1765">
        <v>0</v>
      </c>
      <c r="R1552" s="1821">
        <v>20000</v>
      </c>
      <c r="S1552" s="1835" t="s">
        <v>1615</v>
      </c>
      <c r="T1552" s="1847" t="s">
        <v>38</v>
      </c>
      <c r="U1552" s="1847"/>
      <c r="V1552" s="1847"/>
      <c r="W1552" s="1858" t="s">
        <v>4919</v>
      </c>
      <c r="X1552" s="1865"/>
      <c r="Y1552" s="1865"/>
      <c r="Z1552" s="1865"/>
      <c r="AA1552" s="1865"/>
      <c r="AB1552" s="1865"/>
      <c r="AC1552" s="1865"/>
      <c r="AD1552" s="1865"/>
      <c r="AE1552" s="1865"/>
      <c r="AF1552" s="906"/>
    </row>
    <row r="1553" spans="1:32" ht="39">
      <c r="A1553" s="1649"/>
      <c r="B1553" s="1496" t="s">
        <v>56</v>
      </c>
      <c r="C1553" s="1669"/>
      <c r="D1553" s="1683"/>
      <c r="E1553" s="1683"/>
      <c r="F1553" s="1683"/>
      <c r="G1553" s="1683"/>
      <c r="H1553" s="1683" t="s">
        <v>58</v>
      </c>
      <c r="I1553" s="1513" t="s">
        <v>47</v>
      </c>
      <c r="J1553" s="1707" t="s">
        <v>4920</v>
      </c>
      <c r="K1553" s="1513"/>
      <c r="L1553" s="1737">
        <v>42930</v>
      </c>
      <c r="M1553" s="1737"/>
      <c r="N1553" s="1737"/>
      <c r="O1553" s="1737"/>
      <c r="P1553" s="1765"/>
      <c r="Q1553" s="1765"/>
      <c r="R1553" s="1821">
        <v>40000</v>
      </c>
      <c r="S1553" s="1835"/>
      <c r="T1553" s="1847"/>
      <c r="U1553" s="1847"/>
      <c r="V1553" s="1847"/>
      <c r="W1553" s="1858" t="s">
        <v>4921</v>
      </c>
      <c r="X1553" s="1865"/>
      <c r="Y1553" s="1865"/>
      <c r="Z1553" s="1865"/>
      <c r="AA1553" s="1865"/>
      <c r="AB1553" s="1865"/>
      <c r="AC1553" s="1865"/>
      <c r="AD1553" s="1865"/>
      <c r="AE1553" s="1865"/>
      <c r="AF1553" s="906"/>
    </row>
    <row r="1554" spans="1:32" ht="65">
      <c r="A1554" s="1649"/>
      <c r="B1554" s="1496" t="s">
        <v>56</v>
      </c>
      <c r="C1554" s="1496" t="s">
        <v>4922</v>
      </c>
      <c r="D1554" s="1683" t="s">
        <v>32</v>
      </c>
      <c r="E1554" s="1683"/>
      <c r="F1554" s="1683"/>
      <c r="G1554" s="1683"/>
      <c r="H1554" s="1683" t="s">
        <v>308</v>
      </c>
      <c r="I1554" s="1513" t="s">
        <v>47</v>
      </c>
      <c r="J1554" s="1707" t="s">
        <v>4923</v>
      </c>
      <c r="K1554" s="1513"/>
      <c r="L1554" s="1738">
        <v>43277</v>
      </c>
      <c r="M1554" s="1738"/>
      <c r="N1554" s="1738"/>
      <c r="O1554" s="1737"/>
      <c r="P1554" s="1765" t="s">
        <v>60</v>
      </c>
      <c r="Q1554" s="1765" t="s">
        <v>60</v>
      </c>
      <c r="R1554" s="1821">
        <v>63000</v>
      </c>
      <c r="S1554" s="1835" t="s">
        <v>1803</v>
      </c>
      <c r="T1554" s="1847" t="s">
        <v>38</v>
      </c>
      <c r="U1554" s="1847"/>
      <c r="V1554" s="1847"/>
      <c r="W1554" s="1858" t="s">
        <v>714</v>
      </c>
      <c r="X1554" s="1865"/>
      <c r="Y1554" s="1865"/>
      <c r="Z1554" s="1865"/>
      <c r="AA1554" s="1865"/>
      <c r="AB1554" s="1865"/>
      <c r="AC1554" s="1865"/>
      <c r="AD1554" s="1865"/>
      <c r="AE1554" s="1865"/>
      <c r="AF1554" s="906"/>
    </row>
    <row r="1555" spans="1:32" ht="25">
      <c r="A1555" s="1649"/>
      <c r="B1555" s="1496" t="s">
        <v>56</v>
      </c>
      <c r="C1555" s="1674" t="s">
        <v>4838</v>
      </c>
      <c r="D1555" s="1665" t="s">
        <v>57</v>
      </c>
      <c r="E1555" s="1665"/>
      <c r="F1555" s="1665"/>
      <c r="G1555" s="1665"/>
      <c r="H1555" s="1665" t="s">
        <v>308</v>
      </c>
      <c r="I1555" s="1692" t="s">
        <v>47</v>
      </c>
      <c r="J1555" s="1699" t="s">
        <v>4924</v>
      </c>
      <c r="K1555" s="1712"/>
      <c r="L1555" s="1739"/>
      <c r="M1555" s="1739"/>
      <c r="N1555" s="1739"/>
      <c r="O1555" s="1750"/>
      <c r="P1555" s="1768"/>
      <c r="Q1555" s="1768"/>
      <c r="R1555" s="1808"/>
      <c r="S1555" s="1833"/>
      <c r="T1555" s="1729"/>
      <c r="U1555" s="1729"/>
      <c r="V1555" s="1729"/>
      <c r="W1555" s="1665"/>
      <c r="X1555" s="1865"/>
      <c r="Y1555" s="1865"/>
      <c r="Z1555" s="1865"/>
      <c r="AA1555" s="1865"/>
      <c r="AB1555" s="1865"/>
      <c r="AC1555" s="1865"/>
      <c r="AD1555" s="1865"/>
      <c r="AE1555" s="1865"/>
      <c r="AF1555" s="906"/>
    </row>
    <row r="1556" spans="1:32" ht="25">
      <c r="A1556" s="1649"/>
      <c r="B1556" s="1496" t="s">
        <v>56</v>
      </c>
      <c r="C1556" s="1674" t="s">
        <v>4838</v>
      </c>
      <c r="D1556" s="1665" t="s">
        <v>57</v>
      </c>
      <c r="E1556" s="1665"/>
      <c r="F1556" s="1665"/>
      <c r="G1556" s="1665"/>
      <c r="H1556" s="1665" t="s">
        <v>308</v>
      </c>
      <c r="I1556" s="1692" t="s">
        <v>47</v>
      </c>
      <c r="J1556" s="1699" t="s">
        <v>4925</v>
      </c>
      <c r="K1556" s="1712"/>
      <c r="L1556" s="1739"/>
      <c r="M1556" s="1739"/>
      <c r="N1556" s="1739"/>
      <c r="O1556" s="1750"/>
      <c r="P1556" s="1768"/>
      <c r="Q1556" s="1768"/>
      <c r="R1556" s="1808"/>
      <c r="S1556" s="1833"/>
      <c r="T1556" s="1729"/>
      <c r="U1556" s="1729"/>
      <c r="V1556" s="1729"/>
      <c r="W1556" s="1665"/>
      <c r="X1556" s="1865"/>
      <c r="Y1556" s="1865"/>
      <c r="Z1556" s="1865"/>
      <c r="AA1556" s="1865"/>
      <c r="AB1556" s="1865"/>
      <c r="AC1556" s="1865"/>
      <c r="AD1556" s="1865"/>
      <c r="AE1556" s="1865"/>
      <c r="AF1556" s="906"/>
    </row>
    <row r="1557" spans="1:32" s="1642" customFormat="1" ht="25">
      <c r="A1557" s="1199"/>
      <c r="B1557" s="1658" t="s">
        <v>56</v>
      </c>
      <c r="C1557" s="1675" t="s">
        <v>60</v>
      </c>
      <c r="D1557" s="1958" t="s">
        <v>32</v>
      </c>
      <c r="E1557" s="680"/>
      <c r="F1557" s="1665"/>
      <c r="G1557" s="676"/>
      <c r="H1557" s="526" t="s">
        <v>3570</v>
      </c>
      <c r="I1557" s="676" t="s">
        <v>246</v>
      </c>
      <c r="J1557" s="1983" t="s">
        <v>3571</v>
      </c>
      <c r="K1557" s="1997"/>
      <c r="L1557" s="2008">
        <v>44075</v>
      </c>
      <c r="M1557" s="2014"/>
      <c r="N1557" s="2008"/>
      <c r="O1557" s="678"/>
      <c r="P1557" s="678"/>
      <c r="Q1557" s="678"/>
      <c r="R1557" s="678"/>
      <c r="S1557" s="678" t="s">
        <v>91</v>
      </c>
      <c r="T1557" s="688"/>
      <c r="U1557" s="688"/>
      <c r="V1557" s="2364"/>
      <c r="W1557" s="1726" t="s">
        <v>2690</v>
      </c>
      <c r="X1557" s="1083"/>
      <c r="Y1557" s="1083"/>
      <c r="Z1557" s="330"/>
      <c r="AA1557" s="1875"/>
      <c r="AB1557" s="1895"/>
      <c r="AC1557" s="330"/>
      <c r="AD1557" s="1741"/>
      <c r="AE1557" s="330"/>
      <c r="AF1557" s="906"/>
    </row>
    <row r="1558" spans="1:32" s="906" customFormat="1" ht="260">
      <c r="A1558" s="1242">
        <v>44858</v>
      </c>
      <c r="B1558" s="841" t="s">
        <v>44</v>
      </c>
      <c r="C1558" s="1407"/>
      <c r="D1558" s="1169" t="s">
        <v>709</v>
      </c>
      <c r="E1558" s="723"/>
      <c r="F1558" s="1262"/>
      <c r="G1558" s="914"/>
      <c r="H1558" s="1169"/>
      <c r="I1558" s="1348" t="s">
        <v>4926</v>
      </c>
      <c r="J1558" s="1623" t="s">
        <v>47</v>
      </c>
      <c r="K1558" s="1644" t="s">
        <v>4927</v>
      </c>
      <c r="L1558" s="2007" t="s">
        <v>4928</v>
      </c>
      <c r="M1558" s="1179"/>
      <c r="N1558" s="1246">
        <v>44858</v>
      </c>
      <c r="O1558" s="1563"/>
      <c r="P1558" s="1246">
        <v>44942</v>
      </c>
      <c r="Q1558" s="1316">
        <v>12</v>
      </c>
      <c r="R1558" s="831" t="s">
        <v>50</v>
      </c>
      <c r="S1558" s="1841">
        <v>67500</v>
      </c>
      <c r="T1558" s="723" t="s">
        <v>84</v>
      </c>
      <c r="U1558" s="1381" t="s">
        <v>612</v>
      </c>
      <c r="V1558" s="1381"/>
      <c r="W1558" s="1376" t="s">
        <v>4929</v>
      </c>
      <c r="X1558" s="723" t="s">
        <v>172</v>
      </c>
      <c r="Y1558" s="1179" t="s">
        <v>780</v>
      </c>
      <c r="Z1558" s="723" t="s">
        <v>40</v>
      </c>
      <c r="AA1558" s="1381"/>
      <c r="AB1558" s="700"/>
      <c r="AC1558" s="2139">
        <v>44949</v>
      </c>
      <c r="AD1558" s="1925" t="s">
        <v>4930</v>
      </c>
      <c r="AE1558" s="723" t="s">
        <v>806</v>
      </c>
    </row>
    <row r="1559" spans="1:32" s="1642" customFormat="1" ht="130">
      <c r="A1559" s="1256">
        <v>44908</v>
      </c>
      <c r="B1559" s="696" t="s">
        <v>56</v>
      </c>
      <c r="C1559" s="697" t="s">
        <v>45</v>
      </c>
      <c r="D1559" s="698" t="s">
        <v>847</v>
      </c>
      <c r="E1559" s="723"/>
      <c r="F1559" s="698"/>
      <c r="G1559" s="914"/>
      <c r="H1559" s="700"/>
      <c r="I1559" s="723" t="s">
        <v>308</v>
      </c>
      <c r="J1559" s="1613" t="s">
        <v>47</v>
      </c>
      <c r="K1559" s="1437" t="s">
        <v>4931</v>
      </c>
      <c r="L1559" s="330"/>
      <c r="M1559" s="1741"/>
      <c r="N1559" s="330"/>
      <c r="O1559" s="330"/>
      <c r="P1559" s="330"/>
      <c r="Q1559" s="330"/>
      <c r="R1559" s="330"/>
      <c r="S1559" s="330"/>
      <c r="T1559" s="330"/>
      <c r="U1559" s="330"/>
      <c r="V1559" s="1853"/>
      <c r="W1559" s="792" t="s">
        <v>60</v>
      </c>
      <c r="X1559" s="723" t="s">
        <v>4932</v>
      </c>
      <c r="Y1559" s="723" t="s">
        <v>45</v>
      </c>
      <c r="Z1559" s="723" t="s">
        <v>115</v>
      </c>
      <c r="AA1559" s="723" t="s">
        <v>45</v>
      </c>
      <c r="AB1559" s="1892" t="s">
        <v>70</v>
      </c>
      <c r="AC1559" s="1498">
        <v>44949</v>
      </c>
      <c r="AD1559" s="1923" t="s">
        <v>4933</v>
      </c>
      <c r="AE1559" s="723"/>
      <c r="AF1559"/>
    </row>
  </sheetData>
  <autoFilter ref="A1:AR1559" xr:uid="{45C5380C-721F-4005-BF58-47D2A4E39CF8}"/>
  <conditionalFormatting sqref="Q2:R2 T2 D755:H755 D868:H868 H521:H523 H538 H550:H551 H554 H562 H570 H721 D734:H734 D102:K102 D155:K155 D170:K170 D257:K258 D317:K317 D346:K346 H581:L581 H585:L585 H885:L887 D376:L381 D440:K442 D447:K447 D449:K450 D461:K461 H509:I509 H514:I514 H529:I529 H531:I534 H536:N536 H547:I547 H586:N586 H612:L612 D776:L776 D2:O2 H576:P576 H580:Q580 H605:R605 H611:R611 H739:P739 D807:R807 D809:R810 D856:R856 D888:R888 D477:R477 D479:R479 H506:R506 H510:R510 H511:Q512 H518:R519 H525:Q525 H530:R530 H539:R539 H540:Q540 H541:O541 H545:Q545 H535:R535 H537:R537 H542:R542 H556:R556 H565:P568 H577:R577 H583:P584 H588:P588 H633:R633 H634:P634 D729:R729 D735:O735 H733:P733 H743:R744 D769:O769 D770:R770 D777:R777 H790:P790 D793:R793 D795:R795 D838:R838 O102:R102 O155:R155 O170:R170 O257:O258 O305 O317:R317 O346:R346 H508:R508 M509:Q509 M514:Q514 M521:O521 H778:P778 S376:Z381 S440:Z441 S442:W442 S447:Z447 S449:Z450 S461:Z461 W466:Z466 W536">
    <cfRule type="cellIs" dxfId="742" priority="795" operator="equal">
      <formula>"Quotation"</formula>
    </cfRule>
  </conditionalFormatting>
  <conditionalFormatting sqref="D26:G26 R26">
    <cfRule type="cellIs" dxfId="741" priority="794" operator="equal">
      <formula>"Quotation"</formula>
    </cfRule>
  </conditionalFormatting>
  <conditionalFormatting sqref="AE69">
    <cfRule type="cellIs" dxfId="740" priority="791" operator="equal">
      <formula>"Low Impact"</formula>
    </cfRule>
    <cfRule type="cellIs" dxfId="739" priority="792" operator="equal">
      <formula>"Medium Impact"</formula>
    </cfRule>
    <cfRule type="cellIs" dxfId="738" priority="793" operator="equal">
      <formula>"High Impact"</formula>
    </cfRule>
  </conditionalFormatting>
  <conditionalFormatting sqref="N101">
    <cfRule type="cellIs" dxfId="737" priority="788" operator="between">
      <formula>TODAY()+1</formula>
      <formula>TODAY()+120</formula>
    </cfRule>
    <cfRule type="cellIs" dxfId="736" priority="789" operator="between">
      <formula>TODAY()+120</formula>
      <formula>TODAY()+5000</formula>
    </cfRule>
    <cfRule type="cellIs" dxfId="735" priority="790" operator="between">
      <formula>TODAY()</formula>
      <formula>TODAY()-5000</formula>
    </cfRule>
  </conditionalFormatting>
  <conditionalFormatting sqref="T102:V102">
    <cfRule type="cellIs" dxfId="734" priority="787" operator="equal">
      <formula>"Quotation"</formula>
    </cfRule>
  </conditionalFormatting>
  <conditionalFormatting sqref="N102">
    <cfRule type="cellIs" dxfId="733" priority="784" operator="between">
      <formula>TODAY()+1</formula>
      <formula>TODAY()+120</formula>
    </cfRule>
    <cfRule type="cellIs" dxfId="732" priority="785" operator="between">
      <formula>TODAY()+120</formula>
      <formula>TODAY()+5000</formula>
    </cfRule>
    <cfRule type="cellIs" dxfId="731" priority="786" operator="between">
      <formula>TODAY()</formula>
      <formula>TODAY()-5000</formula>
    </cfRule>
  </conditionalFormatting>
  <conditionalFormatting sqref="N103">
    <cfRule type="cellIs" dxfId="730" priority="781" operator="between">
      <formula>TODAY()+1</formula>
      <formula>TODAY()+120</formula>
    </cfRule>
    <cfRule type="cellIs" dxfId="729" priority="782" operator="between">
      <formula>TODAY()+120</formula>
      <formula>TODAY()+5000</formula>
    </cfRule>
    <cfRule type="cellIs" dxfId="728" priority="783" operator="between">
      <formula>TODAY()</formula>
      <formula>TODAY()-5000</formula>
    </cfRule>
  </conditionalFormatting>
  <conditionalFormatting sqref="N104">
    <cfRule type="cellIs" dxfId="727" priority="778" operator="between">
      <formula>TODAY()+1</formula>
      <formula>TODAY()+120</formula>
    </cfRule>
    <cfRule type="cellIs" dxfId="726" priority="779" operator="between">
      <formula>TODAY()+120</formula>
      <formula>TODAY()+5000</formula>
    </cfRule>
    <cfRule type="cellIs" dxfId="725" priority="780" operator="between">
      <formula>TODAY()</formula>
      <formula>TODAY()-5000</formula>
    </cfRule>
  </conditionalFormatting>
  <conditionalFormatting sqref="N105">
    <cfRule type="cellIs" dxfId="724" priority="775" operator="between">
      <formula>TODAY()+1</formula>
      <formula>TODAY()+120</formula>
    </cfRule>
    <cfRule type="cellIs" dxfId="723" priority="776" operator="between">
      <formula>TODAY()+120</formula>
      <formula>TODAY()+5000</formula>
    </cfRule>
    <cfRule type="cellIs" dxfId="722" priority="777" operator="between">
      <formula>TODAY()</formula>
      <formula>TODAY()-5000</formula>
    </cfRule>
  </conditionalFormatting>
  <conditionalFormatting sqref="N106">
    <cfRule type="cellIs" dxfId="721" priority="772" operator="between">
      <formula>TODAY()+1</formula>
      <formula>TODAY()+120</formula>
    </cfRule>
    <cfRule type="cellIs" dxfId="720" priority="773" operator="between">
      <formula>TODAY()+120</formula>
      <formula>TODAY()+5000</formula>
    </cfRule>
    <cfRule type="cellIs" dxfId="719" priority="774" operator="between">
      <formula>TODAY()</formula>
      <formula>TODAY()-5000</formula>
    </cfRule>
  </conditionalFormatting>
  <conditionalFormatting sqref="N107">
    <cfRule type="cellIs" dxfId="718" priority="769" operator="between">
      <formula>TODAY()+1</formula>
      <formula>TODAY()+120</formula>
    </cfRule>
    <cfRule type="cellIs" dxfId="717" priority="770" operator="between">
      <formula>TODAY()+120</formula>
      <formula>TODAY()+5000</formula>
    </cfRule>
    <cfRule type="cellIs" dxfId="716" priority="771" operator="between">
      <formula>TODAY()</formula>
      <formula>TODAY()-5000</formula>
    </cfRule>
  </conditionalFormatting>
  <conditionalFormatting sqref="N108">
    <cfRule type="cellIs" dxfId="715" priority="766" operator="between">
      <formula>TODAY()+1</formula>
      <formula>TODAY()+120</formula>
    </cfRule>
    <cfRule type="cellIs" dxfId="714" priority="767" operator="between">
      <formula>TODAY()+120</formula>
      <formula>TODAY()+5000</formula>
    </cfRule>
    <cfRule type="cellIs" dxfId="713" priority="768" operator="between">
      <formula>TODAY()</formula>
      <formula>TODAY()-5000</formula>
    </cfRule>
  </conditionalFormatting>
  <conditionalFormatting sqref="N109">
    <cfRule type="cellIs" dxfId="712" priority="763" operator="between">
      <formula>TODAY()+1</formula>
      <formula>TODAY()+120</formula>
    </cfRule>
    <cfRule type="cellIs" dxfId="711" priority="764" operator="between">
      <formula>TODAY()+120</formula>
      <formula>TODAY()+5000</formula>
    </cfRule>
    <cfRule type="cellIs" dxfId="710" priority="765" operator="between">
      <formula>TODAY()</formula>
      <formula>TODAY()-5000</formula>
    </cfRule>
  </conditionalFormatting>
  <conditionalFormatting sqref="D112:G112 R112">
    <cfRule type="cellIs" dxfId="709" priority="762" operator="equal">
      <formula>"Quotation"</formula>
    </cfRule>
  </conditionalFormatting>
  <conditionalFormatting sqref="N112">
    <cfRule type="cellIs" dxfId="708" priority="759" operator="between">
      <formula>TODAY()+1</formula>
      <formula>TODAY()+120</formula>
    </cfRule>
    <cfRule type="cellIs" dxfId="707" priority="760" operator="between">
      <formula>TODAY()+120</formula>
      <formula>TODAY()+5000</formula>
    </cfRule>
    <cfRule type="cellIs" dxfId="706" priority="761" operator="between">
      <formula>TODAY()</formula>
      <formula>TODAY()-5000</formula>
    </cfRule>
  </conditionalFormatting>
  <conditionalFormatting sqref="N127">
    <cfRule type="cellIs" dxfId="705" priority="756" operator="between">
      <formula>TODAY()+1</formula>
      <formula>TODAY()+120</formula>
    </cfRule>
    <cfRule type="cellIs" dxfId="704" priority="757" operator="between">
      <formula>TODAY()+120</formula>
      <formula>TODAY()+5000</formula>
    </cfRule>
    <cfRule type="cellIs" dxfId="703" priority="758" operator="between">
      <formula>TODAY()</formula>
      <formula>TODAY()-5000</formula>
    </cfRule>
  </conditionalFormatting>
  <conditionalFormatting sqref="N133">
    <cfRule type="cellIs" dxfId="702" priority="753" operator="between">
      <formula>TODAY()+1</formula>
      <formula>TODAY()+120</formula>
    </cfRule>
    <cfRule type="cellIs" dxfId="701" priority="754" operator="between">
      <formula>TODAY()+120</formula>
      <formula>TODAY()+5000</formula>
    </cfRule>
    <cfRule type="cellIs" dxfId="700" priority="755" operator="between">
      <formula>TODAY()</formula>
      <formula>TODAY()-5000</formula>
    </cfRule>
  </conditionalFormatting>
  <conditionalFormatting sqref="N138">
    <cfRule type="cellIs" dxfId="699" priority="750" operator="between">
      <formula>TODAY()+1</formula>
      <formula>TODAY()+120</formula>
    </cfRule>
    <cfRule type="cellIs" dxfId="698" priority="751" operator="between">
      <formula>TODAY()+120</formula>
      <formula>TODAY()+5000</formula>
    </cfRule>
    <cfRule type="cellIs" dxfId="697" priority="752" operator="between">
      <formula>TODAY()</formula>
      <formula>TODAY()-5000</formula>
    </cfRule>
  </conditionalFormatting>
  <conditionalFormatting sqref="N145">
    <cfRule type="cellIs" dxfId="696" priority="747" operator="between">
      <formula>TODAY()+1</formula>
      <formula>TODAY()+120</formula>
    </cfRule>
    <cfRule type="cellIs" dxfId="695" priority="748" operator="between">
      <formula>TODAY()+120</formula>
      <formula>TODAY()+5000</formula>
    </cfRule>
    <cfRule type="cellIs" dxfId="694" priority="749" operator="between">
      <formula>TODAY()</formula>
      <formula>TODAY()-5000</formula>
    </cfRule>
  </conditionalFormatting>
  <conditionalFormatting sqref="T155:V155">
    <cfRule type="cellIs" dxfId="693" priority="746" operator="equal">
      <formula>"Quotation"</formula>
    </cfRule>
  </conditionalFormatting>
  <conditionalFormatting sqref="N155">
    <cfRule type="cellIs" dxfId="692" priority="743" operator="between">
      <formula>TODAY()+1</formula>
      <formula>TODAY()+120</formula>
    </cfRule>
    <cfRule type="cellIs" dxfId="691" priority="744" operator="between">
      <formula>TODAY()+120</formula>
      <formula>TODAY()+5000</formula>
    </cfRule>
    <cfRule type="cellIs" dxfId="690" priority="745" operator="between">
      <formula>TODAY()</formula>
      <formula>TODAY()-5000</formula>
    </cfRule>
  </conditionalFormatting>
  <conditionalFormatting sqref="R157 D157:G157">
    <cfRule type="cellIs" dxfId="689" priority="742" operator="equal">
      <formula>"Quotation"</formula>
    </cfRule>
  </conditionalFormatting>
  <conditionalFormatting sqref="N157">
    <cfRule type="cellIs" dxfId="688" priority="739" operator="between">
      <formula>TODAY()+1</formula>
      <formula>TODAY()+120</formula>
    </cfRule>
    <cfRule type="cellIs" dxfId="687" priority="740" operator="between">
      <formula>TODAY()+120</formula>
      <formula>TODAY()+5000</formula>
    </cfRule>
    <cfRule type="cellIs" dxfId="686" priority="741" operator="between">
      <formula>TODAY()</formula>
      <formula>TODAY()-5000</formula>
    </cfRule>
  </conditionalFormatting>
  <conditionalFormatting sqref="N164">
    <cfRule type="cellIs" dxfId="685" priority="736" operator="between">
      <formula>TODAY()+1</formula>
      <formula>TODAY()+120</formula>
    </cfRule>
    <cfRule type="cellIs" dxfId="684" priority="737" operator="between">
      <formula>TODAY()+120</formula>
      <formula>TODAY()+5000</formula>
    </cfRule>
    <cfRule type="cellIs" dxfId="683" priority="738" operator="between">
      <formula>TODAY()</formula>
      <formula>TODAY()-5000</formula>
    </cfRule>
  </conditionalFormatting>
  <conditionalFormatting sqref="N165">
    <cfRule type="cellIs" dxfId="682" priority="733" operator="between">
      <formula>TODAY()+1</formula>
      <formula>TODAY()+120</formula>
    </cfRule>
    <cfRule type="cellIs" dxfId="681" priority="734" operator="between">
      <formula>TODAY()+120</formula>
      <formula>TODAY()+5000</formula>
    </cfRule>
    <cfRule type="cellIs" dxfId="680" priority="735" operator="between">
      <formula>TODAY()</formula>
      <formula>TODAY()-5000</formula>
    </cfRule>
  </conditionalFormatting>
  <conditionalFormatting sqref="N166">
    <cfRule type="cellIs" dxfId="679" priority="730" operator="between">
      <formula>TODAY()+1</formula>
      <formula>TODAY()+120</formula>
    </cfRule>
    <cfRule type="cellIs" dxfId="678" priority="731" operator="between">
      <formula>TODAY()+120</formula>
      <formula>TODAY()+5000</formula>
    </cfRule>
    <cfRule type="cellIs" dxfId="677" priority="732" operator="between">
      <formula>TODAY()</formula>
      <formula>TODAY()-5000</formula>
    </cfRule>
  </conditionalFormatting>
  <conditionalFormatting sqref="N167">
    <cfRule type="cellIs" dxfId="676" priority="727" operator="between">
      <formula>TODAY()+1</formula>
      <formula>TODAY()+120</formula>
    </cfRule>
    <cfRule type="cellIs" dxfId="675" priority="728" operator="between">
      <formula>TODAY()+120</formula>
      <formula>TODAY()+5000</formula>
    </cfRule>
    <cfRule type="cellIs" dxfId="674" priority="729" operator="between">
      <formula>TODAY()</formula>
      <formula>TODAY()-5000</formula>
    </cfRule>
  </conditionalFormatting>
  <conditionalFormatting sqref="N168">
    <cfRule type="cellIs" dxfId="673" priority="724" operator="between">
      <formula>TODAY()+1</formula>
      <formula>TODAY()+120</formula>
    </cfRule>
    <cfRule type="cellIs" dxfId="672" priority="725" operator="between">
      <formula>TODAY()+120</formula>
      <formula>TODAY()+5000</formula>
    </cfRule>
    <cfRule type="cellIs" dxfId="671" priority="726" operator="between">
      <formula>TODAY()</formula>
      <formula>TODAY()-5000</formula>
    </cfRule>
  </conditionalFormatting>
  <conditionalFormatting sqref="N169">
    <cfRule type="cellIs" dxfId="670" priority="721" operator="between">
      <formula>TODAY()+1</formula>
      <formula>TODAY()+120</formula>
    </cfRule>
    <cfRule type="cellIs" dxfId="669" priority="722" operator="between">
      <formula>TODAY()+120</formula>
      <formula>TODAY()+5000</formula>
    </cfRule>
    <cfRule type="cellIs" dxfId="668" priority="723" operator="between">
      <formula>TODAY()</formula>
      <formula>TODAY()-5000</formula>
    </cfRule>
  </conditionalFormatting>
  <conditionalFormatting sqref="T170:V170">
    <cfRule type="cellIs" dxfId="667" priority="720" operator="equal">
      <formula>"Quotation"</formula>
    </cfRule>
  </conditionalFormatting>
  <conditionalFormatting sqref="N170">
    <cfRule type="cellIs" dxfId="666" priority="717" operator="between">
      <formula>TODAY()+1</formula>
      <formula>TODAY()+120</formula>
    </cfRule>
    <cfRule type="cellIs" dxfId="665" priority="718" operator="between">
      <formula>TODAY()+120</formula>
      <formula>TODAY()+5000</formula>
    </cfRule>
    <cfRule type="cellIs" dxfId="664" priority="719" operator="between">
      <formula>TODAY()</formula>
      <formula>TODAY()-5000</formula>
    </cfRule>
  </conditionalFormatting>
  <conditionalFormatting sqref="N171">
    <cfRule type="cellIs" dxfId="663" priority="714" operator="between">
      <formula>TODAY()+1</formula>
      <formula>TODAY()+120</formula>
    </cfRule>
    <cfRule type="cellIs" dxfId="662" priority="715" operator="between">
      <formula>TODAY()+120</formula>
      <formula>TODAY()+5000</formula>
    </cfRule>
    <cfRule type="cellIs" dxfId="661" priority="716" operator="between">
      <formula>TODAY()</formula>
      <formula>TODAY()-5000</formula>
    </cfRule>
  </conditionalFormatting>
  <conditionalFormatting sqref="N173">
    <cfRule type="cellIs" dxfId="660" priority="711" operator="between">
      <formula>TODAY()+1</formula>
      <formula>TODAY()+120</formula>
    </cfRule>
    <cfRule type="cellIs" dxfId="659" priority="712" operator="between">
      <formula>TODAY()+120</formula>
      <formula>TODAY()+5000</formula>
    </cfRule>
    <cfRule type="cellIs" dxfId="658" priority="713" operator="between">
      <formula>TODAY()</formula>
      <formula>TODAY()-5000</formula>
    </cfRule>
  </conditionalFormatting>
  <conditionalFormatting sqref="N172">
    <cfRule type="cellIs" dxfId="657" priority="708" operator="between">
      <formula>TODAY()+1</formula>
      <formula>TODAY()+120</formula>
    </cfRule>
    <cfRule type="cellIs" dxfId="656" priority="709" operator="between">
      <formula>TODAY()+120</formula>
      <formula>TODAY()+5000</formula>
    </cfRule>
    <cfRule type="cellIs" dxfId="655" priority="710" operator="between">
      <formula>TODAY()</formula>
      <formula>TODAY()-5000</formula>
    </cfRule>
  </conditionalFormatting>
  <conditionalFormatting sqref="N174">
    <cfRule type="cellIs" dxfId="654" priority="705" operator="between">
      <formula>TODAY()+1</formula>
      <formula>TODAY()+120</formula>
    </cfRule>
    <cfRule type="cellIs" dxfId="653" priority="706" operator="between">
      <formula>TODAY()+120</formula>
      <formula>TODAY()+5000</formula>
    </cfRule>
    <cfRule type="cellIs" dxfId="652" priority="707" operator="between">
      <formula>TODAY()</formula>
      <formula>TODAY()-5000</formula>
    </cfRule>
  </conditionalFormatting>
  <conditionalFormatting sqref="N175">
    <cfRule type="cellIs" dxfId="651" priority="702" operator="between">
      <formula>TODAY()+1</formula>
      <formula>TODAY()+120</formula>
    </cfRule>
    <cfRule type="cellIs" dxfId="650" priority="703" operator="between">
      <formula>TODAY()+120</formula>
      <formula>TODAY()+5000</formula>
    </cfRule>
    <cfRule type="cellIs" dxfId="649" priority="704" operator="between">
      <formula>TODAY()</formula>
      <formula>TODAY()-5000</formula>
    </cfRule>
  </conditionalFormatting>
  <conditionalFormatting sqref="N176">
    <cfRule type="cellIs" dxfId="648" priority="699" operator="between">
      <formula>TODAY()+1</formula>
      <formula>TODAY()+120</formula>
    </cfRule>
    <cfRule type="cellIs" dxfId="647" priority="700" operator="between">
      <formula>TODAY()+120</formula>
      <formula>TODAY()+5000</formula>
    </cfRule>
    <cfRule type="cellIs" dxfId="646" priority="701" operator="between">
      <formula>TODAY()</formula>
      <formula>TODAY()-5000</formula>
    </cfRule>
  </conditionalFormatting>
  <conditionalFormatting sqref="N177">
    <cfRule type="cellIs" dxfId="645" priority="696" operator="between">
      <formula>TODAY()+1</formula>
      <formula>TODAY()+120</formula>
    </cfRule>
    <cfRule type="cellIs" dxfId="644" priority="697" operator="between">
      <formula>TODAY()+120</formula>
      <formula>TODAY()+5000</formula>
    </cfRule>
    <cfRule type="cellIs" dxfId="643" priority="698" operator="between">
      <formula>TODAY()</formula>
      <formula>TODAY()-5000</formula>
    </cfRule>
  </conditionalFormatting>
  <conditionalFormatting sqref="N182">
    <cfRule type="cellIs" dxfId="642" priority="693" operator="between">
      <formula>TODAY()+1</formula>
      <formula>TODAY()+120</formula>
    </cfRule>
    <cfRule type="cellIs" dxfId="641" priority="694" operator="between">
      <formula>TODAY()+120</formula>
      <formula>TODAY()+5000</formula>
    </cfRule>
    <cfRule type="cellIs" dxfId="640" priority="695" operator="between">
      <formula>TODAY()</formula>
      <formula>TODAY()-5000</formula>
    </cfRule>
  </conditionalFormatting>
  <conditionalFormatting sqref="N183">
    <cfRule type="cellIs" dxfId="639" priority="690" operator="between">
      <formula>TODAY()+1</formula>
      <formula>TODAY()+120</formula>
    </cfRule>
    <cfRule type="cellIs" dxfId="638" priority="691" operator="between">
      <formula>TODAY()+120</formula>
      <formula>TODAY()+5000</formula>
    </cfRule>
    <cfRule type="cellIs" dxfId="637" priority="692" operator="between">
      <formula>TODAY()</formula>
      <formula>TODAY()-5000</formula>
    </cfRule>
  </conditionalFormatting>
  <conditionalFormatting sqref="N184">
    <cfRule type="cellIs" dxfId="636" priority="687" operator="between">
      <formula>TODAY()+1</formula>
      <formula>TODAY()+120</formula>
    </cfRule>
    <cfRule type="cellIs" dxfId="635" priority="688" operator="between">
      <formula>TODAY()+120</formula>
      <formula>TODAY()+5000</formula>
    </cfRule>
    <cfRule type="cellIs" dxfId="634" priority="689" operator="between">
      <formula>TODAY()</formula>
      <formula>TODAY()-5000</formula>
    </cfRule>
  </conditionalFormatting>
  <conditionalFormatting sqref="N185:N186">
    <cfRule type="cellIs" dxfId="633" priority="684" operator="between">
      <formula>TODAY()+1</formula>
      <formula>TODAY()+120</formula>
    </cfRule>
    <cfRule type="cellIs" dxfId="632" priority="685" operator="between">
      <formula>TODAY()+120</formula>
      <formula>TODAY()+5000</formula>
    </cfRule>
    <cfRule type="cellIs" dxfId="631" priority="686" operator="between">
      <formula>TODAY()</formula>
      <formula>TODAY()-5000</formula>
    </cfRule>
  </conditionalFormatting>
  <conditionalFormatting sqref="D234:G234 R234">
    <cfRule type="cellIs" dxfId="630" priority="683" operator="equal">
      <formula>"Quotation"</formula>
    </cfRule>
  </conditionalFormatting>
  <conditionalFormatting sqref="R235 D235:G235">
    <cfRule type="cellIs" dxfId="629" priority="682" operator="equal">
      <formula>"Quotation"</formula>
    </cfRule>
  </conditionalFormatting>
  <conditionalFormatting sqref="D242:G242 R242">
    <cfRule type="cellIs" dxfId="628" priority="681" operator="equal">
      <formula>"Quotation"</formula>
    </cfRule>
  </conditionalFormatting>
  <conditionalFormatting sqref="R249 D249:G249">
    <cfRule type="cellIs" dxfId="627" priority="680" operator="equal">
      <formula>"Quotation"</formula>
    </cfRule>
  </conditionalFormatting>
  <conditionalFormatting sqref="T249:V249">
    <cfRule type="cellIs" dxfId="626" priority="679" operator="equal">
      <formula>"Quotation"</formula>
    </cfRule>
  </conditionalFormatting>
  <conditionalFormatting sqref="Q257:R257 T257:V257">
    <cfRule type="cellIs" dxfId="625" priority="678" operator="equal">
      <formula>"Quotation"</formula>
    </cfRule>
  </conditionalFormatting>
  <conditionalFormatting sqref="Q258:R258 T258:V258">
    <cfRule type="cellIs" dxfId="624" priority="677" operator="equal">
      <formula>"Quotation"</formula>
    </cfRule>
  </conditionalFormatting>
  <conditionalFormatting sqref="D260:G260 R260">
    <cfRule type="cellIs" dxfId="623" priority="676" operator="equal">
      <formula>"Quotation"</formula>
    </cfRule>
  </conditionalFormatting>
  <conditionalFormatting sqref="D272:G272 R272">
    <cfRule type="cellIs" dxfId="622" priority="675" operator="equal">
      <formula>"Quotation"</formula>
    </cfRule>
  </conditionalFormatting>
  <conditionalFormatting sqref="R284 D284:G284">
    <cfRule type="cellIs" dxfId="621" priority="674" operator="equal">
      <formula>"Quotation"</formula>
    </cfRule>
  </conditionalFormatting>
  <conditionalFormatting sqref="R299 D299:G299">
    <cfRule type="cellIs" dxfId="620" priority="673" operator="equal">
      <formula>"Quotation"</formula>
    </cfRule>
  </conditionalFormatting>
  <conditionalFormatting sqref="T303:V303">
    <cfRule type="cellIs" dxfId="619" priority="672" operator="equal">
      <formula>"Quotation"</formula>
    </cfRule>
  </conditionalFormatting>
  <conditionalFormatting sqref="T305:V305">
    <cfRule type="cellIs" dxfId="618" priority="671" operator="equal">
      <formula>"Quotation"</formula>
    </cfRule>
  </conditionalFormatting>
  <conditionalFormatting sqref="D305:G305">
    <cfRule type="cellIs" dxfId="617" priority="670" operator="equal">
      <formula>"Quotation"</formula>
    </cfRule>
  </conditionalFormatting>
  <conditionalFormatting sqref="R305">
    <cfRule type="cellIs" dxfId="616" priority="669" operator="equal">
      <formula>"Quotation"</formula>
    </cfRule>
  </conditionalFormatting>
  <conditionalFormatting sqref="D314:G314 R314">
    <cfRule type="cellIs" dxfId="615" priority="668" operator="equal">
      <formula>"Quotation"</formula>
    </cfRule>
  </conditionalFormatting>
  <conditionalFormatting sqref="T317:V317">
    <cfRule type="cellIs" dxfId="614" priority="667" operator="equal">
      <formula>"Quotation"</formula>
    </cfRule>
  </conditionalFormatting>
  <conditionalFormatting sqref="T318:V318">
    <cfRule type="cellIs" dxfId="613" priority="666" operator="equal">
      <formula>"Quotation"</formula>
    </cfRule>
  </conditionalFormatting>
  <conditionalFormatting sqref="T338:V338">
    <cfRule type="cellIs" dxfId="612" priority="665" operator="equal">
      <formula>"Quotation"</formula>
    </cfRule>
  </conditionalFormatting>
  <conditionalFormatting sqref="AB343">
    <cfRule type="timePeriod" dxfId="611" priority="664" timePeriod="last7Days">
      <formula>AND(TODAY()-FLOOR(AB343,1)&lt;=6,FLOOR(AB343,1)&lt;=TODAY())</formula>
    </cfRule>
  </conditionalFormatting>
  <conditionalFormatting sqref="AB344">
    <cfRule type="timePeriod" dxfId="610" priority="663" timePeriod="last7Days">
      <formula>AND(TODAY()-FLOOR(AB344,1)&lt;=6,FLOOR(AB344,1)&lt;=TODAY())</formula>
    </cfRule>
  </conditionalFormatting>
  <conditionalFormatting sqref="AB345">
    <cfRule type="timePeriod" dxfId="609" priority="662" timePeriod="last7Days">
      <formula>AND(TODAY()-FLOOR(AB345,1)&lt;=6,FLOOR(AB345,1)&lt;=TODAY())</formula>
    </cfRule>
  </conditionalFormatting>
  <conditionalFormatting sqref="AB346">
    <cfRule type="timePeriod" dxfId="608" priority="660" timePeriod="last7Days">
      <formula>AND(TODAY()-FLOOR(AB346,1)&lt;=6,FLOOR(AB346,1)&lt;=TODAY())</formula>
    </cfRule>
  </conditionalFormatting>
  <conditionalFormatting sqref="AB347">
    <cfRule type="timePeriod" dxfId="607" priority="659" timePeriod="last7Days">
      <formula>AND(TODAY()-FLOOR(AB347,1)&lt;=6,FLOOR(AB347,1)&lt;=TODAY())</formula>
    </cfRule>
  </conditionalFormatting>
  <conditionalFormatting sqref="AB348">
    <cfRule type="timePeriod" dxfId="606" priority="658" timePeriod="last7Days">
      <formula>AND(TODAY()-FLOOR(AB348,1)&lt;=6,FLOOR(AB348,1)&lt;=TODAY())</formula>
    </cfRule>
  </conditionalFormatting>
  <conditionalFormatting sqref="AB349">
    <cfRule type="timePeriod" dxfId="605" priority="657" timePeriod="last7Days">
      <formula>AND(TODAY()-FLOOR(AB349,1)&lt;=6,FLOOR(AB349,1)&lt;=TODAY())</formula>
    </cfRule>
  </conditionalFormatting>
  <conditionalFormatting sqref="AB350">
    <cfRule type="timePeriod" dxfId="604" priority="656" timePeriod="last7Days">
      <formula>AND(TODAY()-FLOOR(AB350,1)&lt;=6,FLOOR(AB350,1)&lt;=TODAY())</formula>
    </cfRule>
  </conditionalFormatting>
  <conditionalFormatting sqref="AB351">
    <cfRule type="timePeriod" dxfId="603" priority="655" timePeriod="last7Days">
      <formula>AND(TODAY()-FLOOR(AB351,1)&lt;=6,FLOOR(AB351,1)&lt;=TODAY())</formula>
    </cfRule>
  </conditionalFormatting>
  <conditionalFormatting sqref="AB352">
    <cfRule type="timePeriod" dxfId="602" priority="654" timePeriod="last7Days">
      <formula>AND(TODAY()-FLOOR(AB352,1)&lt;=6,FLOOR(AB352,1)&lt;=TODAY())</formula>
    </cfRule>
  </conditionalFormatting>
  <conditionalFormatting sqref="AB353">
    <cfRule type="timePeriod" dxfId="601" priority="653" timePeriod="last7Days">
      <formula>AND(TODAY()-FLOOR(AB353,1)&lt;=6,FLOOR(AB353,1)&lt;=TODAY())</formula>
    </cfRule>
  </conditionalFormatting>
  <conditionalFormatting sqref="AB354">
    <cfRule type="timePeriod" dxfId="600" priority="652" timePeriod="last7Days">
      <formula>AND(TODAY()-FLOOR(AB354,1)&lt;=6,FLOOR(AB354,1)&lt;=TODAY())</formula>
    </cfRule>
  </conditionalFormatting>
  <conditionalFormatting sqref="AB355">
    <cfRule type="timePeriod" dxfId="599" priority="651" timePeriod="last7Days">
      <formula>AND(TODAY()-FLOOR(AB355,1)&lt;=6,FLOOR(AB355,1)&lt;=TODAY())</formula>
    </cfRule>
  </conditionalFormatting>
  <conditionalFormatting sqref="AB356">
    <cfRule type="timePeriod" dxfId="598" priority="650" timePeriod="last7Days">
      <formula>AND(TODAY()-FLOOR(AB356,1)&lt;=6,FLOOR(AB356,1)&lt;=TODAY())</formula>
    </cfRule>
  </conditionalFormatting>
  <conditionalFormatting sqref="AB357">
    <cfRule type="timePeriod" dxfId="597" priority="649" timePeriod="last7Days">
      <formula>AND(TODAY()-FLOOR(AB357,1)&lt;=6,FLOOR(AB357,1)&lt;=TODAY())</formula>
    </cfRule>
  </conditionalFormatting>
  <conditionalFormatting sqref="AB358">
    <cfRule type="timePeriod" dxfId="596" priority="648" timePeriod="last7Days">
      <formula>AND(TODAY()-FLOOR(AB358,1)&lt;=6,FLOOR(AB358,1)&lt;=TODAY())</formula>
    </cfRule>
  </conditionalFormatting>
  <conditionalFormatting sqref="AB359">
    <cfRule type="timePeriod" dxfId="595" priority="647" timePeriod="last7Days">
      <formula>AND(TODAY()-FLOOR(AB359,1)&lt;=6,FLOOR(AB359,1)&lt;=TODAY())</formula>
    </cfRule>
  </conditionalFormatting>
  <conditionalFormatting sqref="AB360">
    <cfRule type="timePeriod" dxfId="594" priority="646" timePeriod="last7Days">
      <formula>AND(TODAY()-FLOOR(AB360,1)&lt;=6,FLOOR(AB360,1)&lt;=TODAY())</formula>
    </cfRule>
  </conditionalFormatting>
  <conditionalFormatting sqref="AB361">
    <cfRule type="timePeriod" dxfId="593" priority="644" timePeriod="last7Days">
      <formula>AND(TODAY()-FLOOR(AB361,1)&lt;=6,FLOOR(AB361,1)&lt;=TODAY())</formula>
    </cfRule>
  </conditionalFormatting>
  <conditionalFormatting sqref="AB362">
    <cfRule type="timePeriod" dxfId="592" priority="643" timePeriod="last7Days">
      <formula>AND(TODAY()-FLOOR(AB362,1)&lt;=6,FLOOR(AB362,1)&lt;=TODAY())</formula>
    </cfRule>
  </conditionalFormatting>
  <conditionalFormatting sqref="AB363">
    <cfRule type="timePeriod" dxfId="591" priority="642" timePeriod="last7Days">
      <formula>AND(TODAY()-FLOOR(AB363,1)&lt;=6,FLOOR(AB363,1)&lt;=TODAY())</formula>
    </cfRule>
  </conditionalFormatting>
  <conditionalFormatting sqref="AB364">
    <cfRule type="timePeriod" dxfId="590" priority="641" timePeriod="last7Days">
      <formula>AND(TODAY()-FLOOR(AB364,1)&lt;=6,FLOOR(AB364,1)&lt;=TODAY())</formula>
    </cfRule>
  </conditionalFormatting>
  <conditionalFormatting sqref="AB365:AB367">
    <cfRule type="timePeriod" dxfId="589" priority="640" timePeriod="last7Days">
      <formula>AND(TODAY()-FLOOR(AB365,1)&lt;=6,FLOOR(AB365,1)&lt;=TODAY())</formula>
    </cfRule>
  </conditionalFormatting>
  <conditionalFormatting sqref="AB368">
    <cfRule type="timePeriod" dxfId="588" priority="639" timePeriod="last7Days">
      <formula>AND(TODAY()-FLOOR(AB368,1)&lt;=6,FLOOR(AB368,1)&lt;=TODAY())</formula>
    </cfRule>
  </conditionalFormatting>
  <conditionalFormatting sqref="AB369">
    <cfRule type="timePeriod" dxfId="587" priority="638" timePeriod="last7Days">
      <formula>AND(TODAY()-FLOOR(AB369,1)&lt;=6,FLOOR(AB369,1)&lt;=TODAY())</formula>
    </cfRule>
  </conditionalFormatting>
  <conditionalFormatting sqref="AB370">
    <cfRule type="timePeriod" dxfId="586" priority="637" timePeriod="last7Days">
      <formula>AND(TODAY()-FLOOR(AB370,1)&lt;=6,FLOOR(AB370,1)&lt;=TODAY())</formula>
    </cfRule>
  </conditionalFormatting>
  <conditionalFormatting sqref="AB371">
    <cfRule type="timePeriod" dxfId="585" priority="636" timePeriod="last7Days">
      <formula>AND(TODAY()-FLOOR(AB371,1)&lt;=6,FLOOR(AB371,1)&lt;=TODAY())</formula>
    </cfRule>
  </conditionalFormatting>
  <conditionalFormatting sqref="AB372">
    <cfRule type="timePeriod" dxfId="584" priority="635" timePeriod="last7Days">
      <formula>AND(TODAY()-FLOOR(AB372,1)&lt;=6,FLOOR(AB372,1)&lt;=TODAY())</formula>
    </cfRule>
  </conditionalFormatting>
  <conditionalFormatting sqref="AB373">
    <cfRule type="timePeriod" dxfId="583" priority="634" timePeriod="last7Days">
      <formula>AND(TODAY()-FLOOR(AB373,1)&lt;=6,FLOOR(AB373,1)&lt;=TODAY())</formula>
    </cfRule>
  </conditionalFormatting>
  <conditionalFormatting sqref="AB374">
    <cfRule type="timePeriod" dxfId="582" priority="633" timePeriod="last7Days">
      <formula>AND(TODAY()-FLOOR(AB374,1)&lt;=6,FLOOR(AB374,1)&lt;=TODAY())</formula>
    </cfRule>
  </conditionalFormatting>
  <conditionalFormatting sqref="AB375">
    <cfRule type="timePeriod" dxfId="581" priority="632" timePeriod="last7Days">
      <formula>AND(TODAY()-FLOOR(AB375,1)&lt;=6,FLOOR(AB375,1)&lt;=TODAY())</formula>
    </cfRule>
  </conditionalFormatting>
  <conditionalFormatting sqref="AC452:AE452">
    <cfRule type="timePeriod" dxfId="580" priority="571" timePeriod="last7Days">
      <formula>AND(TODAY()-FLOOR(AC452,1)&lt;=6,FLOOR(AC452,1)&lt;=TODAY())</formula>
    </cfRule>
  </conditionalFormatting>
  <conditionalFormatting sqref="AC453:AE453">
    <cfRule type="timePeriod" dxfId="579" priority="567" timePeriod="last7Days">
      <formula>AND(TODAY()-FLOOR(AC453,1)&lt;=6,FLOOR(AC453,1)&lt;=TODAY())</formula>
    </cfRule>
  </conditionalFormatting>
  <conditionalFormatting sqref="AC454:AE454">
    <cfRule type="timePeriod" dxfId="578" priority="563" timePeriod="last7Days">
      <formula>AND(TODAY()-FLOOR(AC454,1)&lt;=6,FLOOR(AC454,1)&lt;=TODAY())</formula>
    </cfRule>
  </conditionalFormatting>
  <conditionalFormatting sqref="AC455:AE456">
    <cfRule type="timePeriod" dxfId="577" priority="559" timePeriod="last7Days">
      <formula>AND(TODAY()-FLOOR(AC455,1)&lt;=6,FLOOR(AC455,1)&lt;=TODAY())</formula>
    </cfRule>
  </conditionalFormatting>
  <conditionalFormatting sqref="AC457:AE457">
    <cfRule type="timePeriod" dxfId="576" priority="555" timePeriod="last7Days">
      <formula>AND(TODAY()-FLOOR(AC457,1)&lt;=6,FLOOR(AC457,1)&lt;=TODAY())</formula>
    </cfRule>
  </conditionalFormatting>
  <conditionalFormatting sqref="AC458:AE458">
    <cfRule type="timePeriod" dxfId="575" priority="550" timePeriod="last7Days">
      <formula>AND(TODAY()-FLOOR(AC458,1)&lt;=6,FLOOR(AC458,1)&lt;=TODAY())</formula>
    </cfRule>
  </conditionalFormatting>
  <conditionalFormatting sqref="AC459:AE459">
    <cfRule type="timePeriod" dxfId="574" priority="545" timePeriod="last7Days">
      <formula>AND(TODAY()-FLOOR(AC459,1)&lt;=6,FLOOR(AC459,1)&lt;=TODAY())</formula>
    </cfRule>
  </conditionalFormatting>
  <conditionalFormatting sqref="AC460:AE460">
    <cfRule type="timePeriod" dxfId="573" priority="540" timePeriod="last7Days">
      <formula>AND(TODAY()-FLOOR(AC460,1)&lt;=6,FLOOR(AC460,1)&lt;=TODAY())</formula>
    </cfRule>
  </conditionalFormatting>
  <conditionalFormatting sqref="AC461:AE461">
    <cfRule type="timePeriod" dxfId="572" priority="535" timePeriod="last7Days">
      <formula>AND(TODAY()-FLOOR(AC461,1)&lt;=6,FLOOR(AC461,1)&lt;=TODAY())</formula>
    </cfRule>
  </conditionalFormatting>
  <conditionalFormatting sqref="AC462:AE463">
    <cfRule type="timePeriod" dxfId="571" priority="531" timePeriod="last7Days">
      <formula>AND(TODAY()-FLOOR(AC462,1)&lt;=6,FLOOR(AC462,1)&lt;=TODAY())</formula>
    </cfRule>
  </conditionalFormatting>
  <conditionalFormatting sqref="AC464:AE464">
    <cfRule type="timePeriod" dxfId="570" priority="527" timePeriod="last7Days">
      <formula>AND(TODAY()-FLOOR(AC464,1)&lt;=6,FLOOR(AC464,1)&lt;=TODAY())</formula>
    </cfRule>
  </conditionalFormatting>
  <conditionalFormatting sqref="AC465:AE465">
    <cfRule type="timePeriod" dxfId="569" priority="522" timePeriod="last7Days">
      <formula>AND(TODAY()-FLOOR(AC465,1)&lt;=6,FLOOR(AC465,1)&lt;=TODAY())</formula>
    </cfRule>
  </conditionalFormatting>
  <conditionalFormatting sqref="AC466:AE466">
    <cfRule type="timePeriod" dxfId="568" priority="516" timePeriod="last7Days">
      <formula>AND(TODAY()-FLOOR(AC466,1)&lt;=6,FLOOR(AC466,1)&lt;=TODAY())</formula>
    </cfRule>
  </conditionalFormatting>
  <conditionalFormatting sqref="AC467:AE468">
    <cfRule type="timePeriod" dxfId="567" priority="511" timePeriod="last7Days">
      <formula>AND(TODAY()-FLOOR(AC467,1)&lt;=6,FLOOR(AC467,1)&lt;=TODAY())</formula>
    </cfRule>
  </conditionalFormatting>
  <conditionalFormatting sqref="AC469:AE469">
    <cfRule type="timePeriod" dxfId="566" priority="507" timePeriod="last7Days">
      <formula>AND(TODAY()-FLOOR(AC469,1)&lt;=6,FLOOR(AC469,1)&lt;=TODAY())</formula>
    </cfRule>
  </conditionalFormatting>
  <conditionalFormatting sqref="AC470:AE470">
    <cfRule type="timePeriod" dxfId="565" priority="503" timePeriod="last7Days">
      <formula>AND(TODAY()-FLOOR(AC470,1)&lt;=6,FLOOR(AC470,1)&lt;=TODAY())</formula>
    </cfRule>
  </conditionalFormatting>
  <conditionalFormatting sqref="AC471:AE471">
    <cfRule type="timePeriod" dxfId="564" priority="499" timePeriod="last7Days">
      <formula>AND(TODAY()-FLOOR(AC471,1)&lt;=6,FLOOR(AC471,1)&lt;=TODAY())</formula>
    </cfRule>
  </conditionalFormatting>
  <conditionalFormatting sqref="AC472:AE472">
    <cfRule type="timePeriod" dxfId="563" priority="495" timePeriod="last7Days">
      <formula>AND(TODAY()-FLOOR(AC472,1)&lt;=6,FLOOR(AC472,1)&lt;=TODAY())</formula>
    </cfRule>
  </conditionalFormatting>
  <conditionalFormatting sqref="W1019">
    <cfRule type="cellIs" dxfId="562" priority="315" operator="equal">
      <formula>"Active"</formula>
    </cfRule>
    <cfRule type="cellIs" dxfId="561" priority="316" operator="equal">
      <formula>"Non Active"</formula>
    </cfRule>
  </conditionalFormatting>
  <conditionalFormatting sqref="W1019">
    <cfRule type="cellIs" dxfId="560" priority="314" operator="equal">
      <formula>"Ad-hoc"</formula>
    </cfRule>
  </conditionalFormatting>
  <conditionalFormatting sqref="W1020">
    <cfRule type="cellIs" dxfId="559" priority="311" operator="equal">
      <formula>"Active"</formula>
    </cfRule>
    <cfRule type="cellIs" dxfId="558" priority="312" operator="equal">
      <formula>"Non Active"</formula>
    </cfRule>
  </conditionalFormatting>
  <conditionalFormatting sqref="W1020">
    <cfRule type="cellIs" dxfId="557" priority="310" operator="equal">
      <formula>"Ad-hoc"</formula>
    </cfRule>
  </conditionalFormatting>
  <conditionalFormatting sqref="W1021:W1022">
    <cfRule type="cellIs" dxfId="556" priority="307" operator="equal">
      <formula>"Active"</formula>
    </cfRule>
    <cfRule type="cellIs" dxfId="555" priority="308" operator="equal">
      <formula>"Non Active"</formula>
    </cfRule>
  </conditionalFormatting>
  <conditionalFormatting sqref="W1021:W1022">
    <cfRule type="cellIs" dxfId="554" priority="306" operator="equal">
      <formula>"Ad-hoc"</formula>
    </cfRule>
  </conditionalFormatting>
  <conditionalFormatting sqref="J1021:K1022">
    <cfRule type="cellIs" dxfId="553" priority="305" operator="lessThan">
      <formula>NOW()+60</formula>
    </cfRule>
  </conditionalFormatting>
  <conditionalFormatting sqref="W1023:W1024">
    <cfRule type="cellIs" dxfId="552" priority="302" operator="equal">
      <formula>"Active"</formula>
    </cfRule>
    <cfRule type="cellIs" dxfId="551" priority="303" operator="equal">
      <formula>"Non Active"</formula>
    </cfRule>
  </conditionalFormatting>
  <conditionalFormatting sqref="W1023:W1024">
    <cfRule type="cellIs" dxfId="550" priority="301" operator="equal">
      <formula>"Ad-hoc"</formula>
    </cfRule>
  </conditionalFormatting>
  <conditionalFormatting sqref="J1023:K1024">
    <cfRule type="cellIs" dxfId="549" priority="300" operator="lessThan">
      <formula>NOW()+60</formula>
    </cfRule>
  </conditionalFormatting>
  <conditionalFormatting sqref="W1025:W1026">
    <cfRule type="cellIs" dxfId="548" priority="297" operator="equal">
      <formula>"Active"</formula>
    </cfRule>
    <cfRule type="cellIs" dxfId="547" priority="298" operator="equal">
      <formula>"Non Active"</formula>
    </cfRule>
  </conditionalFormatting>
  <conditionalFormatting sqref="W1025:W1026">
    <cfRule type="cellIs" dxfId="546" priority="296" operator="equal">
      <formula>"Ad-hoc"</formula>
    </cfRule>
  </conditionalFormatting>
  <conditionalFormatting sqref="J1025:K1026">
    <cfRule type="cellIs" dxfId="545" priority="295" operator="lessThan">
      <formula>NOW()+60</formula>
    </cfRule>
  </conditionalFormatting>
  <conditionalFormatting sqref="W1027">
    <cfRule type="cellIs" dxfId="544" priority="292" operator="equal">
      <formula>"Active"</formula>
    </cfRule>
    <cfRule type="cellIs" dxfId="543" priority="293" operator="equal">
      <formula>"Non Active"</formula>
    </cfRule>
  </conditionalFormatting>
  <conditionalFormatting sqref="W1027">
    <cfRule type="cellIs" dxfId="542" priority="291" operator="equal">
      <formula>"Ad-hoc"</formula>
    </cfRule>
  </conditionalFormatting>
  <conditionalFormatting sqref="J1027:K1027">
    <cfRule type="cellIs" dxfId="541" priority="290" operator="lessThan">
      <formula>NOW()+60</formula>
    </cfRule>
  </conditionalFormatting>
  <conditionalFormatting sqref="W1028">
    <cfRule type="cellIs" dxfId="540" priority="287" operator="equal">
      <formula>"Active"</formula>
    </cfRule>
    <cfRule type="cellIs" dxfId="539" priority="288" operator="equal">
      <formula>"Non Active"</formula>
    </cfRule>
  </conditionalFormatting>
  <conditionalFormatting sqref="W1028">
    <cfRule type="cellIs" dxfId="538" priority="286" operator="equal">
      <formula>"Ad-hoc"</formula>
    </cfRule>
  </conditionalFormatting>
  <conditionalFormatting sqref="J1028:K1028">
    <cfRule type="cellIs" dxfId="537" priority="285" operator="lessThan">
      <formula>NOW()+60</formula>
    </cfRule>
  </conditionalFormatting>
  <conditionalFormatting sqref="W1029">
    <cfRule type="cellIs" dxfId="536" priority="282" operator="equal">
      <formula>"Active"</formula>
    </cfRule>
    <cfRule type="cellIs" dxfId="535" priority="283" operator="equal">
      <formula>"Non Active"</formula>
    </cfRule>
  </conditionalFormatting>
  <conditionalFormatting sqref="W1029">
    <cfRule type="cellIs" dxfId="534" priority="281" operator="equal">
      <formula>"Ad-hoc"</formula>
    </cfRule>
  </conditionalFormatting>
  <conditionalFormatting sqref="J1029:K1029">
    <cfRule type="cellIs" dxfId="533" priority="280" operator="lessThan">
      <formula>NOW()+60</formula>
    </cfRule>
  </conditionalFormatting>
  <conditionalFormatting sqref="W1030">
    <cfRule type="cellIs" dxfId="532" priority="277" operator="equal">
      <formula>"Active"</formula>
    </cfRule>
    <cfRule type="cellIs" dxfId="531" priority="278" operator="equal">
      <formula>"Non Active"</formula>
    </cfRule>
  </conditionalFormatting>
  <conditionalFormatting sqref="W1030">
    <cfRule type="cellIs" dxfId="530" priority="276" operator="equal">
      <formula>"Ad-hoc"</formula>
    </cfRule>
  </conditionalFormatting>
  <conditionalFormatting sqref="J1030:K1030">
    <cfRule type="cellIs" dxfId="529" priority="275" operator="lessThan">
      <formula>NOW()+60</formula>
    </cfRule>
  </conditionalFormatting>
  <conditionalFormatting sqref="W1031">
    <cfRule type="cellIs" dxfId="528" priority="272" operator="equal">
      <formula>"Active"</formula>
    </cfRule>
    <cfRule type="cellIs" dxfId="527" priority="273" operator="equal">
      <formula>"Non Active"</formula>
    </cfRule>
  </conditionalFormatting>
  <conditionalFormatting sqref="W1031">
    <cfRule type="cellIs" dxfId="526" priority="271" operator="equal">
      <formula>"Ad-hoc"</formula>
    </cfRule>
  </conditionalFormatting>
  <conditionalFormatting sqref="J1031:K1031">
    <cfRule type="cellIs" dxfId="525" priority="270" operator="lessThan">
      <formula>NOW()+60</formula>
    </cfRule>
  </conditionalFormatting>
  <conditionalFormatting sqref="W1032">
    <cfRule type="cellIs" dxfId="524" priority="267" operator="equal">
      <formula>"Active"</formula>
    </cfRule>
    <cfRule type="cellIs" dxfId="523" priority="268" operator="equal">
      <formula>"Non Active"</formula>
    </cfRule>
  </conditionalFormatting>
  <conditionalFormatting sqref="W1032">
    <cfRule type="cellIs" dxfId="522" priority="266" operator="equal">
      <formula>"Ad-hoc"</formula>
    </cfRule>
  </conditionalFormatting>
  <conditionalFormatting sqref="J1032:K1032">
    <cfRule type="cellIs" dxfId="521" priority="265" operator="lessThan">
      <formula>NOW()+60</formula>
    </cfRule>
  </conditionalFormatting>
  <conditionalFormatting sqref="W1033">
    <cfRule type="cellIs" dxfId="520" priority="262" operator="equal">
      <formula>"Active"</formula>
    </cfRule>
    <cfRule type="cellIs" dxfId="519" priority="263" operator="equal">
      <formula>"Non Active"</formula>
    </cfRule>
  </conditionalFormatting>
  <conditionalFormatting sqref="W1033">
    <cfRule type="cellIs" dxfId="518" priority="261" operator="equal">
      <formula>"Ad-hoc"</formula>
    </cfRule>
  </conditionalFormatting>
  <conditionalFormatting sqref="J1033:K1033">
    <cfRule type="cellIs" dxfId="517" priority="260" operator="lessThan">
      <formula>NOW()+60</formula>
    </cfRule>
  </conditionalFormatting>
  <conditionalFormatting sqref="W1034">
    <cfRule type="cellIs" dxfId="516" priority="257" operator="equal">
      <formula>"Active"</formula>
    </cfRule>
    <cfRule type="cellIs" dxfId="515" priority="258" operator="equal">
      <formula>"Non Active"</formula>
    </cfRule>
  </conditionalFormatting>
  <conditionalFormatting sqref="W1034">
    <cfRule type="cellIs" dxfId="514" priority="256" operator="equal">
      <formula>"Ad-hoc"</formula>
    </cfRule>
  </conditionalFormatting>
  <conditionalFormatting sqref="J1034:K1034">
    <cfRule type="cellIs" dxfId="513" priority="255" operator="lessThan">
      <formula>NOW()+60</formula>
    </cfRule>
  </conditionalFormatting>
  <conditionalFormatting sqref="W1035">
    <cfRule type="cellIs" dxfId="512" priority="252" operator="equal">
      <formula>"Active"</formula>
    </cfRule>
    <cfRule type="cellIs" dxfId="511" priority="253" operator="equal">
      <formula>"Non Active"</formula>
    </cfRule>
  </conditionalFormatting>
  <conditionalFormatting sqref="W1035">
    <cfRule type="cellIs" dxfId="510" priority="251" operator="equal">
      <formula>"Ad-hoc"</formula>
    </cfRule>
  </conditionalFormatting>
  <conditionalFormatting sqref="J1035:K1035">
    <cfRule type="cellIs" dxfId="509" priority="250" operator="lessThan">
      <formula>NOW()+60</formula>
    </cfRule>
  </conditionalFormatting>
  <conditionalFormatting sqref="W1036">
    <cfRule type="cellIs" dxfId="508" priority="247" operator="equal">
      <formula>"Active"</formula>
    </cfRule>
    <cfRule type="cellIs" dxfId="507" priority="248" operator="equal">
      <formula>"Non Active"</formula>
    </cfRule>
  </conditionalFormatting>
  <conditionalFormatting sqref="W1036">
    <cfRule type="cellIs" dxfId="506" priority="246" operator="equal">
      <formula>"Ad-hoc"</formula>
    </cfRule>
  </conditionalFormatting>
  <conditionalFormatting sqref="J1036:K1036">
    <cfRule type="cellIs" dxfId="505" priority="245" operator="lessThan">
      <formula>NOW()+60</formula>
    </cfRule>
  </conditionalFormatting>
  <conditionalFormatting sqref="W1037">
    <cfRule type="cellIs" dxfId="504" priority="242" operator="equal">
      <formula>"Active"</formula>
    </cfRule>
    <cfRule type="cellIs" dxfId="503" priority="243" operator="equal">
      <formula>"Non Active"</formula>
    </cfRule>
  </conditionalFormatting>
  <conditionalFormatting sqref="W1037">
    <cfRule type="cellIs" dxfId="502" priority="241" operator="equal">
      <formula>"Ad-hoc"</formula>
    </cfRule>
  </conditionalFormatting>
  <conditionalFormatting sqref="J1037:K1037">
    <cfRule type="cellIs" dxfId="501" priority="240" operator="lessThan">
      <formula>NOW()+60</formula>
    </cfRule>
  </conditionalFormatting>
  <conditionalFormatting sqref="W1038">
    <cfRule type="cellIs" dxfId="500" priority="237" operator="equal">
      <formula>"Active"</formula>
    </cfRule>
    <cfRule type="cellIs" dxfId="499" priority="238" operator="equal">
      <formula>"Non Active"</formula>
    </cfRule>
  </conditionalFormatting>
  <conditionalFormatting sqref="W1038">
    <cfRule type="cellIs" dxfId="498" priority="236" operator="equal">
      <formula>"Ad-hoc"</formula>
    </cfRule>
  </conditionalFormatting>
  <conditionalFormatting sqref="J1038:K1038">
    <cfRule type="cellIs" dxfId="497" priority="235" operator="lessThan">
      <formula>NOW()+60</formula>
    </cfRule>
  </conditionalFormatting>
  <conditionalFormatting sqref="W1039">
    <cfRule type="cellIs" dxfId="496" priority="232" operator="equal">
      <formula>"Active"</formula>
    </cfRule>
    <cfRule type="cellIs" dxfId="495" priority="233" operator="equal">
      <formula>"Non Active"</formula>
    </cfRule>
  </conditionalFormatting>
  <conditionalFormatting sqref="W1039">
    <cfRule type="cellIs" dxfId="494" priority="231" operator="equal">
      <formula>"Ad-hoc"</formula>
    </cfRule>
  </conditionalFormatting>
  <conditionalFormatting sqref="J1039:K1039">
    <cfRule type="cellIs" dxfId="493" priority="230" operator="lessThan">
      <formula>NOW()+60</formula>
    </cfRule>
  </conditionalFormatting>
  <conditionalFormatting sqref="W1040">
    <cfRule type="cellIs" dxfId="492" priority="227" operator="equal">
      <formula>"Active"</formula>
    </cfRule>
    <cfRule type="cellIs" dxfId="491" priority="228" operator="equal">
      <formula>"Non Active"</formula>
    </cfRule>
  </conditionalFormatting>
  <conditionalFormatting sqref="W1040">
    <cfRule type="cellIs" dxfId="490" priority="226" operator="equal">
      <formula>"Ad-hoc"</formula>
    </cfRule>
  </conditionalFormatting>
  <conditionalFormatting sqref="J1040:K1040">
    <cfRule type="cellIs" dxfId="489" priority="225" operator="lessThan">
      <formula>NOW()+60</formula>
    </cfRule>
  </conditionalFormatting>
  <conditionalFormatting sqref="W1041">
    <cfRule type="cellIs" dxfId="488" priority="222" operator="equal">
      <formula>"Active"</formula>
    </cfRule>
    <cfRule type="cellIs" dxfId="487" priority="223" operator="equal">
      <formula>"Non Active"</formula>
    </cfRule>
  </conditionalFormatting>
  <conditionalFormatting sqref="W1041">
    <cfRule type="cellIs" dxfId="486" priority="221" operator="equal">
      <formula>"Ad-hoc"</formula>
    </cfRule>
  </conditionalFormatting>
  <conditionalFormatting sqref="J1041:K1041">
    <cfRule type="cellIs" dxfId="485" priority="220" operator="lessThan">
      <formula>NOW()+60</formula>
    </cfRule>
  </conditionalFormatting>
  <conditionalFormatting sqref="W1042">
    <cfRule type="cellIs" dxfId="484" priority="217" operator="equal">
      <formula>"Active"</formula>
    </cfRule>
    <cfRule type="cellIs" dxfId="483" priority="218" operator="equal">
      <formula>"Non Active"</formula>
    </cfRule>
  </conditionalFormatting>
  <conditionalFormatting sqref="W1042">
    <cfRule type="cellIs" dxfId="482" priority="216" operator="equal">
      <formula>"Ad-hoc"</formula>
    </cfRule>
  </conditionalFormatting>
  <conditionalFormatting sqref="J1042:K1042">
    <cfRule type="cellIs" dxfId="481" priority="215" operator="lessThan">
      <formula>NOW()+60</formula>
    </cfRule>
  </conditionalFormatting>
  <conditionalFormatting sqref="W1043">
    <cfRule type="cellIs" dxfId="480" priority="212" operator="equal">
      <formula>"Active"</formula>
    </cfRule>
    <cfRule type="cellIs" dxfId="479" priority="213" operator="equal">
      <formula>"Non Active"</formula>
    </cfRule>
  </conditionalFormatting>
  <conditionalFormatting sqref="W1043">
    <cfRule type="cellIs" dxfId="478" priority="211" operator="equal">
      <formula>"Ad-hoc"</formula>
    </cfRule>
  </conditionalFormatting>
  <conditionalFormatting sqref="J1043:K1043">
    <cfRule type="cellIs" dxfId="477" priority="210" operator="lessThan">
      <formula>NOW()+60</formula>
    </cfRule>
  </conditionalFormatting>
  <conditionalFormatting sqref="W1044">
    <cfRule type="cellIs" dxfId="476" priority="207" operator="equal">
      <formula>"Active"</formula>
    </cfRule>
    <cfRule type="cellIs" dxfId="475" priority="208" operator="equal">
      <formula>"Non Active"</formula>
    </cfRule>
  </conditionalFormatting>
  <conditionalFormatting sqref="W1044">
    <cfRule type="cellIs" dxfId="474" priority="206" operator="equal">
      <formula>"Ad-hoc"</formula>
    </cfRule>
  </conditionalFormatting>
  <conditionalFormatting sqref="J1044:K1044">
    <cfRule type="cellIs" dxfId="473" priority="205" operator="lessThan">
      <formula>NOW()+60</formula>
    </cfRule>
  </conditionalFormatting>
  <conditionalFormatting sqref="W1045">
    <cfRule type="cellIs" dxfId="472" priority="202" operator="equal">
      <formula>"Active"</formula>
    </cfRule>
    <cfRule type="cellIs" dxfId="471" priority="203" operator="equal">
      <formula>"Non Active"</formula>
    </cfRule>
  </conditionalFormatting>
  <conditionalFormatting sqref="W1045">
    <cfRule type="cellIs" dxfId="470" priority="201" operator="equal">
      <formula>"Ad-hoc"</formula>
    </cfRule>
  </conditionalFormatting>
  <conditionalFormatting sqref="J1045:K1045">
    <cfRule type="cellIs" dxfId="469" priority="200" operator="lessThan">
      <formula>NOW()+60</formula>
    </cfRule>
  </conditionalFormatting>
  <conditionalFormatting sqref="W1047">
    <cfRule type="cellIs" dxfId="468" priority="197" operator="equal">
      <formula>"Active"</formula>
    </cfRule>
    <cfRule type="cellIs" dxfId="467" priority="198" operator="equal">
      <formula>"Non Active"</formula>
    </cfRule>
  </conditionalFormatting>
  <conditionalFormatting sqref="W1047">
    <cfRule type="cellIs" dxfId="466" priority="196" operator="equal">
      <formula>"Ad-hoc"</formula>
    </cfRule>
  </conditionalFormatting>
  <conditionalFormatting sqref="J1047:K1047">
    <cfRule type="cellIs" dxfId="465" priority="195" operator="lessThan">
      <formula>NOW()+60</formula>
    </cfRule>
  </conditionalFormatting>
  <conditionalFormatting sqref="W1088:W1089 W1048:W1053">
    <cfRule type="cellIs" dxfId="464" priority="192" operator="equal">
      <formula>"Active"</formula>
    </cfRule>
    <cfRule type="cellIs" dxfId="463" priority="193" operator="equal">
      <formula>"Non Active"</formula>
    </cfRule>
  </conditionalFormatting>
  <conditionalFormatting sqref="W1088:W1089 W1048:W1053">
    <cfRule type="cellIs" dxfId="462" priority="191" operator="equal">
      <formula>"Ad-hoc"</formula>
    </cfRule>
  </conditionalFormatting>
  <conditionalFormatting sqref="J1088:K1089 J1048:K1053">
    <cfRule type="cellIs" dxfId="461" priority="190" operator="lessThan">
      <formula>NOW()+60</formula>
    </cfRule>
  </conditionalFormatting>
  <conditionalFormatting sqref="W1054">
    <cfRule type="cellIs" dxfId="460" priority="187" operator="equal">
      <formula>"Active"</formula>
    </cfRule>
    <cfRule type="cellIs" dxfId="459" priority="188" operator="equal">
      <formula>"Non Active"</formula>
    </cfRule>
  </conditionalFormatting>
  <conditionalFormatting sqref="W1054">
    <cfRule type="cellIs" dxfId="458" priority="186" operator="equal">
      <formula>"Ad-hoc"</formula>
    </cfRule>
  </conditionalFormatting>
  <conditionalFormatting sqref="J1054:K1054">
    <cfRule type="cellIs" dxfId="457" priority="185" operator="lessThan">
      <formula>NOW()+60</formula>
    </cfRule>
  </conditionalFormatting>
  <conditionalFormatting sqref="W1092">
    <cfRule type="cellIs" dxfId="456" priority="182" operator="equal">
      <formula>"Active"</formula>
    </cfRule>
    <cfRule type="cellIs" dxfId="455" priority="183" operator="equal">
      <formula>"Non Active"</formula>
    </cfRule>
  </conditionalFormatting>
  <conditionalFormatting sqref="W1092">
    <cfRule type="cellIs" dxfId="454" priority="181" operator="equal">
      <formula>"Ad-hoc"</formula>
    </cfRule>
  </conditionalFormatting>
  <conditionalFormatting sqref="T1093">
    <cfRule type="cellIs" dxfId="453" priority="180" operator="equal">
      <formula>"Resource Request"</formula>
    </cfRule>
  </conditionalFormatting>
  <conditionalFormatting sqref="U1093:V1093">
    <cfRule type="cellIs" dxfId="452" priority="178" operator="equal">
      <formula>"Active"</formula>
    </cfRule>
    <cfRule type="cellIs" dxfId="451" priority="179" operator="equal">
      <formula>"Non Active"</formula>
    </cfRule>
  </conditionalFormatting>
  <conditionalFormatting sqref="U1093:V1093">
    <cfRule type="cellIs" dxfId="450" priority="177" operator="equal">
      <formula>"Ad-hoc"</formula>
    </cfRule>
  </conditionalFormatting>
  <conditionalFormatting sqref="T1094">
    <cfRule type="cellIs" dxfId="449" priority="176" operator="equal">
      <formula>"Resource Request"</formula>
    </cfRule>
  </conditionalFormatting>
  <conditionalFormatting sqref="U1094:V1094">
    <cfRule type="cellIs" dxfId="448" priority="174" operator="equal">
      <formula>"Active"</formula>
    </cfRule>
    <cfRule type="cellIs" dxfId="447" priority="175" operator="equal">
      <formula>"Non Active"</formula>
    </cfRule>
  </conditionalFormatting>
  <conditionalFormatting sqref="U1094:V1094">
    <cfRule type="cellIs" dxfId="446" priority="173" operator="equal">
      <formula>"Ad-hoc"</formula>
    </cfRule>
  </conditionalFormatting>
  <conditionalFormatting sqref="T1095">
    <cfRule type="cellIs" dxfId="445" priority="172" operator="equal">
      <formula>"Resource Request"</formula>
    </cfRule>
  </conditionalFormatting>
  <conditionalFormatting sqref="U1095:V1095">
    <cfRule type="cellIs" dxfId="444" priority="170" operator="equal">
      <formula>"Active"</formula>
    </cfRule>
    <cfRule type="cellIs" dxfId="443" priority="171" operator="equal">
      <formula>"Non Active"</formula>
    </cfRule>
  </conditionalFormatting>
  <conditionalFormatting sqref="U1095:V1095">
    <cfRule type="cellIs" dxfId="442" priority="169" operator="equal">
      <formula>"Ad-hoc"</formula>
    </cfRule>
  </conditionalFormatting>
  <conditionalFormatting sqref="W1096">
    <cfRule type="cellIs" dxfId="441" priority="166" operator="equal">
      <formula>"Active"</formula>
    </cfRule>
    <cfRule type="cellIs" dxfId="440" priority="167" operator="equal">
      <formula>"Non Active"</formula>
    </cfRule>
  </conditionalFormatting>
  <conditionalFormatting sqref="W1096">
    <cfRule type="cellIs" dxfId="439" priority="165" operator="equal">
      <formula>"Ad-hoc"</formula>
    </cfRule>
  </conditionalFormatting>
  <conditionalFormatting sqref="W1097">
    <cfRule type="cellIs" dxfId="438" priority="162" operator="equal">
      <formula>"Active"</formula>
    </cfRule>
    <cfRule type="cellIs" dxfId="437" priority="163" operator="equal">
      <formula>"Non Active"</formula>
    </cfRule>
  </conditionalFormatting>
  <conditionalFormatting sqref="W1097">
    <cfRule type="cellIs" dxfId="436" priority="161" operator="equal">
      <formula>"Ad-hoc"</formula>
    </cfRule>
  </conditionalFormatting>
  <conditionalFormatting sqref="W1076">
    <cfRule type="cellIs" dxfId="435" priority="158" operator="equal">
      <formula>"Active"</formula>
    </cfRule>
    <cfRule type="cellIs" dxfId="434" priority="159" operator="equal">
      <formula>"Non Active"</formula>
    </cfRule>
  </conditionalFormatting>
  <conditionalFormatting sqref="W1076">
    <cfRule type="cellIs" dxfId="433" priority="157" operator="equal">
      <formula>"Ad-hoc"</formula>
    </cfRule>
  </conditionalFormatting>
  <conditionalFormatting sqref="W1077">
    <cfRule type="cellIs" dxfId="432" priority="154" operator="equal">
      <formula>"Active"</formula>
    </cfRule>
    <cfRule type="cellIs" dxfId="431" priority="155" operator="equal">
      <formula>"Non Active"</formula>
    </cfRule>
  </conditionalFormatting>
  <conditionalFormatting sqref="W1077">
    <cfRule type="cellIs" dxfId="430" priority="153" operator="equal">
      <formula>"Ad-hoc"</formula>
    </cfRule>
  </conditionalFormatting>
  <conditionalFormatting sqref="W1078">
    <cfRule type="cellIs" dxfId="429" priority="150" operator="equal">
      <formula>"Active"</formula>
    </cfRule>
    <cfRule type="cellIs" dxfId="428" priority="151" operator="equal">
      <formula>"Non Active"</formula>
    </cfRule>
  </conditionalFormatting>
  <conditionalFormatting sqref="W1078">
    <cfRule type="cellIs" dxfId="427" priority="149" operator="equal">
      <formula>"Ad-hoc"</formula>
    </cfRule>
  </conditionalFormatting>
  <conditionalFormatting sqref="W1079">
    <cfRule type="cellIs" dxfId="426" priority="146" operator="equal">
      <formula>"Active"</formula>
    </cfRule>
    <cfRule type="cellIs" dxfId="425" priority="147" operator="equal">
      <formula>"Non Active"</formula>
    </cfRule>
  </conditionalFormatting>
  <conditionalFormatting sqref="W1079">
    <cfRule type="cellIs" dxfId="424" priority="145" operator="equal">
      <formula>"Ad-hoc"</formula>
    </cfRule>
  </conditionalFormatting>
  <conditionalFormatting sqref="W1080">
    <cfRule type="cellIs" dxfId="423" priority="142" operator="equal">
      <formula>"Active"</formula>
    </cfRule>
    <cfRule type="cellIs" dxfId="422" priority="143" operator="equal">
      <formula>"Non Active"</formula>
    </cfRule>
  </conditionalFormatting>
  <conditionalFormatting sqref="W1080">
    <cfRule type="cellIs" dxfId="421" priority="141" operator="equal">
      <formula>"Ad-hoc"</formula>
    </cfRule>
  </conditionalFormatting>
  <conditionalFormatting sqref="W1081">
    <cfRule type="cellIs" dxfId="420" priority="138" operator="equal">
      <formula>"Active"</formula>
    </cfRule>
    <cfRule type="cellIs" dxfId="419" priority="139" operator="equal">
      <formula>"Non Active"</formula>
    </cfRule>
  </conditionalFormatting>
  <conditionalFormatting sqref="W1081">
    <cfRule type="cellIs" dxfId="418" priority="137" operator="equal">
      <formula>"Ad-hoc"</formula>
    </cfRule>
  </conditionalFormatting>
  <conditionalFormatting sqref="W1082">
    <cfRule type="cellIs" dxfId="417" priority="134" operator="equal">
      <formula>"Active"</formula>
    </cfRule>
    <cfRule type="cellIs" dxfId="416" priority="135" operator="equal">
      <formula>"Non Active"</formula>
    </cfRule>
  </conditionalFormatting>
  <conditionalFormatting sqref="W1082">
    <cfRule type="cellIs" dxfId="415" priority="133" operator="equal">
      <formula>"Ad-hoc"</formula>
    </cfRule>
  </conditionalFormatting>
  <conditionalFormatting sqref="W1083">
    <cfRule type="cellIs" dxfId="414" priority="130" operator="equal">
      <formula>"Active"</formula>
    </cfRule>
    <cfRule type="cellIs" dxfId="413" priority="131" operator="equal">
      <formula>"Non Active"</formula>
    </cfRule>
  </conditionalFormatting>
  <conditionalFormatting sqref="W1083">
    <cfRule type="cellIs" dxfId="412" priority="129" operator="equal">
      <formula>"Ad-hoc"</formula>
    </cfRule>
  </conditionalFormatting>
  <conditionalFormatting sqref="W1084">
    <cfRule type="cellIs" dxfId="411" priority="126" operator="equal">
      <formula>"Active"</formula>
    </cfRule>
    <cfRule type="cellIs" dxfId="410" priority="127" operator="equal">
      <formula>"Non Active"</formula>
    </cfRule>
  </conditionalFormatting>
  <conditionalFormatting sqref="W1084">
    <cfRule type="cellIs" dxfId="409" priority="125" operator="equal">
      <formula>"Ad-hoc"</formula>
    </cfRule>
  </conditionalFormatting>
  <conditionalFormatting sqref="W1085">
    <cfRule type="cellIs" dxfId="408" priority="122" operator="equal">
      <formula>"Active"</formula>
    </cfRule>
    <cfRule type="cellIs" dxfId="407" priority="123" operator="equal">
      <formula>"Non Active"</formula>
    </cfRule>
  </conditionalFormatting>
  <conditionalFormatting sqref="W1085">
    <cfRule type="cellIs" dxfId="406" priority="121" operator="equal">
      <formula>"Ad-hoc"</formula>
    </cfRule>
  </conditionalFormatting>
  <conditionalFormatting sqref="W1086">
    <cfRule type="cellIs" dxfId="405" priority="118" operator="equal">
      <formula>"Active"</formula>
    </cfRule>
    <cfRule type="cellIs" dxfId="404" priority="119" operator="equal">
      <formula>"Non Active"</formula>
    </cfRule>
  </conditionalFormatting>
  <conditionalFormatting sqref="W1086">
    <cfRule type="cellIs" dxfId="403" priority="117" operator="equal">
      <formula>"Ad-hoc"</formula>
    </cfRule>
  </conditionalFormatting>
  <conditionalFormatting sqref="W1087">
    <cfRule type="cellIs" dxfId="402" priority="114" operator="equal">
      <formula>"Active"</formula>
    </cfRule>
    <cfRule type="cellIs" dxfId="401" priority="115" operator="equal">
      <formula>"Non Active"</formula>
    </cfRule>
  </conditionalFormatting>
  <conditionalFormatting sqref="W1087">
    <cfRule type="cellIs" dxfId="400" priority="113" operator="equal">
      <formula>"Ad-hoc"</formula>
    </cfRule>
  </conditionalFormatting>
  <conditionalFormatting sqref="W1117">
    <cfRule type="cellIs" dxfId="399" priority="112" operator="equal">
      <formula>"Resource Request"</formula>
    </cfRule>
  </conditionalFormatting>
  <conditionalFormatting sqref="W1115">
    <cfRule type="cellIs" dxfId="398" priority="111" operator="equal">
      <formula>"Resource Request"</formula>
    </cfRule>
  </conditionalFormatting>
  <conditionalFormatting sqref="W1118">
    <cfRule type="cellIs" dxfId="397" priority="110" operator="equal">
      <formula>"Resource Request"</formula>
    </cfRule>
  </conditionalFormatting>
  <conditionalFormatting sqref="W1119">
    <cfRule type="cellIs" dxfId="396" priority="109" operator="equal">
      <formula>"Resource Request"</formula>
    </cfRule>
  </conditionalFormatting>
  <conditionalFormatting sqref="W1120">
    <cfRule type="cellIs" dxfId="395" priority="108" operator="equal">
      <formula>"Resource Request"</formula>
    </cfRule>
  </conditionalFormatting>
  <conditionalFormatting sqref="W1123">
    <cfRule type="cellIs" dxfId="394" priority="107" operator="equal">
      <formula>"Resource Request"</formula>
    </cfRule>
  </conditionalFormatting>
  <conditionalFormatting sqref="W1124">
    <cfRule type="cellIs" dxfId="393" priority="106" operator="equal">
      <formula>"Resource Request"</formula>
    </cfRule>
  </conditionalFormatting>
  <conditionalFormatting sqref="W1125">
    <cfRule type="cellIs" dxfId="392" priority="105" operator="equal">
      <formula>"Resource Request"</formula>
    </cfRule>
  </conditionalFormatting>
  <conditionalFormatting sqref="W1126">
    <cfRule type="cellIs" dxfId="391" priority="104" operator="equal">
      <formula>"Resource Request"</formula>
    </cfRule>
  </conditionalFormatting>
  <conditionalFormatting sqref="W1127">
    <cfRule type="cellIs" dxfId="390" priority="103" operator="equal">
      <formula>"Resource Request"</formula>
    </cfRule>
  </conditionalFormatting>
  <conditionalFormatting sqref="W1128">
    <cfRule type="cellIs" dxfId="389" priority="102" operator="equal">
      <formula>"Resource Request"</formula>
    </cfRule>
  </conditionalFormatting>
  <conditionalFormatting sqref="W1129">
    <cfRule type="cellIs" dxfId="388" priority="101" operator="equal">
      <formula>"Resource Request"</formula>
    </cfRule>
  </conditionalFormatting>
  <conditionalFormatting sqref="W1130">
    <cfRule type="cellIs" dxfId="387" priority="100" operator="equal">
      <formula>"Resource Request"</formula>
    </cfRule>
  </conditionalFormatting>
  <conditionalFormatting sqref="W1132">
    <cfRule type="cellIs" dxfId="386" priority="99" operator="equal">
      <formula>"Resource Request"</formula>
    </cfRule>
  </conditionalFormatting>
  <conditionalFormatting sqref="W1133">
    <cfRule type="cellIs" dxfId="385" priority="98" operator="equal">
      <formula>"Resource Request"</formula>
    </cfRule>
  </conditionalFormatting>
  <conditionalFormatting sqref="W1134">
    <cfRule type="cellIs" dxfId="384" priority="97" operator="equal">
      <formula>"Resource Request"</formula>
    </cfRule>
  </conditionalFormatting>
  <conditionalFormatting sqref="W1135">
    <cfRule type="cellIs" dxfId="383" priority="96" operator="equal">
      <formula>"Resource Request"</formula>
    </cfRule>
  </conditionalFormatting>
  <conditionalFormatting sqref="W1136">
    <cfRule type="cellIs" dxfId="382" priority="95" operator="equal">
      <formula>"Resource Request"</formula>
    </cfRule>
  </conditionalFormatting>
  <conditionalFormatting sqref="W1138">
    <cfRule type="cellIs" dxfId="381" priority="94" operator="equal">
      <formula>"Resource Request"</formula>
    </cfRule>
  </conditionalFormatting>
  <conditionalFormatting sqref="W1139">
    <cfRule type="cellIs" dxfId="380" priority="93" operator="equal">
      <formula>"Resource Request"</formula>
    </cfRule>
  </conditionalFormatting>
  <conditionalFormatting sqref="W1140">
    <cfRule type="cellIs" dxfId="379" priority="92" operator="equal">
      <formula>"Resource Request"</formula>
    </cfRule>
  </conditionalFormatting>
  <conditionalFormatting sqref="W1141">
    <cfRule type="cellIs" dxfId="378" priority="91" operator="equal">
      <formula>"Resource Request"</formula>
    </cfRule>
  </conditionalFormatting>
  <conditionalFormatting sqref="W1142">
    <cfRule type="cellIs" dxfId="377" priority="90" operator="equal">
      <formula>"Resource Request"</formula>
    </cfRule>
  </conditionalFormatting>
  <conditionalFormatting sqref="W1143">
    <cfRule type="cellIs" dxfId="376" priority="89" operator="equal">
      <formula>"Resource Request"</formula>
    </cfRule>
  </conditionalFormatting>
  <conditionalFormatting sqref="W1144">
    <cfRule type="cellIs" dxfId="375" priority="88" operator="equal">
      <formula>"Resource Request"</formula>
    </cfRule>
  </conditionalFormatting>
  <conditionalFormatting sqref="W1145">
    <cfRule type="cellIs" dxfId="374" priority="87" operator="equal">
      <formula>"Resource Request"</formula>
    </cfRule>
  </conditionalFormatting>
  <conditionalFormatting sqref="W1146">
    <cfRule type="cellIs" dxfId="373" priority="86" operator="equal">
      <formula>"Resource Request"</formula>
    </cfRule>
  </conditionalFormatting>
  <conditionalFormatting sqref="W1147">
    <cfRule type="cellIs" dxfId="372" priority="85" operator="equal">
      <formula>"Resource Request"</formula>
    </cfRule>
  </conditionalFormatting>
  <conditionalFormatting sqref="W1148">
    <cfRule type="cellIs" dxfId="371" priority="84" operator="equal">
      <formula>"Resource Request"</formula>
    </cfRule>
  </conditionalFormatting>
  <conditionalFormatting sqref="W1149">
    <cfRule type="cellIs" dxfId="370" priority="83" operator="equal">
      <formula>"Resource Request"</formula>
    </cfRule>
  </conditionalFormatting>
  <conditionalFormatting sqref="W1151">
    <cfRule type="cellIs" dxfId="369" priority="82" operator="equal">
      <formula>"Resource Request"</formula>
    </cfRule>
  </conditionalFormatting>
  <conditionalFormatting sqref="W1152">
    <cfRule type="cellIs" dxfId="368" priority="81" operator="equal">
      <formula>"Resource Request"</formula>
    </cfRule>
  </conditionalFormatting>
  <conditionalFormatting sqref="W1153">
    <cfRule type="cellIs" dxfId="367" priority="80" operator="equal">
      <formula>"Resource Request"</formula>
    </cfRule>
  </conditionalFormatting>
  <conditionalFormatting sqref="W1156">
    <cfRule type="cellIs" dxfId="366" priority="79" operator="equal">
      <formula>"Resource Request"</formula>
    </cfRule>
  </conditionalFormatting>
  <conditionalFormatting sqref="W1157">
    <cfRule type="cellIs" dxfId="365" priority="78" operator="equal">
      <formula>"Resource Request"</formula>
    </cfRule>
  </conditionalFormatting>
  <conditionalFormatting sqref="W1158">
    <cfRule type="cellIs" dxfId="364" priority="77" operator="equal">
      <formula>"Resource Request"</formula>
    </cfRule>
  </conditionalFormatting>
  <conditionalFormatting sqref="W1159">
    <cfRule type="cellIs" dxfId="363" priority="76" operator="equal">
      <formula>"Resource Request"</formula>
    </cfRule>
  </conditionalFormatting>
  <conditionalFormatting sqref="W1160">
    <cfRule type="cellIs" dxfId="362" priority="75" operator="equal">
      <formula>"Resource Request"</formula>
    </cfRule>
  </conditionalFormatting>
  <conditionalFormatting sqref="W1162">
    <cfRule type="cellIs" dxfId="361" priority="74" operator="equal">
      <formula>"Resource Request"</formula>
    </cfRule>
  </conditionalFormatting>
  <conditionalFormatting sqref="W1163">
    <cfRule type="cellIs" dxfId="360" priority="73" operator="equal">
      <formula>"Resource Request"</formula>
    </cfRule>
  </conditionalFormatting>
  <conditionalFormatting sqref="W1164">
    <cfRule type="cellIs" dxfId="359" priority="72" operator="equal">
      <formula>"Resource Request"</formula>
    </cfRule>
  </conditionalFormatting>
  <conditionalFormatting sqref="W1165">
    <cfRule type="cellIs" dxfId="358" priority="71" operator="equal">
      <formula>"Resource Request"</formula>
    </cfRule>
  </conditionalFormatting>
  <conditionalFormatting sqref="W1167">
    <cfRule type="cellIs" dxfId="357" priority="70" operator="equal">
      <formula>"Resource Request"</formula>
    </cfRule>
  </conditionalFormatting>
  <conditionalFormatting sqref="W1168">
    <cfRule type="cellIs" dxfId="356" priority="69" operator="equal">
      <formula>"Resource Request"</formula>
    </cfRule>
  </conditionalFormatting>
  <conditionalFormatting sqref="W1169">
    <cfRule type="cellIs" dxfId="355" priority="68" operator="equal">
      <formula>"Resource Request"</formula>
    </cfRule>
  </conditionalFormatting>
  <conditionalFormatting sqref="W1170">
    <cfRule type="cellIs" dxfId="354" priority="67" operator="equal">
      <formula>"Resource Request"</formula>
    </cfRule>
  </conditionalFormatting>
  <conditionalFormatting sqref="W1171">
    <cfRule type="cellIs" dxfId="353" priority="66" operator="equal">
      <formula>"Resource Request"</formula>
    </cfRule>
  </conditionalFormatting>
  <conditionalFormatting sqref="W1172">
    <cfRule type="cellIs" dxfId="352" priority="65" operator="equal">
      <formula>"Resource Request"</formula>
    </cfRule>
  </conditionalFormatting>
  <conditionalFormatting sqref="W1173">
    <cfRule type="cellIs" dxfId="351" priority="64" operator="equal">
      <formula>"Resource Request"</formula>
    </cfRule>
  </conditionalFormatting>
  <conditionalFormatting sqref="W1174">
    <cfRule type="cellIs" dxfId="350" priority="63" operator="equal">
      <formula>"Resource Request"</formula>
    </cfRule>
  </conditionalFormatting>
  <conditionalFormatting sqref="W1175">
    <cfRule type="cellIs" dxfId="349" priority="62" operator="equal">
      <formula>"Resource Request"</formula>
    </cfRule>
  </conditionalFormatting>
  <conditionalFormatting sqref="W1176">
    <cfRule type="cellIs" dxfId="348" priority="61" operator="equal">
      <formula>"Resource Request"</formula>
    </cfRule>
  </conditionalFormatting>
  <conditionalFormatting sqref="W1177">
    <cfRule type="cellIs" dxfId="347" priority="60" operator="equal">
      <formula>"Resource Request"</formula>
    </cfRule>
  </conditionalFormatting>
  <conditionalFormatting sqref="W1178">
    <cfRule type="cellIs" dxfId="346" priority="59" operator="equal">
      <formula>"Resource Request"</formula>
    </cfRule>
  </conditionalFormatting>
  <conditionalFormatting sqref="W1179">
    <cfRule type="cellIs" dxfId="345" priority="58" operator="equal">
      <formula>"Resource Request"</formula>
    </cfRule>
  </conditionalFormatting>
  <conditionalFormatting sqref="AB14">
    <cfRule type="timePeriod" dxfId="344" priority="57" timePeriod="last7Days">
      <formula>AND(TODAY()-FLOOR(AB14,1)&lt;=6,FLOOR(AB14,1)&lt;=TODAY())</formula>
    </cfRule>
  </conditionalFormatting>
  <conditionalFormatting sqref="U1414:V1414">
    <cfRule type="cellIs" dxfId="343" priority="46" operator="equal">
      <formula>"Active"</formula>
    </cfRule>
    <cfRule type="cellIs" dxfId="342" priority="47" operator="equal">
      <formula>"Non Active"</formula>
    </cfRule>
  </conditionalFormatting>
  <conditionalFormatting sqref="U1414:V1414">
    <cfRule type="cellIs" dxfId="341" priority="45" operator="equal">
      <formula>"Ad-hoc"</formula>
    </cfRule>
  </conditionalFormatting>
  <conditionalFormatting sqref="AB1415">
    <cfRule type="timePeriod" dxfId="340" priority="41" timePeriod="last7Days">
      <formula>AND(TODAY()-FLOOR(AB1415,1)&lt;=6,FLOOR(AB1415,1)&lt;=TODAY())</formula>
    </cfRule>
  </conditionalFormatting>
  <conditionalFormatting sqref="AB1416">
    <cfRule type="timePeriod" dxfId="339" priority="39" timePeriod="last7Days">
      <formula>AND(TODAY()-FLOOR(AB1416,1)&lt;=6,FLOOR(AB1416,1)&lt;=TODAY())</formula>
    </cfRule>
  </conditionalFormatting>
  <conditionalFormatting sqref="AB1417">
    <cfRule type="timePeriod" dxfId="338" priority="38" timePeriod="last7Days">
      <formula>AND(TODAY()-FLOOR(AB1417,1)&lt;=6,FLOOR(AB1417,1)&lt;=TODAY())</formula>
    </cfRule>
  </conditionalFormatting>
  <conditionalFormatting sqref="AB1418:AB1422">
    <cfRule type="timePeriod" dxfId="337" priority="37" timePeriod="last7Days">
      <formula>AND(TODAY()-FLOOR(AB1418,1)&lt;=6,FLOOR(AB1418,1)&lt;=TODAY())</formula>
    </cfRule>
  </conditionalFormatting>
  <conditionalFormatting sqref="AB1423">
    <cfRule type="timePeriod" dxfId="336" priority="36" timePeriod="last7Days">
      <formula>AND(TODAY()-FLOOR(AB1423,1)&lt;=6,FLOOR(AB1423,1)&lt;=TODAY())</formula>
    </cfRule>
  </conditionalFormatting>
  <conditionalFormatting sqref="AB1424">
    <cfRule type="timePeriod" dxfId="335" priority="35" timePeriod="last7Days">
      <formula>AND(TODAY()-FLOOR(AB1424,1)&lt;=6,FLOOR(AB1424,1)&lt;=TODAY())</formula>
    </cfRule>
  </conditionalFormatting>
  <conditionalFormatting sqref="AB1425">
    <cfRule type="timePeriod" dxfId="334" priority="34" timePeriod="last7Days">
      <formula>AND(TODAY()-FLOOR(AB1425,1)&lt;=6,FLOOR(AB1425,1)&lt;=TODAY())</formula>
    </cfRule>
  </conditionalFormatting>
  <conditionalFormatting sqref="AB1425">
    <cfRule type="timePeriod" dxfId="333" priority="33" timePeriod="last7Days">
      <formula>AND(TODAY()-FLOOR(AB1425,1)&lt;=6,FLOOR(AB1425,1)&lt;=TODAY())</formula>
    </cfRule>
  </conditionalFormatting>
  <conditionalFormatting sqref="AB1426">
    <cfRule type="timePeriod" dxfId="332" priority="32" timePeriod="last7Days">
      <formula>AND(TODAY()-FLOOR(AB1426,1)&lt;=6,FLOOR(AB1426,1)&lt;=TODAY())</formula>
    </cfRule>
  </conditionalFormatting>
  <conditionalFormatting sqref="AB1427">
    <cfRule type="timePeriod" dxfId="331" priority="31" timePeriod="last7Days">
      <formula>AND(TODAY()-FLOOR(AB1427,1)&lt;=6,FLOOR(AB1427,1)&lt;=TODAY())</formula>
    </cfRule>
  </conditionalFormatting>
  <conditionalFormatting sqref="AC1428">
    <cfRule type="timePeriod" dxfId="330" priority="30" timePeriod="last7Days">
      <formula>AND(TODAY()-FLOOR(AC1428,1)&lt;=6,FLOOR(AC1428,1)&lt;=TODAY())</formula>
    </cfRule>
  </conditionalFormatting>
  <conditionalFormatting sqref="AC1429">
    <cfRule type="timePeriod" dxfId="329" priority="28" timePeriod="last7Days">
      <formula>AND(TODAY()-FLOOR(AC1429,1)&lt;=6,FLOOR(AC1429,1)&lt;=TODAY())</formula>
    </cfRule>
  </conditionalFormatting>
  <conditionalFormatting sqref="AC1430">
    <cfRule type="timePeriod" dxfId="328" priority="27" timePeriod="last7Days">
      <formula>AND(TODAY()-FLOOR(AC1430,1)&lt;=6,FLOOR(AC1430,1)&lt;=TODAY())</formula>
    </cfRule>
  </conditionalFormatting>
  <conditionalFormatting sqref="AC1431">
    <cfRule type="timePeriod" dxfId="327" priority="26" timePeriod="last7Days">
      <formula>AND(TODAY()-FLOOR(AC1431,1)&lt;=6,FLOOR(AC1431,1)&lt;=TODAY())</formula>
    </cfRule>
  </conditionalFormatting>
  <conditionalFormatting sqref="AC1431">
    <cfRule type="timePeriod" dxfId="326" priority="25" timePeriod="last7Days">
      <formula>AND(TODAY()-FLOOR(AC1431,1)&lt;=6,FLOOR(AC1431,1)&lt;=TODAY())</formula>
    </cfRule>
  </conditionalFormatting>
  <conditionalFormatting sqref="AD1432">
    <cfRule type="timePeriod" dxfId="325" priority="24" timePeriod="last7Days">
      <formula>AND(TODAY()-FLOOR(AD1432,1)&lt;=6,FLOOR(AD1432,1)&lt;=TODAY())</formula>
    </cfRule>
  </conditionalFormatting>
  <conditionalFormatting sqref="AD1433">
    <cfRule type="timePeriod" dxfId="324" priority="23" timePeriod="last7Days">
      <formula>AND(TODAY()-FLOOR(AD1433,1)&lt;=6,FLOOR(AD1433,1)&lt;=TODAY())</formula>
    </cfRule>
  </conditionalFormatting>
  <conditionalFormatting sqref="AD1434">
    <cfRule type="timePeriod" dxfId="323" priority="22" timePeriod="last7Days">
      <formula>AND(TODAY()-FLOOR(AD1434,1)&lt;=6,FLOOR(AD1434,1)&lt;=TODAY())</formula>
    </cfRule>
  </conditionalFormatting>
  <conditionalFormatting sqref="AD1435">
    <cfRule type="timePeriod" dxfId="322" priority="21" timePeriod="last7Days">
      <formula>AND(TODAY()-FLOOR(AD1435,1)&lt;=6,FLOOR(AD1435,1)&lt;=TODAY())</formula>
    </cfRule>
  </conditionalFormatting>
  <conditionalFormatting sqref="AB1436">
    <cfRule type="timePeriod" dxfId="321" priority="20" timePeriod="last7Days">
      <formula>AND(TODAY()-FLOOR(AB1436,1)&lt;=6,FLOOR(AB1436,1)&lt;=TODAY())</formula>
    </cfRule>
  </conditionalFormatting>
  <conditionalFormatting sqref="AB1437:AB1438">
    <cfRule type="timePeriod" dxfId="320" priority="19" timePeriod="last7Days">
      <formula>AND(TODAY()-FLOOR(AB1437,1)&lt;=6,FLOOR(AB1437,1)&lt;=TODAY())</formula>
    </cfRule>
  </conditionalFormatting>
  <conditionalFormatting sqref="AB1439">
    <cfRule type="timePeriod" dxfId="319" priority="17" timePeriod="last7Days">
      <formula>AND(TODAY()-FLOOR(AB1439,1)&lt;=6,FLOOR(AB1439,1)&lt;=TODAY())</formula>
    </cfRule>
  </conditionalFormatting>
  <conditionalFormatting sqref="AB1440">
    <cfRule type="timePeriod" dxfId="318" priority="15" timePeriod="last7Days">
      <formula>AND(TODAY()-FLOOR(AB1440,1)&lt;=6,FLOOR(AB1440,1)&lt;=TODAY())</formula>
    </cfRule>
  </conditionalFormatting>
  <conditionalFormatting sqref="AB1443">
    <cfRule type="timePeriod" dxfId="317" priority="14" timePeriod="last7Days">
      <formula>AND(TODAY()-FLOOR(AB1443,1)&lt;=6,FLOOR(AB1443,1)&lt;=TODAY())</formula>
    </cfRule>
  </conditionalFormatting>
  <conditionalFormatting sqref="AB1443">
    <cfRule type="timePeriod" dxfId="316" priority="13" timePeriod="last7Days">
      <formula>AND(TODAY()-FLOOR(AB1443,1)&lt;=6,FLOOR(AB1443,1)&lt;=TODAY())</formula>
    </cfRule>
  </conditionalFormatting>
  <conditionalFormatting sqref="AB1444">
    <cfRule type="timePeriod" dxfId="315" priority="11" timePeriod="last7Days">
      <formula>AND(TODAY()-FLOOR(AB1444,1)&lt;=6,FLOOR(AB1444,1)&lt;=TODAY())</formula>
    </cfRule>
  </conditionalFormatting>
  <conditionalFormatting sqref="AB1445">
    <cfRule type="timePeriod" dxfId="314" priority="10" timePeriod="last7Days">
      <formula>AND(TODAY()-FLOOR(AB1445,1)&lt;=6,FLOOR(AB1445,1)&lt;=TODAY())</formula>
    </cfRule>
  </conditionalFormatting>
  <conditionalFormatting sqref="AB1445">
    <cfRule type="timePeriod" dxfId="313" priority="9" timePeriod="last7Days">
      <formula>AND(TODAY()-FLOOR(AB1445,1)&lt;=6,FLOOR(AB1445,1)&lt;=TODAY())</formula>
    </cfRule>
  </conditionalFormatting>
  <conditionalFormatting sqref="AB1446">
    <cfRule type="timePeriod" dxfId="312" priority="8" timePeriod="last7Days">
      <formula>AND(TODAY()-FLOOR(AB1446,1)&lt;=6,FLOOR(AB1446,1)&lt;=TODAY())</formula>
    </cfRule>
  </conditionalFormatting>
  <conditionalFormatting sqref="AB1448">
    <cfRule type="timePeriod" dxfId="311" priority="7" timePeriod="last7Days">
      <formula>AND(TODAY()-FLOOR(AB1448,1)&lt;=6,FLOOR(AB1448,1)&lt;=TODAY())</formula>
    </cfRule>
  </conditionalFormatting>
  <conditionalFormatting sqref="AB1449">
    <cfRule type="timePeriod" dxfId="310" priority="6" timePeriod="last7Days">
      <formula>AND(TODAY()-FLOOR(AB1449,1)&lt;=6,FLOOR(AB1449,1)&lt;=TODAY())</formula>
    </cfRule>
  </conditionalFormatting>
  <conditionalFormatting sqref="AB1449">
    <cfRule type="timePeriod" dxfId="309" priority="5" timePeriod="last7Days">
      <formula>AND(TODAY()-FLOOR(AB1449,1)&lt;=6,FLOOR(AB1449,1)&lt;=TODAY())</formula>
    </cfRule>
  </conditionalFormatting>
  <conditionalFormatting sqref="AB1557">
    <cfRule type="timePeriod" dxfId="308" priority="4" timePeriod="last7Days">
      <formula>AND(TODAY()-FLOOR(AB1557,1)&lt;=6,FLOOR(AB1557,1)&lt;=TODAY())</formula>
    </cfRule>
  </conditionalFormatting>
  <conditionalFormatting sqref="AB1558">
    <cfRule type="timePeriod" dxfId="307" priority="3" timePeriod="last7Days">
      <formula>AND(TODAY()-FLOOR(AB1558,1)&lt;=6,FLOOR(AB1558,1)&lt;=TODAY())</formula>
    </cfRule>
  </conditionalFormatting>
  <conditionalFormatting sqref="AB1559">
    <cfRule type="timePeriod" dxfId="306" priority="2" timePeriod="last7Days">
      <formula>AND(TODAY()-FLOOR(AB1559,1)&lt;=6,FLOOR(AB1559,1)&lt;=TODAY())</formula>
    </cfRule>
  </conditionalFormatting>
  <conditionalFormatting sqref="AB1441">
    <cfRule type="timePeriod" dxfId="305" priority="1" timePeriod="last7Days">
      <formula>AND(TODAY()-FLOOR(AB1441,1)&lt;=6,FLOOR(AB1441,1)&lt;=TODAY())</formula>
    </cfRule>
  </conditionalFormatting>
  <dataValidations count="21">
    <dataValidation type="list" allowBlank="1" showInputMessage="1" showErrorMessage="1" sqref="F1 H1432:H1435 F1436:F1441 F1557:F1559 F1448:F1449 F1443:F1446" xr:uid="{CD1D5F0F-5884-4F87-B5F8-975A9E950282}">
      <formula1>"CYPS,HAS,Resources,CD,Environment,HR_BS,LE,LDS"</formula1>
    </dataValidation>
    <dataValidation type="list" allowBlank="1" showInputMessage="1" showErrorMessage="1" sqref="W1020:W1045 W1047:W1054 R1020:R1026 S1117:S1166 S1115 R1076:R1087 R1093:R1097 W1156:W1166 W1151:W1153 W1138:W1149 T1093:V1095 W1117:W1120 W1123:W1132 W1134:W1136 T376 H461 H466 AA420:AA429 S420:S429 S440:S472 AA440:AA464 AA466:AA472 X441:X472 S376:S381 Y440:Z442 Y447:Z447 Y449:Z450 Y461:Z461 Y466:Z466 X376:Z381 S673:S674 X673:Z674 S697:S698 S721 S717:S718 X697:Z698 Y721:Z721 Y717:Z718 S753:S755 S742:S745 S739:S740 S732:S737 S729 S727 S723 Y727:Z727 Y729:Z729 Y732:Z737 Y739:Z740 Y742:Z745 Y753:Z755 Y723:Z723 S784 S776:S778 S768:S773 S765 Y765:Z765 Y768:Z773 Y776:Z778 Y784:Z784 S809:S810 S805:S807 S790:S796 S820:S823 S825:S828 Y790:Z796 Y805:Z807 Y809:Z810 Y820:Z823 Y825:Z828 S838 S840 S844:S848 S850 S853:S857 S868 S870:S871 S877:S879 S885:S891 Y838:Z838 Y840:Z840 Y844:Z848 Y850:Z850 Y853:Z857 Y868:Z868 Y870:Z871 Y877:Z879 Y885:Z891 S26 Y26:Z26 Y102:Z102 Y155 Y234 Y249 S2 Y2:Z2 H376:H381 H440:H442 H447 H449:H450 S1381 S1393 S1413:S1414 Z1417:Z1422 Z1425 AA1431 Z1443:Z1445 Z1449 W1092 W1096:W1097 W1076:W1089" xr:uid="{B0285145-E046-4E3F-A889-5085D2BBCBD7}"/>
    <dataValidation allowBlank="1" showInputMessage="1" showErrorMessage="1" sqref="E1 AA465 D1432:G1435 D1436:D1441 D1557:D1559 D1448:D1449 D1443:D1446" xr:uid="{961EDDC9-FBA3-4B00-8567-0266D22C43ED}"/>
    <dataValidation type="list" allowBlank="1" showInputMessage="1" showErrorMessage="1" sqref="H1115 H1117:H1166" xr:uid="{1460EF37-4F3E-4CAC-BB40-1DEA1C44D1AD}">
      <formula1>"Utilities, Social Care, Hard FM, Facilities, Engineering &amp; Environment, Built Environment"</formula1>
    </dataValidation>
    <dataValidation type="list" allowBlank="1" showInputMessage="1" showErrorMessage="1" sqref="W1115" xr:uid="{2C64CDCD-84F9-4115-99DC-671A0912DA39}">
      <formula1>$H$2:$H$18</formula1>
    </dataValidation>
    <dataValidation type="list" allowBlank="1" showInputMessage="1" showErrorMessage="1" sqref="R1092" xr:uid="{954D5D16-E4FD-44A7-BA70-CF88634D3845}">
      <formula1>$L$2:$L$20</formula1>
    </dataValidation>
    <dataValidation type="list" allowBlank="1" showInputMessage="1" showErrorMessage="1" sqref="R1088:R1089 R1027:R1045 R1047:R1054" xr:uid="{F8D5BC30-E857-4DA7-B34E-EFEF4CA00C9B}">
      <formula1>$L$2:$L$19</formula1>
    </dataValidation>
    <dataValidation operator="greaterThan" allowBlank="1" showInputMessage="1" showErrorMessage="1" sqref="W1121:W1122 W1133 W1137 P1137:Q1137 W1150 P1150:Q1150 P1154:Q1154 W1154:W1155 P1161:Q1161 J1047:N1054 J1092:N1097 J1076:N1089 L1166:Q1166 L1163:O1165 L1162:Q1162 L1123:O1161 L1121:Q1122 L1117:O1120 L1115:O1115" xr:uid="{4B91A1D7-B246-43C6-9E7A-E497C41D9801}"/>
    <dataValidation type="list" allowBlank="1" showInputMessage="1" showErrorMessage="1" sqref="W1019" xr:uid="{AFD790C5-781F-4ADA-AB1C-5DDCE4BD35F7}">
      <formula1>"Active, Non Active, Ad-hoc"</formula1>
    </dataValidation>
    <dataValidation type="list" allowBlank="1" showInputMessage="1" showErrorMessage="1" sqref="Q989:Q1006 O1011 P1014:P1017 D1019:G1045 D1047:G1054 D1092:G1097 D1076:G1089" xr:uid="{F86956BC-A472-45EF-9006-B8EEBBC308D1}">
      <formula1>"Utilities, Hard FM, Facilities, Engineering &amp; Environment, Built Environment"</formula1>
    </dataValidation>
    <dataValidation type="list" allowBlank="1" showInputMessage="1" showErrorMessage="1" sqref="D989:G1006" xr:uid="{E40E95A1-BC11-41F8-AF4F-CC7825F7A12A}">
      <formula1>"Oo, Pr"</formula1>
    </dataValidation>
    <dataValidation type="list" allowBlank="1" showInputMessage="1" showErrorMessage="1" sqref="X440" xr:uid="{00000000-0002-0000-0200-000006000000}">
      <formula1>$C$1:$C$34</formula1>
    </dataValidation>
    <dataValidation type="whole" allowBlank="1" showInputMessage="1" showErrorMessage="1" error="Please insert a whole number between 1 and 240" sqref="P376:P381 P440:P442 P447 P449:P450 P466" xr:uid="{00000000-0002-0000-0200-000004000000}">
      <formula1>1</formula1>
      <formula2>240</formula2>
    </dataValidation>
    <dataValidation type="date" operator="greaterThan" allowBlank="1" showInputMessage="1" showErrorMessage="1" error="Please enter a valid date in the following format **/**/****" sqref="O376:O378 M380:M381 O380:O381 M376:M378 O466 O447 O440:O442" xr:uid="{00000000-0002-0000-0200-000003000000}">
      <formula1>36526</formula1>
    </dataValidation>
    <dataValidation type="list" allowBlank="1" showInputMessage="1" showErrorMessage="1" sqref="Z127 Z133 Z138 Z155 Z157 Z164:Z177 Z182 Z200:Z201 Z221 Z223:Z228 Z234:Z282 Z284:Z307 Z309:Z310 Z312:Z318 Z320:Z323 Z325:Z334 Z336:Z351 Z353:Z361 Z363:Z375 Z14 Z1415:Z1416 Z1423:Z1424 Z1426:Z1427 AA1428:AA1430 AB1432:AB1435 Z1436:Z1441 Z1557:Z1559 Z1446 Z1448" xr:uid="{00000000-0002-0000-0200-000002000000}">
      <formula1>Tiering</formula1>
    </dataValidation>
    <dataValidation type="list" allowBlank="1" showInputMessage="1" showErrorMessage="1" sqref="AE69" xr:uid="{00000000-0002-0000-0200-000001000000}">
      <formula1>Brexit</formula1>
    </dataValidation>
    <dataValidation type="list" allowBlank="1" showInputMessage="1" showErrorMessage="1" sqref="X26 X102 X477:X480 X493 X868 X870:X871 X877:X879 X885:X891 X2" xr:uid="{00000000-0002-0000-0200-000000000000}">
      <formula1>Officer</formula1>
    </dataValidation>
    <dataValidation type="list" allowBlank="1" showInputMessage="1" showErrorMessage="1" sqref="W1381" xr:uid="{C46D6C89-EC0F-444E-9168-8346768449A3}">
      <formula1>"Continue, Delay, Extend, Emergency, Completed, After 2020"</formula1>
    </dataValidation>
    <dataValidation type="list" allowBlank="1" showInputMessage="1" showErrorMessage="1" sqref="G1436:G1441 G1557:G1559 G1448:G1449 G1443:G1446" xr:uid="{8A9D73C6-BFDA-409D-A533-E0E6588A78B9}">
      <formula1>INDIRECT($F1436)</formula1>
    </dataValidation>
    <dataValidation type="list" allowBlank="1" showInputMessage="1" showErrorMessage="1" sqref="E1436:E1441 E1557:E1559 E1448:E1449 E1443:E1446" xr:uid="{58160399-863F-44BC-B20C-32EE285E6E7F}">
      <formula1>Original</formula1>
    </dataValidation>
    <dataValidation type="list" allowBlank="1" showInputMessage="1" showErrorMessage="1" sqref="D14:G14 D1417:G1427 X111:X112 X336:X361 X309:X323 X127 X133 X138 X155 X164:X177 X182 X200:X201 X221 X223:X228 X234:X307 X1415:X1427 X1448:X1449 X1443:X1446 Y112:Z112 Y1448 Y1446 X1557:Y1559 X1436:Y1441 Z1432:AA1435 Z1428:Z1430 Y1426:Y1431 Y1423:Y1424 Y1415:Y1416 X14:Y14 Y493:Z493 Y479:Z480 Y477:Z477 X363:Y375 Y353:Y361 Y336:Y351 X325:Y334 Y320:Y323 Y312:Y318 Y309:Y310 Y284:Y307 Y254:Y282 Y235 Y170 X157:Y157 S101:S112 S1443:S1446 S1448:S1449 S1557:S1559 S1436:S1441 U1432:V1435 T1428:T1430 S1415:S1427 S14 S762 S372:S375 S363:S370 S357:S361 S343:S355 S337:S341 R336:S336 S325:S334 S309:S323 S234:S307 S223:S230 S221 S200:S201 S182:S186 S164:S177 S157 S155 S145 S138 S133 S127 AD127 AD133 AD138 AD155 AD157 AD164:AD177 AD182 AD200:AD201 AD221 AD223:AD228 AD234:AD282 AD284:AD307 AD309:AD310 AD312:AD318 AD320:AD323 AD325:AD334 AD336:AD351 AD353:AD361 AD363:AD375 AD14 AD1415:AD1427 AE1428:AE1431 AD1436:AD1441 AD1557:AD1559 AD1448:AD1449 AD1443:AD1446 S477 S493 S479:S480 B14 B1415:B1441 B1557:B1559 B1448:B1449 B1443:B1446 I14 I1415:I1427 D1428:J1431 J1432:K1435 I1436:I1441 I1557:I1559 I1448:I1449 I1443:I1446" xr:uid="{8F61CE1C-4F4C-48FA-8A56-6DF04E430A93}">
      <formula1>#REF!</formula1>
    </dataValidation>
  </dataValidations>
  <pageMargins left="0.7" right="0.7" top="0.75" bottom="0.75" header="0.3" footer="0.3"/>
  <pageSetup paperSize="9" orientation="portrait" r:id="rId1"/>
  <headerFooter>
    <oddFooter>&amp;C_x000D_&amp;1#&amp;"Calibri"&amp;10&amp;KFF0000 OFFICIAL - SENSITIVE</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9340761-6CEC-4AB3-9403-194F4FE5713F}">
          <x14:formula1>
            <xm:f>INDIRECT('COMPLETE 22-23'!#REF!)</xm:f>
          </x14:formula1>
          <xm:sqref>G1</xm:sqref>
        </x14:dataValidation>
        <x14:dataValidation type="list" allowBlank="1" showInputMessage="1" showErrorMessage="1" xr:uid="{00000000-0002-0000-0200-000007000000}">
          <x14:formula1>
            <xm:f>'COMPLETE 22-23'!#REF!</xm:f>
          </x14:formula1>
          <xm:sqref>X717:X718 X721 X723 X727 X729 X732:X737 X739:X740 X742:X745 X753:X755 X784 X765 X768:X773 X776:X778 X825:X828 X820:X823 X809:X810 X805:X807 X790:X796 X853:X857 X850 X844:X848 X840 X838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309"/>
  <sheetViews>
    <sheetView topLeftCell="A308" zoomScale="70" zoomScaleNormal="70" workbookViewId="0">
      <selection activeCell="A309" sqref="A309"/>
    </sheetView>
  </sheetViews>
  <sheetFormatPr defaultRowHeight="15" customHeight="1"/>
  <cols>
    <col min="6" max="6" width="15.07421875" customWidth="1"/>
    <col min="7" max="7" width="14.53515625" customWidth="1"/>
    <col min="8" max="8" width="12.07421875" customWidth="1"/>
    <col min="10" max="11" width="27.84375" customWidth="1"/>
    <col min="12" max="12" width="24.07421875" customWidth="1"/>
    <col min="26" max="26" width="17" customWidth="1"/>
    <col min="31" max="31" width="12.84375" bestFit="1" customWidth="1"/>
    <col min="32" max="32" width="52" customWidth="1"/>
    <col min="33" max="33" width="13.84375" customWidth="1"/>
  </cols>
  <sheetData>
    <row r="1" spans="1:36" s="3" customFormat="1" ht="105">
      <c r="A1" s="21" t="s">
        <v>4934</v>
      </c>
      <c r="B1" s="21" t="s">
        <v>1</v>
      </c>
      <c r="C1" s="34" t="s">
        <v>2</v>
      </c>
      <c r="D1" s="34" t="s">
        <v>3</v>
      </c>
      <c r="E1" s="1523" t="s">
        <v>4</v>
      </c>
      <c r="F1" s="1523" t="s">
        <v>5</v>
      </c>
      <c r="G1" s="1523" t="s">
        <v>6</v>
      </c>
      <c r="H1" s="21" t="s">
        <v>7</v>
      </c>
      <c r="I1" s="21" t="s">
        <v>8</v>
      </c>
      <c r="J1" s="21" t="s">
        <v>4936</v>
      </c>
      <c r="K1" s="2396" t="s">
        <v>4937</v>
      </c>
      <c r="L1" s="21" t="s">
        <v>11</v>
      </c>
      <c r="M1" s="21" t="s">
        <v>12</v>
      </c>
      <c r="N1" s="21" t="s">
        <v>13</v>
      </c>
      <c r="O1" s="21" t="s">
        <v>14</v>
      </c>
      <c r="P1" s="21" t="s">
        <v>15</v>
      </c>
      <c r="Q1" s="24" t="s">
        <v>16</v>
      </c>
      <c r="R1" s="39" t="s">
        <v>17</v>
      </c>
      <c r="S1" s="2366"/>
      <c r="T1" s="42" t="s">
        <v>29</v>
      </c>
      <c r="U1" s="1529" t="s">
        <v>4938</v>
      </c>
      <c r="V1" s="30" t="s">
        <v>18</v>
      </c>
      <c r="W1" s="21" t="s">
        <v>19</v>
      </c>
      <c r="X1" s="21" t="s">
        <v>20</v>
      </c>
      <c r="Y1" s="2355" t="s">
        <v>1490</v>
      </c>
      <c r="Z1" s="2" t="s">
        <v>22</v>
      </c>
      <c r="AA1" s="21" t="s">
        <v>23</v>
      </c>
      <c r="AB1" s="21" t="s">
        <v>24</v>
      </c>
      <c r="AC1" s="22" t="s">
        <v>25</v>
      </c>
      <c r="AD1" s="23" t="s">
        <v>26</v>
      </c>
      <c r="AE1" s="37" t="s">
        <v>5672</v>
      </c>
      <c r="AF1" s="212" t="s">
        <v>28</v>
      </c>
      <c r="AG1" s="213" t="s">
        <v>1</v>
      </c>
      <c r="AH1" s="42" t="s">
        <v>5673</v>
      </c>
    </row>
    <row r="2" spans="1:36" s="1" customFormat="1" ht="130.5">
      <c r="B2" s="1" t="s">
        <v>44</v>
      </c>
      <c r="C2" s="4" t="s">
        <v>71</v>
      </c>
      <c r="D2" s="32" t="s">
        <v>32</v>
      </c>
      <c r="E2" s="32"/>
      <c r="F2" s="32"/>
      <c r="G2" s="32"/>
      <c r="H2" s="5"/>
      <c r="I2" s="5" t="s">
        <v>5674</v>
      </c>
      <c r="J2" s="16" t="s">
        <v>5675</v>
      </c>
      <c r="K2" s="191"/>
      <c r="L2" s="5" t="e">
        <f>IF(OR(V2=#REF!,V2=#REF!,V2=#REF!,V2=#REF!,V2=#REF!,V2=#REF!,V2=#REF!,V2=#REF!),12,IF(OR(V2=#REF!,V2=#REF!,V2=#REF!,V2=#REF!,V2=#REF!,V2=#REF!,V2=#REF!),3,IF(V2=#REF!,1,IF(V2=#REF!,18,IF(OR(V2=#REF!,V2=#REF!,V2=#REF!,V2=#REF!,V2=#REF!),14,"Invalid proposed procurement method")))))</f>
        <v>#REF!</v>
      </c>
      <c r="M2" s="199" t="str">
        <f>IFERROR(EDATE($N2,-3),"Invalid procurement method or date entered")</f>
        <v>Invalid procurement method or date entered</v>
      </c>
      <c r="N2" s="199" t="str">
        <f>IFERROR(EDATE(O2,-L2),"Invalid procurement method or date entered")</f>
        <v>Invalid procurement method or date entered</v>
      </c>
      <c r="O2" s="199">
        <v>44409</v>
      </c>
      <c r="P2" s="12" t="s">
        <v>45</v>
      </c>
      <c r="Q2" s="25" t="s">
        <v>45</v>
      </c>
      <c r="R2" s="18" t="s">
        <v>45</v>
      </c>
      <c r="S2" s="18"/>
      <c r="T2" s="41">
        <v>550000</v>
      </c>
      <c r="U2" s="41"/>
      <c r="V2" s="5" t="s">
        <v>45</v>
      </c>
      <c r="W2" s="52" t="s">
        <v>45</v>
      </c>
      <c r="X2" s="48" t="s">
        <v>45</v>
      </c>
      <c r="Y2" s="48"/>
      <c r="Z2" s="5" t="s">
        <v>5676</v>
      </c>
      <c r="AA2" s="5" t="s">
        <v>283</v>
      </c>
      <c r="AB2" s="5" t="s">
        <v>40</v>
      </c>
      <c r="AC2" s="5"/>
      <c r="AD2" s="5" t="s">
        <v>70</v>
      </c>
      <c r="AE2" s="199">
        <v>44202</v>
      </c>
      <c r="AF2" s="8" t="s">
        <v>5677</v>
      </c>
      <c r="AG2" s="20" t="s">
        <v>285</v>
      </c>
    </row>
    <row r="3" spans="1:36" s="56" customFormat="1" ht="72.5">
      <c r="B3" s="1" t="s">
        <v>44</v>
      </c>
      <c r="C3" s="4" t="s">
        <v>45</v>
      </c>
      <c r="D3" s="9" t="s">
        <v>32</v>
      </c>
      <c r="E3" s="9"/>
      <c r="F3" s="9"/>
      <c r="G3" s="9"/>
      <c r="H3" s="5"/>
      <c r="I3" s="12" t="s">
        <v>47</v>
      </c>
      <c r="J3" s="8" t="s">
        <v>5678</v>
      </c>
      <c r="K3" s="8"/>
      <c r="L3" s="5" t="e">
        <f>IF(OR(V3=#REF!,V3=#REF!,V3=#REF!,V3=#REF!,V3=#REF!,V3=#REF!,V3=#REF!,V3=#REF!),12,IF(OR(V3=#REF!,V3=#REF!,V3=#REF!,V3=#REF!,V3=#REF!,V3=#REF!,V3=#REF!),3,IF(V3=#REF!,1,IF(V3=#REF!,18,IF(OR(V3=#REF!,V3=#REF!,V3=#REF!,V3=#REF!,V3=#REF!),14,"Invalid proposed procurement method")))))</f>
        <v>#REF!</v>
      </c>
      <c r="M3" s="199" t="str">
        <f>IFERROR(EDATE($N3,-3),"Invalid procurement method or date entered")</f>
        <v>Invalid procurement method or date entered</v>
      </c>
      <c r="N3" s="199" t="str">
        <f>IFERROR(EDATE(O3,-L3),"Invalid procurement method or date entered")</f>
        <v>Invalid procurement method or date entered</v>
      </c>
      <c r="O3" s="182" t="s">
        <v>837</v>
      </c>
      <c r="P3" s="12">
        <v>12</v>
      </c>
      <c r="Q3" s="7" t="s">
        <v>50</v>
      </c>
      <c r="R3" s="18">
        <v>30000</v>
      </c>
      <c r="S3" s="18"/>
      <c r="T3" s="44"/>
      <c r="U3" s="44"/>
      <c r="V3" s="5" t="s">
        <v>51</v>
      </c>
      <c r="W3" s="5" t="s">
        <v>38</v>
      </c>
      <c r="X3" s="12" t="s">
        <v>67</v>
      </c>
      <c r="Y3" s="12"/>
      <c r="Z3" s="5" t="s">
        <v>5679</v>
      </c>
      <c r="AA3" s="5" t="s">
        <v>54</v>
      </c>
      <c r="AB3" s="5" t="s">
        <v>727</v>
      </c>
      <c r="AC3" s="5"/>
      <c r="AD3" s="5" t="s">
        <v>38</v>
      </c>
      <c r="AE3" s="45" t="s">
        <v>41</v>
      </c>
      <c r="AF3" s="8" t="s">
        <v>5680</v>
      </c>
      <c r="AG3" s="12" t="s">
        <v>46</v>
      </c>
    </row>
    <row r="4" spans="1:36" ht="72.5">
      <c r="B4" s="1" t="s">
        <v>44</v>
      </c>
      <c r="C4" s="4" t="s">
        <v>2637</v>
      </c>
      <c r="D4" s="31" t="s">
        <v>32</v>
      </c>
      <c r="E4" s="31"/>
      <c r="F4" s="31"/>
      <c r="G4" s="31"/>
      <c r="H4" s="5"/>
      <c r="I4" s="5" t="s">
        <v>34</v>
      </c>
      <c r="J4" s="8" t="s">
        <v>2638</v>
      </c>
      <c r="K4" s="8"/>
      <c r="L4" s="5" t="e">
        <f>IF(OR(V4=#REF!,V4=#REF!,V4=#REF!,V4=#REF!,V4=#REF!,V4=#REF!,V4=#REF!,V4=#REF!),12,IF(OR(V4=#REF!,V4=#REF!,V4=#REF!,V4=#REF!,V4=#REF!,V4=#REF!,V4=#REF!),3,IF(V4=#REF!,1,IF(V4=#REF!,18,IF(OR(V4=#REF!,V4=#REF!,V4=#REF!,V4=#REF!,V4=#REF!),14,"Invalid proposed procurement method")))))</f>
        <v>#REF!</v>
      </c>
      <c r="M4" s="199" t="str">
        <f>IFERROR(EDATE($N4,-3),"Invalid procurement method or date entered")</f>
        <v>Invalid procurement method or date entered</v>
      </c>
      <c r="N4" s="199" t="str">
        <f>IFERROR(EDATE(O4,-L4),"Invalid procurement method or date entered")</f>
        <v>Invalid procurement method or date entered</v>
      </c>
      <c r="O4" s="199">
        <v>44713</v>
      </c>
      <c r="P4" s="5">
        <v>48</v>
      </c>
      <c r="Q4" s="25" t="s">
        <v>2511</v>
      </c>
      <c r="R4" s="18">
        <v>2400000</v>
      </c>
      <c r="S4" s="209"/>
      <c r="T4" s="41">
        <v>600000</v>
      </c>
      <c r="U4" s="1814"/>
      <c r="V4" s="125" t="s">
        <v>130</v>
      </c>
      <c r="W4" s="52" t="s">
        <v>45</v>
      </c>
      <c r="X4" s="48" t="s">
        <v>45</v>
      </c>
      <c r="Y4" s="48"/>
      <c r="Z4" s="5" t="s">
        <v>388</v>
      </c>
      <c r="AA4" s="5" t="s">
        <v>45</v>
      </c>
      <c r="AB4" s="5" t="s">
        <v>115</v>
      </c>
      <c r="AC4" s="5"/>
      <c r="AD4" s="5" t="s">
        <v>70</v>
      </c>
      <c r="AE4" s="199"/>
      <c r="AF4" s="36" t="s">
        <v>5681</v>
      </c>
      <c r="AG4" s="20" t="s">
        <v>3146</v>
      </c>
    </row>
    <row r="5" spans="1:36" ht="58">
      <c r="B5" s="1" t="s">
        <v>44</v>
      </c>
      <c r="C5" s="4" t="s">
        <v>3369</v>
      </c>
      <c r="D5" s="31" t="s">
        <v>57</v>
      </c>
      <c r="E5" s="31"/>
      <c r="F5" s="31"/>
      <c r="G5" s="31"/>
      <c r="H5" s="2751"/>
      <c r="I5" s="2763" t="s">
        <v>34</v>
      </c>
      <c r="J5" s="16" t="s">
        <v>339</v>
      </c>
      <c r="K5" s="16"/>
      <c r="L5" s="5" t="e">
        <f>IF(OR(V5=#REF!,V5=#REF!,V5=#REF!,V5=#REF!,V5=#REF!,V5=#REF!,V5=#REF!,V5=#REF!),12,IF(OR(V5=#REF!,V5=#REF!,V5=#REF!,V5=#REF!,V5=#REF!,V5=#REF!,V5=#REF!),3,IF(V5=#REF!,1,IF(V5=#REF!,18,IF(OR(V5=#REF!,V5=#REF!,V5=#REF!,V5=#REF!,V5=#REF!),14,"Invalid proposed procurement method")))))</f>
        <v>#REF!</v>
      </c>
      <c r="M5" s="199">
        <v>44197</v>
      </c>
      <c r="N5" s="199">
        <v>44419</v>
      </c>
      <c r="O5" s="2764">
        <v>44419</v>
      </c>
      <c r="P5" s="2763">
        <v>36</v>
      </c>
      <c r="Q5" s="2753" t="s">
        <v>1891</v>
      </c>
      <c r="R5" s="18">
        <v>45400</v>
      </c>
      <c r="S5" s="18"/>
      <c r="T5" s="2845" t="s">
        <v>45</v>
      </c>
      <c r="U5" s="2845"/>
      <c r="V5" s="2751" t="s">
        <v>130</v>
      </c>
      <c r="W5" s="9" t="s">
        <v>38</v>
      </c>
      <c r="X5" s="15" t="s">
        <v>67</v>
      </c>
      <c r="Y5" s="15"/>
      <c r="Z5" s="2751" t="s">
        <v>2768</v>
      </c>
      <c r="AA5" s="5" t="s">
        <v>39</v>
      </c>
      <c r="AB5" s="5" t="s">
        <v>40</v>
      </c>
      <c r="AC5" s="5"/>
      <c r="AD5" s="5" t="s">
        <v>70</v>
      </c>
      <c r="AE5" s="199">
        <v>44257</v>
      </c>
      <c r="AF5" s="2758" t="s">
        <v>5682</v>
      </c>
      <c r="AG5" s="31" t="s">
        <v>164</v>
      </c>
    </row>
    <row r="6" spans="1:36" ht="72.5">
      <c r="B6" s="1" t="s">
        <v>44</v>
      </c>
      <c r="C6" s="4"/>
      <c r="D6" s="31" t="s">
        <v>32</v>
      </c>
      <c r="E6" s="31"/>
      <c r="F6" s="31"/>
      <c r="G6" s="31"/>
      <c r="H6" s="5"/>
      <c r="I6" s="5" t="s">
        <v>47</v>
      </c>
      <c r="J6" s="16" t="s">
        <v>1842</v>
      </c>
      <c r="K6" s="16"/>
      <c r="L6" s="5" t="e">
        <f>IF(OR(V6=#REF!,V6=#REF!,V6=#REF!,V6=#REF!,V6=#REF!,V6=#REF!,V6=#REF!,V6=#REF!),12,IF(OR(V6=#REF!,V6=#REF!,V6=#REF!,V6=#REF!,V6=#REF!,V6=#REF!,V6=#REF!),3,IF(V6=#REF!,1,IF(V6=#REF!,18,IF(OR(V6=#REF!,V6=#REF!,V6=#REF!,V6=#REF!,V6=#REF!),14,"Invalid proposed procurement method")))))</f>
        <v>#REF!</v>
      </c>
      <c r="M6" s="199" t="str">
        <f t="shared" ref="M6:M12" si="0">IFERROR(EDATE($N6,-3),"Invalid procurement method or date entered")</f>
        <v>Invalid procurement method or date entered</v>
      </c>
      <c r="N6" s="199" t="str">
        <f t="shared" ref="N6:N49" si="1">IFERROR(EDATE(O6,-L6),"Invalid procurement method or date entered")</f>
        <v>Invalid procurement method or date entered</v>
      </c>
      <c r="O6" s="14">
        <v>44197</v>
      </c>
      <c r="P6" s="12">
        <v>12</v>
      </c>
      <c r="Q6" s="7" t="s">
        <v>50</v>
      </c>
      <c r="R6" s="18">
        <v>3530.4</v>
      </c>
      <c r="S6" s="18"/>
      <c r="T6" s="18">
        <v>3530</v>
      </c>
      <c r="U6" s="18"/>
      <c r="V6" s="5" t="s">
        <v>37</v>
      </c>
      <c r="W6" s="5" t="s">
        <v>38</v>
      </c>
      <c r="X6" s="12" t="s">
        <v>67</v>
      </c>
      <c r="Y6" s="12"/>
      <c r="Z6" s="5" t="s">
        <v>3035</v>
      </c>
      <c r="AA6" s="5" t="s">
        <v>543</v>
      </c>
      <c r="AB6" s="5" t="s">
        <v>40</v>
      </c>
      <c r="AC6" s="5"/>
      <c r="AD6" s="5" t="s">
        <v>70</v>
      </c>
      <c r="AE6" s="199">
        <v>44267</v>
      </c>
      <c r="AF6" s="6" t="s">
        <v>5683</v>
      </c>
      <c r="AG6" s="31" t="s">
        <v>96</v>
      </c>
    </row>
    <row r="7" spans="1:36" ht="29">
      <c r="A7" s="2317" t="s">
        <v>4941</v>
      </c>
      <c r="B7" s="2317"/>
      <c r="C7" s="2318" t="s">
        <v>5684</v>
      </c>
      <c r="D7" s="2318"/>
      <c r="E7" s="2758" t="s">
        <v>4942</v>
      </c>
      <c r="F7" s="2758" t="s">
        <v>1067</v>
      </c>
      <c r="G7" s="2758" t="s">
        <v>862</v>
      </c>
      <c r="H7" s="2318" t="s">
        <v>661</v>
      </c>
      <c r="I7" s="2758" t="s">
        <v>47</v>
      </c>
      <c r="J7" s="2318" t="s">
        <v>5685</v>
      </c>
      <c r="K7" s="2318"/>
      <c r="L7" s="2319">
        <v>45322</v>
      </c>
      <c r="M7" s="2337">
        <v>48</v>
      </c>
      <c r="N7" s="2320" t="s">
        <v>3071</v>
      </c>
      <c r="O7" s="463">
        <v>3951</v>
      </c>
      <c r="P7" s="2320"/>
      <c r="Q7" s="2320"/>
      <c r="R7" s="2320"/>
      <c r="S7" s="2320"/>
      <c r="T7" s="2781"/>
      <c r="U7" s="2781"/>
      <c r="V7" s="2320"/>
      <c r="W7" s="2318" t="s">
        <v>4951</v>
      </c>
      <c r="X7" s="2318"/>
      <c r="Y7" s="54"/>
      <c r="Z7" s="54"/>
      <c r="AA7" s="463">
        <v>3951</v>
      </c>
      <c r="AB7" s="463"/>
      <c r="AD7" s="2781"/>
      <c r="AE7" s="2781"/>
      <c r="AF7" s="2781"/>
      <c r="AG7" s="2781"/>
      <c r="AH7" s="2781"/>
    </row>
    <row r="8" spans="1:36" s="56" customFormat="1" ht="43.4" customHeight="1">
      <c r="B8" s="1" t="s">
        <v>44</v>
      </c>
      <c r="C8" s="4" t="s">
        <v>45</v>
      </c>
      <c r="D8" s="2784" t="s">
        <v>122</v>
      </c>
      <c r="E8" s="2784"/>
      <c r="F8" s="2784"/>
      <c r="G8" s="2784"/>
      <c r="H8" s="2755"/>
      <c r="I8" s="2763" t="s">
        <v>47</v>
      </c>
      <c r="J8" s="2755" t="s">
        <v>5686</v>
      </c>
      <c r="K8" s="2755"/>
      <c r="L8" s="5" t="e">
        <f>IF(OR(V8=#REF!,V8=#REF!,V8=#REF!,V8=#REF!,V8=#REF!,V8=#REF!,V8=#REF!,V8=#REF!),12,IF(OR(V8=#REF!,V8=#REF!,V8=#REF!,V8=#REF!,V8=#REF!,V8=#REF!,V8=#REF!),3,IF(V8=#REF!,1,IF(V8=#REF!,18,IF(OR(V8=#REF!,V8=#REF!,V8=#REF!,V8=#REF!,V8=#REF!),14,"Invalid proposed procurement method")))))</f>
        <v>#REF!</v>
      </c>
      <c r="M8" s="199" t="str">
        <f t="shared" si="0"/>
        <v>Invalid procurement method or date entered</v>
      </c>
      <c r="N8" s="199" t="str">
        <f t="shared" si="1"/>
        <v>Invalid procurement method or date entered</v>
      </c>
      <c r="O8" s="2764">
        <v>44136</v>
      </c>
      <c r="P8" s="2763">
        <v>12</v>
      </c>
      <c r="Q8" s="2837">
        <v>12</v>
      </c>
      <c r="R8" s="2826">
        <v>27000</v>
      </c>
      <c r="S8" s="2933"/>
      <c r="T8" s="2763"/>
      <c r="U8" s="2838"/>
      <c r="V8" s="2797" t="s">
        <v>51</v>
      </c>
      <c r="W8" s="2763" t="s">
        <v>38</v>
      </c>
      <c r="X8" s="2763" t="s">
        <v>67</v>
      </c>
      <c r="Y8" s="2763"/>
      <c r="Z8" s="2763" t="s">
        <v>3524</v>
      </c>
      <c r="AA8" s="2763" t="s">
        <v>54</v>
      </c>
      <c r="AB8" s="2763" t="s">
        <v>727</v>
      </c>
      <c r="AC8" s="5"/>
      <c r="AD8" s="26" t="s">
        <v>70</v>
      </c>
      <c r="AE8" s="2764">
        <v>44071</v>
      </c>
      <c r="AF8" s="2875" t="s">
        <v>5687</v>
      </c>
      <c r="AG8" s="2838" t="s">
        <v>506</v>
      </c>
    </row>
    <row r="9" spans="1:36" ht="36.65" customHeight="1">
      <c r="B9" s="1" t="s">
        <v>44</v>
      </c>
      <c r="C9" s="4" t="s">
        <v>45</v>
      </c>
      <c r="D9" s="2784" t="s">
        <v>122</v>
      </c>
      <c r="E9" s="2784"/>
      <c r="F9" s="2784"/>
      <c r="G9" s="2784"/>
      <c r="H9" s="2755"/>
      <c r="I9" s="2763" t="s">
        <v>47</v>
      </c>
      <c r="J9" s="2755" t="s">
        <v>5688</v>
      </c>
      <c r="K9" s="2755"/>
      <c r="L9" s="5" t="e">
        <f>IF(OR(V9=#REF!,V9=#REF!,V9=#REF!,V9=#REF!,V9=#REF!,V9=#REF!,V9=#REF!,V9=#REF!),12,IF(OR(V9=#REF!,V9=#REF!,V9=#REF!,V9=#REF!,V9=#REF!,V9=#REF!,V9=#REF!),3,IF(V9=#REF!,1,IF(V9=#REF!,18,IF(OR(V9=#REF!,V9=#REF!,V9=#REF!,V9=#REF!,V9=#REF!),14,"Invalid proposed procurement method")))))</f>
        <v>#REF!</v>
      </c>
      <c r="M9" s="199" t="str">
        <f t="shared" si="0"/>
        <v>Invalid procurement method or date entered</v>
      </c>
      <c r="N9" s="199" t="str">
        <f t="shared" si="1"/>
        <v>Invalid procurement method or date entered</v>
      </c>
      <c r="O9" s="2764">
        <v>44105</v>
      </c>
      <c r="P9" s="2763">
        <v>3</v>
      </c>
      <c r="Q9" s="2763">
        <v>3</v>
      </c>
      <c r="R9" s="2826">
        <v>3000</v>
      </c>
      <c r="S9" s="2933"/>
      <c r="T9" s="2765"/>
      <c r="U9" s="2765"/>
      <c r="V9" s="2797" t="s">
        <v>37</v>
      </c>
      <c r="W9" s="2763" t="s">
        <v>38</v>
      </c>
      <c r="X9" s="2763" t="s">
        <v>67</v>
      </c>
      <c r="Y9" s="2763"/>
      <c r="Z9" s="2763" t="s">
        <v>3524</v>
      </c>
      <c r="AA9" s="2763" t="s">
        <v>54</v>
      </c>
      <c r="AB9" s="2763" t="s">
        <v>727</v>
      </c>
      <c r="AC9" s="5"/>
      <c r="AD9" s="5" t="s">
        <v>70</v>
      </c>
      <c r="AE9" s="2764">
        <v>44071</v>
      </c>
      <c r="AF9" s="2875" t="s">
        <v>5689</v>
      </c>
      <c r="AG9" s="2838" t="s">
        <v>506</v>
      </c>
    </row>
    <row r="10" spans="1:36" s="56" customFormat="1" ht="72.5">
      <c r="B10" s="1" t="s">
        <v>44</v>
      </c>
      <c r="C10" s="4" t="s">
        <v>45</v>
      </c>
      <c r="D10" s="9" t="s">
        <v>32</v>
      </c>
      <c r="E10" s="9"/>
      <c r="F10" s="9"/>
      <c r="G10" s="9"/>
      <c r="H10" s="5"/>
      <c r="I10" s="5" t="s">
        <v>246</v>
      </c>
      <c r="J10" s="16" t="s">
        <v>2899</v>
      </c>
      <c r="K10" s="16"/>
      <c r="L10" s="5" t="e">
        <f>IF(OR(V10=#REF!,V10=#REF!,V10=#REF!,V10=#REF!,V10=#REF!,V10=#REF!,V10=#REF!,V10=#REF!),12,IF(OR(V10=#REF!,V10=#REF!,V10=#REF!,V10=#REF!,V10=#REF!,V10=#REF!,V10=#REF!),3,IF(V10=#REF!,1,IF(V10=#REF!,18,IF(OR(V10=#REF!,V10=#REF!,V10=#REF!,V10=#REF!,V10=#REF!),14,"Invalid proposed procurement method")))))</f>
        <v>#REF!</v>
      </c>
      <c r="M10" s="199" t="str">
        <f t="shared" si="0"/>
        <v>Invalid procurement method or date entered</v>
      </c>
      <c r="N10" s="199" t="str">
        <f t="shared" si="1"/>
        <v>Invalid procurement method or date entered</v>
      </c>
      <c r="O10" s="182">
        <v>44470</v>
      </c>
      <c r="P10" s="12" t="s">
        <v>45</v>
      </c>
      <c r="Q10" s="12" t="s">
        <v>45</v>
      </c>
      <c r="R10" s="18" t="s">
        <v>45</v>
      </c>
      <c r="S10" s="18"/>
      <c r="T10" s="40">
        <v>2250</v>
      </c>
      <c r="U10" s="40"/>
      <c r="V10" s="5" t="s">
        <v>176</v>
      </c>
      <c r="W10" s="5" t="s">
        <v>38</v>
      </c>
      <c r="X10" s="12" t="s">
        <v>67</v>
      </c>
      <c r="Y10" s="12"/>
      <c r="Z10" s="46" t="s">
        <v>287</v>
      </c>
      <c r="AA10" s="5" t="s">
        <v>289</v>
      </c>
      <c r="AB10" s="5" t="s">
        <v>115</v>
      </c>
      <c r="AC10" s="5"/>
      <c r="AD10" s="5" t="s">
        <v>70</v>
      </c>
      <c r="AE10" s="199"/>
      <c r="AF10" s="87" t="s">
        <v>5690</v>
      </c>
      <c r="AG10" s="31" t="s">
        <v>240</v>
      </c>
    </row>
    <row r="11" spans="1:36" s="1" customFormat="1" ht="130.5">
      <c r="B11" s="1" t="s">
        <v>44</v>
      </c>
      <c r="C11" s="4" t="s">
        <v>45</v>
      </c>
      <c r="D11" s="32" t="s">
        <v>32</v>
      </c>
      <c r="E11" s="32"/>
      <c r="F11" s="32"/>
      <c r="G11" s="32"/>
      <c r="H11" s="5"/>
      <c r="I11" s="5" t="s">
        <v>34</v>
      </c>
      <c r="J11" s="16" t="s">
        <v>1976</v>
      </c>
      <c r="K11" s="16"/>
      <c r="L11" s="5" t="e">
        <f>IF(OR(V11=#REF!,V11=#REF!,V11=#REF!,V11=#REF!,V11=#REF!,V11=#REF!,V11=#REF!,V11=#REF!),12,IF(OR(V11=#REF!,V11=#REF!,V11=#REF!,V11=#REF!,V11=#REF!,V11=#REF!,V11=#REF!),3,IF(V11=#REF!,1,IF(V11=#REF!,18,IF(OR(V11=#REF!,V11=#REF!,V11=#REF!,V11=#REF!,V11=#REF!),14,"Invalid proposed procurement method")))))</f>
        <v>#REF!</v>
      </c>
      <c r="M11" s="199" t="str">
        <f t="shared" si="0"/>
        <v>Invalid procurement method or date entered</v>
      </c>
      <c r="N11" s="199" t="str">
        <f t="shared" si="1"/>
        <v>Invalid procurement method or date entered</v>
      </c>
      <c r="O11" s="182">
        <v>44287</v>
      </c>
      <c r="P11" s="12">
        <v>60</v>
      </c>
      <c r="Q11" s="5" t="s">
        <v>2375</v>
      </c>
      <c r="R11" s="18">
        <v>25000</v>
      </c>
      <c r="S11" s="209"/>
      <c r="T11" s="41"/>
      <c r="U11" s="1814"/>
      <c r="V11" s="31" t="s">
        <v>130</v>
      </c>
      <c r="W11" s="9" t="s">
        <v>38</v>
      </c>
      <c r="X11" s="15" t="s">
        <v>67</v>
      </c>
      <c r="Y11" s="15"/>
      <c r="Z11" s="5" t="s">
        <v>1977</v>
      </c>
      <c r="AA11" s="5" t="s">
        <v>39</v>
      </c>
      <c r="AB11" s="5" t="s">
        <v>40</v>
      </c>
      <c r="AC11" s="5"/>
      <c r="AD11" s="5" t="s">
        <v>70</v>
      </c>
      <c r="AE11" s="199">
        <v>44278</v>
      </c>
      <c r="AF11" s="8" t="s">
        <v>5691</v>
      </c>
      <c r="AG11" s="20" t="s">
        <v>127</v>
      </c>
    </row>
    <row r="12" spans="1:36" s="1" customFormat="1" ht="129.65" customHeight="1">
      <c r="B12" s="1" t="s">
        <v>44</v>
      </c>
      <c r="C12" s="4" t="s">
        <v>45</v>
      </c>
      <c r="D12" s="32" t="s">
        <v>32</v>
      </c>
      <c r="E12" s="32"/>
      <c r="F12" s="32"/>
      <c r="G12" s="32"/>
      <c r="H12" s="5"/>
      <c r="I12" s="12" t="s">
        <v>47</v>
      </c>
      <c r="J12" s="8" t="s">
        <v>5692</v>
      </c>
      <c r="K12" s="8"/>
      <c r="L12" s="5" t="e">
        <f>IF(OR(V12=#REF!,V12=#REF!,V12=#REF!,V12=#REF!,V12=#REF!,V12=#REF!,V12=#REF!,V12=#REF!),12,IF(OR(V12=#REF!,V12=#REF!,V12=#REF!,V12=#REF!,V12=#REF!,V12=#REF!,V12=#REF!),3,IF(V12=#REF!,1,IF(V12=#REF!,18,IF(OR(V12=#REF!,V12=#REF!,V12=#REF!,V12=#REF!,V12=#REF!),14,"Invalid proposed procurement method")))))</f>
        <v>#REF!</v>
      </c>
      <c r="M12" s="199" t="str">
        <f t="shared" si="0"/>
        <v>Invalid procurement method or date entered</v>
      </c>
      <c r="N12" s="199" t="str">
        <f t="shared" si="1"/>
        <v>Invalid procurement method or date entered</v>
      </c>
      <c r="O12" s="199">
        <v>44404</v>
      </c>
      <c r="P12" s="5">
        <v>48</v>
      </c>
      <c r="Q12" s="25" t="s">
        <v>215</v>
      </c>
      <c r="R12" s="18">
        <f>30000*4</f>
        <v>120000</v>
      </c>
      <c r="S12" s="18"/>
      <c r="T12" s="41" t="s">
        <v>45</v>
      </c>
      <c r="U12" s="41"/>
      <c r="V12" s="5" t="s">
        <v>158</v>
      </c>
      <c r="W12" s="41" t="s">
        <v>38</v>
      </c>
      <c r="X12" s="12" t="s">
        <v>71</v>
      </c>
      <c r="Y12" s="12"/>
      <c r="Z12" s="5" t="s">
        <v>5693</v>
      </c>
      <c r="AA12" s="5" t="s">
        <v>715</v>
      </c>
      <c r="AB12" s="52" t="s">
        <v>40</v>
      </c>
      <c r="AC12" s="5"/>
      <c r="AD12" s="5" t="s">
        <v>70</v>
      </c>
      <c r="AE12" s="199">
        <v>44280</v>
      </c>
      <c r="AF12" s="84" t="s">
        <v>5694</v>
      </c>
      <c r="AG12" s="31" t="s">
        <v>96</v>
      </c>
    </row>
    <row r="13" spans="1:36" s="1" customFormat="1" ht="145">
      <c r="B13" s="1" t="s">
        <v>44</v>
      </c>
      <c r="C13" s="2755" t="s">
        <v>45</v>
      </c>
      <c r="D13" s="31" t="s">
        <v>57</v>
      </c>
      <c r="E13" s="31"/>
      <c r="F13" s="31"/>
      <c r="G13" s="31"/>
      <c r="H13" s="5"/>
      <c r="I13" s="5" t="s">
        <v>47</v>
      </c>
      <c r="J13" s="16" t="s">
        <v>5695</v>
      </c>
      <c r="K13" s="16"/>
      <c r="L13" s="5" t="e">
        <f>IF(OR(V13=#REF!,V13=#REF!,V13=#REF!,V13=#REF!,V13=#REF!,V13=#REF!,V13=#REF!,V13=#REF!),12,IF(OR(V13=#REF!,V13=#REF!,V13=#REF!,V13=#REF!,V13=#REF!,V13=#REF!,V13=#REF!),3,IF(V13=#REF!,1,IF(V13=#REF!,18,IF(OR(V13=#REF!,V13=#REF!,V13=#REF!,V13=#REF!,V13=#REF!),14,"Invalid proposed procurement method")))))</f>
        <v>#REF!</v>
      </c>
      <c r="M13" s="199" t="str">
        <f>IFERROR(EDATE($N13,-3),"Invalid procurement method or date entered")</f>
        <v>Invalid procurement method or date entered</v>
      </c>
      <c r="N13" s="199" t="str">
        <f t="shared" si="1"/>
        <v>Invalid procurement method or date entered</v>
      </c>
      <c r="O13" s="182">
        <v>44348</v>
      </c>
      <c r="P13" s="12" t="s">
        <v>45</v>
      </c>
      <c r="Q13" s="7" t="s">
        <v>45</v>
      </c>
      <c r="R13" s="18" t="s">
        <v>45</v>
      </c>
      <c r="S13" s="18"/>
      <c r="T13" s="41" t="s">
        <v>500</v>
      </c>
      <c r="U13" s="41"/>
      <c r="V13" s="2751" t="s">
        <v>37</v>
      </c>
      <c r="W13" s="5" t="s">
        <v>38</v>
      </c>
      <c r="X13" s="12" t="s">
        <v>67</v>
      </c>
      <c r="Y13" s="12"/>
      <c r="Z13" s="5" t="s">
        <v>798</v>
      </c>
      <c r="AA13" s="5" t="s">
        <v>86</v>
      </c>
      <c r="AB13" s="5" t="s">
        <v>40</v>
      </c>
      <c r="AC13" s="5"/>
      <c r="AD13" s="5" t="s">
        <v>70</v>
      </c>
      <c r="AE13" s="199">
        <v>44305</v>
      </c>
      <c r="AF13" s="8" t="s">
        <v>5696</v>
      </c>
      <c r="AG13" s="20" t="s">
        <v>165</v>
      </c>
    </row>
    <row r="14" spans="1:36" ht="72.5">
      <c r="B14" s="1" t="s">
        <v>44</v>
      </c>
      <c r="C14" s="206" t="s">
        <v>2842</v>
      </c>
      <c r="D14" s="32" t="s">
        <v>32</v>
      </c>
      <c r="E14" s="32"/>
      <c r="F14" s="32"/>
      <c r="G14" s="32"/>
      <c r="H14" s="5"/>
      <c r="I14" s="5" t="s">
        <v>34</v>
      </c>
      <c r="J14" s="16" t="s">
        <v>2209</v>
      </c>
      <c r="K14" s="16"/>
      <c r="L14" s="5">
        <v>3</v>
      </c>
      <c r="M14" s="182">
        <v>44136</v>
      </c>
      <c r="N14" s="199">
        <f t="shared" si="1"/>
        <v>44374</v>
      </c>
      <c r="O14" s="182">
        <v>44466</v>
      </c>
      <c r="P14" s="12">
        <v>60</v>
      </c>
      <c r="Q14" s="25" t="s">
        <v>5697</v>
      </c>
      <c r="R14" s="18">
        <v>993867</v>
      </c>
      <c r="S14" s="209"/>
      <c r="T14" s="2845">
        <v>198773</v>
      </c>
      <c r="U14" s="2934"/>
      <c r="V14" s="31" t="s">
        <v>130</v>
      </c>
      <c r="W14" s="52" t="s">
        <v>70</v>
      </c>
      <c r="X14" s="48" t="s">
        <v>45</v>
      </c>
      <c r="Y14" s="48"/>
      <c r="Z14" s="5" t="s">
        <v>2211</v>
      </c>
      <c r="AA14" s="2751" t="s">
        <v>39</v>
      </c>
      <c r="AB14" s="5" t="s">
        <v>727</v>
      </c>
      <c r="AC14" s="5" t="s">
        <v>69</v>
      </c>
      <c r="AD14" s="5" t="s">
        <v>38</v>
      </c>
      <c r="AE14" s="199">
        <v>44365</v>
      </c>
      <c r="AF14" s="33" t="s">
        <v>5698</v>
      </c>
      <c r="AG14" s="31" t="s">
        <v>240</v>
      </c>
    </row>
    <row r="15" spans="1:36" s="56" customFormat="1" ht="73.5" customHeight="1">
      <c r="B15" s="1" t="s">
        <v>44</v>
      </c>
      <c r="C15" s="4" t="s">
        <v>45</v>
      </c>
      <c r="D15" s="32" t="s">
        <v>32</v>
      </c>
      <c r="E15" s="32"/>
      <c r="F15" s="32"/>
      <c r="G15" s="32"/>
      <c r="H15" s="5"/>
      <c r="I15" s="5" t="s">
        <v>47</v>
      </c>
      <c r="J15" s="114" t="s">
        <v>2215</v>
      </c>
      <c r="K15" s="114"/>
      <c r="L15" s="5" t="e">
        <f ca="1">IF(Q25OR(V15=#REF!,V15=#REF!,V15=#REF!,V15=#REF!,V15=#REF!,V15=#REF!,V15=#REF!,V15=#REF!),12,IF(OR(V15=#REF!,V15=#REF!,V15=#REF!,V15=#REF!,V15=#REF!,V15=#REF!,V15=#REF!),3,IF(V15=#REF!,1,IF(V15=#REF!,18,IF(OR(V15=#REF!,V15=#REF!,V15=#REF!,V15=#REF!,V15=#REF!),14,"Invalid proposed procurement method")))))</f>
        <v>#NAME?</v>
      </c>
      <c r="M15" s="199" t="str">
        <f t="shared" ref="M15:M20" ca="1" si="2">IFERROR(EDATE($N15,-3),"Invalid procurement method or date entered")</f>
        <v>Invalid procurement method or date entered</v>
      </c>
      <c r="N15" s="199" t="str">
        <f t="shared" ca="1" si="1"/>
        <v>Invalid procurement method or date entered</v>
      </c>
      <c r="O15" s="182">
        <v>44409</v>
      </c>
      <c r="P15" s="12">
        <v>36</v>
      </c>
      <c r="Q15" s="12">
        <v>36</v>
      </c>
      <c r="R15" s="18">
        <v>24800</v>
      </c>
      <c r="S15" s="18"/>
      <c r="T15" s="41">
        <v>8266</v>
      </c>
      <c r="U15" s="41"/>
      <c r="V15" s="5" t="s">
        <v>176</v>
      </c>
      <c r="W15" s="9" t="s">
        <v>38</v>
      </c>
      <c r="X15" s="15" t="s">
        <v>67</v>
      </c>
      <c r="Y15" s="15"/>
      <c r="Z15" s="5" t="s">
        <v>5699</v>
      </c>
      <c r="AA15" s="5" t="s">
        <v>162</v>
      </c>
      <c r="AB15" s="5" t="s">
        <v>727</v>
      </c>
      <c r="AC15" s="5" t="s">
        <v>154</v>
      </c>
      <c r="AD15" s="5" t="s">
        <v>70</v>
      </c>
      <c r="AE15" s="199">
        <v>44266</v>
      </c>
      <c r="AF15" s="8" t="s">
        <v>5700</v>
      </c>
      <c r="AG15" s="31" t="s">
        <v>96</v>
      </c>
    </row>
    <row r="16" spans="1:36" s="295" customFormat="1" ht="29.9" customHeight="1">
      <c r="A16" s="2773"/>
      <c r="B16" s="1" t="s">
        <v>44</v>
      </c>
      <c r="C16" s="4"/>
      <c r="D16" s="32" t="s">
        <v>57</v>
      </c>
      <c r="E16" s="32"/>
      <c r="F16" s="32"/>
      <c r="G16" s="32"/>
      <c r="H16" s="5"/>
      <c r="I16" s="5" t="s">
        <v>47</v>
      </c>
      <c r="J16" s="16" t="s">
        <v>5701</v>
      </c>
      <c r="K16" s="16"/>
      <c r="L16" s="5" t="e">
        <f>IF(OR(V16=#REF!,V16=#REF!,V16=#REF!,V16=#REF!,V16=#REF!,V16=#REF!,V16=#REF!,V16=#REF!),12,IF(OR(V16=#REF!,V16=#REF!,V16=#REF!,V16=#REF!,V16=#REF!,V16=#REF!,V16=#REF!),3,IF(V16=#REF!,1,IF(V16=#REF!,18,IF(OR(V16=#REF!,V16=#REF!,V16=#REF!,V16=#REF!,V16=#REF!),14,"Invalid proposed procurement method")))))</f>
        <v>#REF!</v>
      </c>
      <c r="M16" s="199" t="str">
        <f t="shared" si="2"/>
        <v>Invalid procurement method or date entered</v>
      </c>
      <c r="N16" s="199" t="str">
        <f t="shared" si="1"/>
        <v>Invalid procurement method or date entered</v>
      </c>
      <c r="O16" s="199">
        <v>44317</v>
      </c>
      <c r="P16" s="12" t="s">
        <v>45</v>
      </c>
      <c r="Q16" s="27" t="s">
        <v>45</v>
      </c>
      <c r="R16" s="18">
        <v>60000</v>
      </c>
      <c r="S16" s="209"/>
      <c r="T16" s="44">
        <v>60000</v>
      </c>
      <c r="U16" s="2514"/>
      <c r="V16" s="31" t="s">
        <v>51</v>
      </c>
      <c r="W16" s="9" t="s">
        <v>38</v>
      </c>
      <c r="X16" s="15" t="s">
        <v>67</v>
      </c>
      <c r="Y16" s="15"/>
      <c r="Z16" s="5" t="s">
        <v>340</v>
      </c>
      <c r="AA16" s="5" t="s">
        <v>162</v>
      </c>
      <c r="AB16" s="5" t="s">
        <v>727</v>
      </c>
      <c r="AC16" s="5" t="s">
        <v>154</v>
      </c>
      <c r="AD16" s="5" t="s">
        <v>70</v>
      </c>
      <c r="AE16" s="199">
        <v>44307</v>
      </c>
      <c r="AF16" s="8" t="s">
        <v>5702</v>
      </c>
      <c r="AG16" s="31" t="s">
        <v>96</v>
      </c>
      <c r="AH16" s="2773"/>
      <c r="AI16" s="2773"/>
      <c r="AJ16" s="2773"/>
    </row>
    <row r="17" spans="2:36" s="3" customFormat="1" ht="58">
      <c r="B17" s="1" t="s">
        <v>44</v>
      </c>
      <c r="C17" s="4" t="s">
        <v>45</v>
      </c>
      <c r="D17" s="32" t="s">
        <v>32</v>
      </c>
      <c r="E17" s="32"/>
      <c r="F17" s="32"/>
      <c r="G17" s="32"/>
      <c r="H17" s="5"/>
      <c r="I17" s="5" t="s">
        <v>47</v>
      </c>
      <c r="J17" s="16" t="s">
        <v>5703</v>
      </c>
      <c r="K17" s="16"/>
      <c r="L17" s="5">
        <v>0</v>
      </c>
      <c r="M17" s="199">
        <f t="shared" si="2"/>
        <v>44470</v>
      </c>
      <c r="N17" s="199">
        <f t="shared" si="1"/>
        <v>44562</v>
      </c>
      <c r="O17" s="199">
        <v>44562</v>
      </c>
      <c r="P17" s="12" t="s">
        <v>45</v>
      </c>
      <c r="Q17" s="27" t="s">
        <v>45</v>
      </c>
      <c r="R17" s="18">
        <v>3025000</v>
      </c>
      <c r="S17" s="209"/>
      <c r="T17" s="44"/>
      <c r="U17" s="2514"/>
      <c r="V17" s="31" t="s">
        <v>45</v>
      </c>
      <c r="W17" s="52" t="s">
        <v>45</v>
      </c>
      <c r="X17" s="48" t="s">
        <v>45</v>
      </c>
      <c r="Y17" s="48"/>
      <c r="Z17" s="5" t="s">
        <v>852</v>
      </c>
      <c r="AA17" s="5" t="s">
        <v>45</v>
      </c>
      <c r="AB17" s="5" t="s">
        <v>115</v>
      </c>
      <c r="AC17" s="5" t="s">
        <v>234</v>
      </c>
      <c r="AD17" s="5" t="s">
        <v>38</v>
      </c>
      <c r="AE17" s="199"/>
      <c r="AF17" s="8" t="s">
        <v>5704</v>
      </c>
      <c r="AG17" s="31" t="s">
        <v>96</v>
      </c>
    </row>
    <row r="18" spans="2:36" s="297" customFormat="1" ht="29">
      <c r="B18" s="1" t="s">
        <v>44</v>
      </c>
      <c r="C18" s="4" t="s">
        <v>45</v>
      </c>
      <c r="D18" s="9" t="s">
        <v>32</v>
      </c>
      <c r="E18" s="9"/>
      <c r="F18" s="9"/>
      <c r="G18" s="9"/>
      <c r="H18" s="5"/>
      <c r="I18" s="5" t="s">
        <v>47</v>
      </c>
      <c r="J18" s="16" t="s">
        <v>5705</v>
      </c>
      <c r="K18" s="16"/>
      <c r="L18" s="5">
        <v>0</v>
      </c>
      <c r="M18" s="199">
        <f t="shared" si="2"/>
        <v>44470</v>
      </c>
      <c r="N18" s="199">
        <f t="shared" si="1"/>
        <v>44562</v>
      </c>
      <c r="O18" s="199">
        <v>44562</v>
      </c>
      <c r="P18" s="12" t="s">
        <v>45</v>
      </c>
      <c r="Q18" s="12" t="s">
        <v>45</v>
      </c>
      <c r="R18" s="18">
        <v>3025000</v>
      </c>
      <c r="S18" s="18"/>
      <c r="T18" s="40">
        <v>4000</v>
      </c>
      <c r="U18" s="40"/>
      <c r="V18" s="5" t="s">
        <v>45</v>
      </c>
      <c r="W18" s="52" t="s">
        <v>45</v>
      </c>
      <c r="X18" s="48" t="s">
        <v>45</v>
      </c>
      <c r="Y18" s="48"/>
      <c r="Z18" s="5" t="s">
        <v>852</v>
      </c>
      <c r="AA18" s="5" t="s">
        <v>45</v>
      </c>
      <c r="AB18" s="5" t="s">
        <v>115</v>
      </c>
      <c r="AC18" s="5" t="s">
        <v>234</v>
      </c>
      <c r="AD18" s="5" t="s">
        <v>38</v>
      </c>
      <c r="AE18" s="199"/>
      <c r="AF18" s="8" t="s">
        <v>5704</v>
      </c>
      <c r="AG18" s="31" t="s">
        <v>96</v>
      </c>
      <c r="AH18" s="2824"/>
      <c r="AI18" s="2824"/>
      <c r="AJ18" s="2824"/>
    </row>
    <row r="19" spans="2:36" s="297" customFormat="1" ht="43.5">
      <c r="B19" s="1" t="s">
        <v>44</v>
      </c>
      <c r="C19" s="4" t="s">
        <v>45</v>
      </c>
      <c r="D19" s="9" t="s">
        <v>32</v>
      </c>
      <c r="E19" s="9"/>
      <c r="F19" s="9"/>
      <c r="G19" s="9"/>
      <c r="H19" s="5"/>
      <c r="I19" s="5" t="s">
        <v>47</v>
      </c>
      <c r="J19" s="16" t="s">
        <v>5706</v>
      </c>
      <c r="K19" s="16"/>
      <c r="L19" s="5">
        <v>0</v>
      </c>
      <c r="M19" s="199">
        <f t="shared" si="2"/>
        <v>44470</v>
      </c>
      <c r="N19" s="199">
        <f t="shared" si="1"/>
        <v>44562</v>
      </c>
      <c r="O19" s="199">
        <v>44562</v>
      </c>
      <c r="P19" s="12" t="s">
        <v>45</v>
      </c>
      <c r="Q19" s="12" t="s">
        <v>45</v>
      </c>
      <c r="R19" s="18">
        <v>3025000</v>
      </c>
      <c r="S19" s="18"/>
      <c r="T19" s="41">
        <v>88340</v>
      </c>
      <c r="U19" s="41"/>
      <c r="V19" s="12" t="s">
        <v>45</v>
      </c>
      <c r="W19" s="52" t="s">
        <v>45</v>
      </c>
      <c r="X19" s="48" t="s">
        <v>45</v>
      </c>
      <c r="Y19" s="48"/>
      <c r="Z19" s="5" t="s">
        <v>852</v>
      </c>
      <c r="AA19" s="5" t="s">
        <v>45</v>
      </c>
      <c r="AB19" s="5" t="s">
        <v>115</v>
      </c>
      <c r="AC19" s="5" t="s">
        <v>234</v>
      </c>
      <c r="AD19" s="5" t="s">
        <v>38</v>
      </c>
      <c r="AE19" s="199"/>
      <c r="AF19" s="8" t="s">
        <v>5704</v>
      </c>
      <c r="AG19" s="31" t="s">
        <v>96</v>
      </c>
      <c r="AH19" s="2824"/>
      <c r="AI19" s="2824"/>
      <c r="AJ19" s="2824"/>
    </row>
    <row r="20" spans="2:36" s="295" customFormat="1" ht="43.4" customHeight="1">
      <c r="B20" s="1" t="s">
        <v>44</v>
      </c>
      <c r="C20" s="2755" t="s">
        <v>45</v>
      </c>
      <c r="D20" s="32" t="s">
        <v>57</v>
      </c>
      <c r="E20" s="32"/>
      <c r="F20" s="32"/>
      <c r="G20" s="32"/>
      <c r="H20" s="9"/>
      <c r="I20" s="9" t="s">
        <v>47</v>
      </c>
      <c r="J20" s="8" t="s">
        <v>5707</v>
      </c>
      <c r="K20" s="8"/>
      <c r="L20" s="5" t="e">
        <f>IF(OR(V20=#REF!,V20=#REF!,V20=#REF!,V20=#REF!,V20=#REF!,V20=#REF!,V20=#REF!,V20=#REF!),12,IF(OR(V20=#REF!,V20=#REF!,V20=#REF!,V20=#REF!,V20=#REF!,V20=#REF!,V20=#REF!),3,IF(V20=#REF!,1,IF(V20=#REF!,18,IF(OR(V20=#REF!,V20=#REF!,V20=#REF!,V20=#REF!,V20=#REF!),14,"Invalid proposed procurement method")))))</f>
        <v>#REF!</v>
      </c>
      <c r="M20" s="199" t="str">
        <f t="shared" si="2"/>
        <v>Invalid procurement method or date entered</v>
      </c>
      <c r="N20" s="199" t="str">
        <f t="shared" si="1"/>
        <v>Invalid procurement method or date entered</v>
      </c>
      <c r="O20" s="183" t="s">
        <v>45</v>
      </c>
      <c r="P20" s="9">
        <v>12</v>
      </c>
      <c r="Q20" s="29" t="s">
        <v>50</v>
      </c>
      <c r="R20" s="18">
        <v>50000</v>
      </c>
      <c r="S20" s="209"/>
      <c r="T20" s="18"/>
      <c r="U20" s="209"/>
      <c r="V20" s="31" t="s">
        <v>51</v>
      </c>
      <c r="W20" s="52" t="s">
        <v>62</v>
      </c>
      <c r="X20" s="48" t="s">
        <v>67</v>
      </c>
      <c r="Y20" s="48"/>
      <c r="Z20" s="9" t="s">
        <v>633</v>
      </c>
      <c r="AA20" s="5" t="s">
        <v>543</v>
      </c>
      <c r="AB20" s="5" t="s">
        <v>115</v>
      </c>
      <c r="AC20" s="5" t="s">
        <v>69</v>
      </c>
      <c r="AD20" s="5" t="s">
        <v>70</v>
      </c>
      <c r="AE20" s="199">
        <v>44405</v>
      </c>
      <c r="AF20" s="6" t="s">
        <v>5708</v>
      </c>
      <c r="AG20" s="20" t="s">
        <v>165</v>
      </c>
      <c r="AH20" s="2773"/>
      <c r="AI20" s="2773"/>
      <c r="AJ20" s="2773"/>
    </row>
    <row r="21" spans="2:36" s="295" customFormat="1" ht="68.25" customHeight="1">
      <c r="B21" s="1" t="s">
        <v>44</v>
      </c>
      <c r="C21" s="2755" t="s">
        <v>45</v>
      </c>
      <c r="D21" s="2838" t="s">
        <v>122</v>
      </c>
      <c r="E21" s="2838"/>
      <c r="F21" s="2838"/>
      <c r="G21" s="2838"/>
      <c r="H21" s="2832"/>
      <c r="I21" s="2832" t="s">
        <v>47</v>
      </c>
      <c r="J21" s="2755" t="s">
        <v>5709</v>
      </c>
      <c r="K21" s="2935"/>
      <c r="L21" s="58" t="e">
        <f>IF(OR(V21=#REF!,V21=#REF!,V21=#REF!,V21=#REF!,V21=#REF!,V21=#REF!,V21=#REF!,V21=#REF!),12,IF(OR(V21=#REF!,V21=#REF!,V21=#REF!,V21=#REF!,V21=#REF!,V21=#REF!,V21=#REF!),3,IF(V21=#REF!,1,IF(V21=#REF!,18,IF(OR(V21=#REF!,V21=#REF!,V21=#REF!,V21=#REF!,V21=#REF!),14,"Invalid proposed procurement method")))))</f>
        <v>#REF!</v>
      </c>
      <c r="M21" s="205" t="str">
        <f t="shared" ref="M21:M27" si="3">IFERROR(EDATE($N21,-3),"Invalid procurement method or date entered")</f>
        <v>Invalid procurement method or date entered</v>
      </c>
      <c r="N21" s="199" t="str">
        <f t="shared" si="1"/>
        <v>Invalid procurement method or date entered</v>
      </c>
      <c r="O21" s="2832" t="s">
        <v>45</v>
      </c>
      <c r="P21" s="2832" t="s">
        <v>45</v>
      </c>
      <c r="Q21" s="2832" t="s">
        <v>45</v>
      </c>
      <c r="R21" s="2936" t="s">
        <v>45</v>
      </c>
      <c r="S21" s="2936"/>
      <c r="T21" s="2937"/>
      <c r="U21" s="2937"/>
      <c r="V21" s="58" t="s">
        <v>45</v>
      </c>
      <c r="W21" s="58" t="s">
        <v>45</v>
      </c>
      <c r="X21" s="202" t="s">
        <v>45</v>
      </c>
      <c r="Y21" s="202"/>
      <c r="Z21" s="2832" t="s">
        <v>5710</v>
      </c>
      <c r="AA21" s="2832" t="s">
        <v>86</v>
      </c>
      <c r="AB21" s="2832" t="s">
        <v>40</v>
      </c>
      <c r="AC21" s="58" t="s">
        <v>69</v>
      </c>
      <c r="AD21" s="58" t="s">
        <v>70</v>
      </c>
      <c r="AE21" s="205">
        <v>44403</v>
      </c>
      <c r="AF21" s="2938" t="s">
        <v>5711</v>
      </c>
      <c r="AG21" s="5" t="s">
        <v>145</v>
      </c>
      <c r="AH21" s="2773"/>
      <c r="AI21" s="2773"/>
      <c r="AJ21" s="2773"/>
    </row>
    <row r="22" spans="2:36" s="296" customFormat="1" ht="29">
      <c r="B22" s="1" t="s">
        <v>44</v>
      </c>
      <c r="C22" s="2755" t="s">
        <v>71</v>
      </c>
      <c r="D22" s="2838" t="s">
        <v>32</v>
      </c>
      <c r="E22" s="2838"/>
      <c r="F22" s="2838"/>
      <c r="G22" s="2838"/>
      <c r="H22" s="2763"/>
      <c r="I22" s="2763" t="s">
        <v>34</v>
      </c>
      <c r="J22" s="2755" t="s">
        <v>445</v>
      </c>
      <c r="K22" s="2755"/>
      <c r="L22" s="5">
        <v>9</v>
      </c>
      <c r="M22" s="199">
        <f t="shared" si="3"/>
        <v>44378</v>
      </c>
      <c r="N22" s="199">
        <f t="shared" si="1"/>
        <v>44470</v>
      </c>
      <c r="O22" s="2764">
        <v>44743</v>
      </c>
      <c r="P22" s="2763">
        <v>48</v>
      </c>
      <c r="Q22" s="71" t="s">
        <v>2511</v>
      </c>
      <c r="R22" s="18">
        <v>220000</v>
      </c>
      <c r="S22" s="209"/>
      <c r="T22" s="43"/>
      <c r="U22" s="2515"/>
      <c r="V22" s="2797" t="s">
        <v>130</v>
      </c>
      <c r="W22" s="2763" t="s">
        <v>38</v>
      </c>
      <c r="X22" s="12" t="s">
        <v>67</v>
      </c>
      <c r="Y22" s="12"/>
      <c r="Z22" s="2763" t="s">
        <v>5712</v>
      </c>
      <c r="AA22" s="2763" t="s">
        <v>283</v>
      </c>
      <c r="AB22" s="2763" t="s">
        <v>727</v>
      </c>
      <c r="AC22" s="9" t="s">
        <v>69</v>
      </c>
      <c r="AD22" s="5" t="s">
        <v>70</v>
      </c>
      <c r="AE22" s="199">
        <v>44420</v>
      </c>
      <c r="AF22" s="2875" t="s">
        <v>5713</v>
      </c>
      <c r="AG22" s="31" t="s">
        <v>285</v>
      </c>
      <c r="AH22" s="2799"/>
      <c r="AI22" s="2799"/>
      <c r="AJ22" s="2799"/>
    </row>
    <row r="23" spans="2:36" s="1" customFormat="1" ht="57.65" customHeight="1">
      <c r="B23" s="1" t="s">
        <v>44</v>
      </c>
      <c r="C23" s="2755" t="s">
        <v>2654</v>
      </c>
      <c r="D23" s="32" t="s">
        <v>32</v>
      </c>
      <c r="E23" s="32"/>
      <c r="F23" s="32"/>
      <c r="G23" s="32"/>
      <c r="H23" s="5"/>
      <c r="I23" s="5" t="s">
        <v>34</v>
      </c>
      <c r="J23" s="16" t="s">
        <v>2630</v>
      </c>
      <c r="K23" s="16"/>
      <c r="L23" s="5" t="e">
        <f>IF(OR(V23=#REF!,V23=#REF!,V23=#REF!,V23=#REF!,V23=#REF!,V23=#REF!,V23=#REF!,V23=#REF!),12,IF(OR(V23=#REF!,V23=#REF!,V23=#REF!,V23=#REF!,V23=#REF!,V23=#REF!,V23=#REF!),3,IF(V23=#REF!,1,IF(V23=#REF!,18,IF(OR(V23=#REF!,V23=#REF!,V23=#REF!,V23=#REF!,V23=#REF!),14,"Invalid proposed procurement method")))))</f>
        <v>#REF!</v>
      </c>
      <c r="M23" s="199" t="str">
        <f t="shared" si="3"/>
        <v>Invalid procurement method or date entered</v>
      </c>
      <c r="N23" s="199" t="str">
        <f t="shared" si="1"/>
        <v>Invalid procurement method or date entered</v>
      </c>
      <c r="O23" s="14">
        <v>44618</v>
      </c>
      <c r="P23" s="5">
        <v>57</v>
      </c>
      <c r="Q23" s="26" t="s">
        <v>5714</v>
      </c>
      <c r="R23" s="18">
        <v>905745</v>
      </c>
      <c r="S23" s="209"/>
      <c r="T23" s="40">
        <v>300000</v>
      </c>
      <c r="U23" s="1822"/>
      <c r="V23" s="31" t="s">
        <v>130</v>
      </c>
      <c r="W23" s="51" t="s">
        <v>70</v>
      </c>
      <c r="X23" s="51">
        <v>44096</v>
      </c>
      <c r="Y23" s="51"/>
      <c r="Z23" s="5" t="s">
        <v>4603</v>
      </c>
      <c r="AA23" s="5" t="s">
        <v>283</v>
      </c>
      <c r="AB23" s="5" t="s">
        <v>40</v>
      </c>
      <c r="AC23" s="5" t="s">
        <v>69</v>
      </c>
      <c r="AD23" s="5" t="s">
        <v>70</v>
      </c>
      <c r="AE23" s="199">
        <v>44427</v>
      </c>
      <c r="AF23" s="8" t="s">
        <v>5715</v>
      </c>
      <c r="AG23" s="31" t="s">
        <v>285</v>
      </c>
    </row>
    <row r="24" spans="2:36" s="295" customFormat="1" ht="69.75" customHeight="1">
      <c r="B24" s="1" t="s">
        <v>44</v>
      </c>
      <c r="C24" s="4" t="s">
        <v>3801</v>
      </c>
      <c r="D24" s="32" t="s">
        <v>32</v>
      </c>
      <c r="E24" s="32"/>
      <c r="F24" s="32"/>
      <c r="G24" s="32"/>
      <c r="H24" s="5"/>
      <c r="I24" s="272" t="s">
        <v>34</v>
      </c>
      <c r="J24" s="16" t="s">
        <v>5716</v>
      </c>
      <c r="K24" s="16"/>
      <c r="L24" s="5">
        <v>18</v>
      </c>
      <c r="M24" s="199">
        <f t="shared" si="3"/>
        <v>44013</v>
      </c>
      <c r="N24" s="199">
        <f t="shared" si="1"/>
        <v>44105</v>
      </c>
      <c r="O24" s="182">
        <v>44652</v>
      </c>
      <c r="P24" s="12">
        <v>24</v>
      </c>
      <c r="Q24" s="27">
        <v>24</v>
      </c>
      <c r="R24" s="18">
        <v>5000000</v>
      </c>
      <c r="S24" s="209"/>
      <c r="T24" s="41"/>
      <c r="U24" s="1814"/>
      <c r="V24" s="31" t="s">
        <v>130</v>
      </c>
      <c r="W24" s="44" t="s">
        <v>70</v>
      </c>
      <c r="X24" s="49">
        <v>44088</v>
      </c>
      <c r="Y24" s="49"/>
      <c r="Z24" s="46" t="s">
        <v>5717</v>
      </c>
      <c r="AA24" s="5" t="s">
        <v>283</v>
      </c>
      <c r="AB24" s="5" t="s">
        <v>40</v>
      </c>
      <c r="AC24" s="5" t="s">
        <v>87</v>
      </c>
      <c r="AD24" s="5" t="s">
        <v>70</v>
      </c>
      <c r="AE24" s="199">
        <v>44475</v>
      </c>
      <c r="AF24" s="8" t="s">
        <v>5718</v>
      </c>
      <c r="AG24" s="20" t="s">
        <v>80</v>
      </c>
      <c r="AH24" s="2773"/>
      <c r="AI24" s="2773"/>
      <c r="AJ24" s="2773"/>
    </row>
    <row r="25" spans="2:36" s="296" customFormat="1" ht="29">
      <c r="B25" s="2911" t="s">
        <v>44</v>
      </c>
      <c r="C25" s="4" t="s">
        <v>45</v>
      </c>
      <c r="D25" s="32" t="s">
        <v>32</v>
      </c>
      <c r="E25" s="32"/>
      <c r="F25" s="32"/>
      <c r="G25" s="32"/>
      <c r="H25" s="5"/>
      <c r="I25" s="5" t="s">
        <v>47</v>
      </c>
      <c r="J25" s="2755" t="s">
        <v>1519</v>
      </c>
      <c r="K25" s="2755"/>
      <c r="L25" s="5">
        <v>6</v>
      </c>
      <c r="M25" s="199">
        <f t="shared" si="3"/>
        <v>44440</v>
      </c>
      <c r="N25" s="199">
        <f t="shared" si="1"/>
        <v>44531</v>
      </c>
      <c r="O25" s="2764">
        <v>44713</v>
      </c>
      <c r="P25" s="2763" t="s">
        <v>45</v>
      </c>
      <c r="Q25" s="2763" t="s">
        <v>45</v>
      </c>
      <c r="R25" s="2826">
        <v>3500</v>
      </c>
      <c r="S25" s="2933"/>
      <c r="T25" s="40"/>
      <c r="U25" s="1822"/>
      <c r="V25" s="31" t="s">
        <v>45</v>
      </c>
      <c r="W25" s="2763" t="s">
        <v>38</v>
      </c>
      <c r="X25" s="2763" t="s">
        <v>67</v>
      </c>
      <c r="Y25" s="2763"/>
      <c r="Z25" s="5" t="s">
        <v>383</v>
      </c>
      <c r="AA25" s="2763" t="s">
        <v>94</v>
      </c>
      <c r="AB25" s="2763" t="s">
        <v>727</v>
      </c>
      <c r="AC25" s="5" t="s">
        <v>154</v>
      </c>
      <c r="AD25" s="5" t="s">
        <v>70</v>
      </c>
      <c r="AE25" s="2764">
        <v>44476</v>
      </c>
      <c r="AF25" s="2875" t="s">
        <v>5719</v>
      </c>
      <c r="AG25" s="31" t="s">
        <v>385</v>
      </c>
      <c r="AH25" s="2799"/>
      <c r="AI25" s="2799"/>
      <c r="AJ25" s="2799"/>
    </row>
    <row r="26" spans="2:36" s="296" customFormat="1" ht="72.5">
      <c r="B26" s="2911" t="s">
        <v>44</v>
      </c>
      <c r="C26" s="4" t="s">
        <v>3682</v>
      </c>
      <c r="D26" s="31" t="s">
        <v>32</v>
      </c>
      <c r="E26" s="31"/>
      <c r="F26" s="31"/>
      <c r="G26" s="31"/>
      <c r="H26" s="2751"/>
      <c r="I26" s="2751" t="s">
        <v>34</v>
      </c>
      <c r="J26" s="2752" t="s">
        <v>3683</v>
      </c>
      <c r="K26" s="2752"/>
      <c r="L26" s="5">
        <v>9</v>
      </c>
      <c r="M26" s="199">
        <f t="shared" si="3"/>
        <v>44287</v>
      </c>
      <c r="N26" s="199">
        <f t="shared" si="1"/>
        <v>44378</v>
      </c>
      <c r="O26" s="182">
        <v>44652</v>
      </c>
      <c r="P26" s="2751">
        <v>26</v>
      </c>
      <c r="Q26" s="2753" t="s">
        <v>5720</v>
      </c>
      <c r="R26" s="18">
        <v>1400000</v>
      </c>
      <c r="S26" s="209"/>
      <c r="T26" s="41">
        <v>700000</v>
      </c>
      <c r="U26" s="1814"/>
      <c r="V26" s="31" t="s">
        <v>130</v>
      </c>
      <c r="W26" s="5" t="s">
        <v>70</v>
      </c>
      <c r="X26" s="182">
        <v>44162</v>
      </c>
      <c r="Y26" s="182"/>
      <c r="Z26" s="2751" t="s">
        <v>3685</v>
      </c>
      <c r="AA26" s="5" t="s">
        <v>283</v>
      </c>
      <c r="AB26" s="5" t="s">
        <v>40</v>
      </c>
      <c r="AC26" s="5" t="s">
        <v>87</v>
      </c>
      <c r="AD26" s="2751" t="s">
        <v>70</v>
      </c>
      <c r="AE26" s="199">
        <v>44497</v>
      </c>
      <c r="AF26" s="2758" t="s">
        <v>5721</v>
      </c>
      <c r="AG26" s="20" t="s">
        <v>80</v>
      </c>
      <c r="AH26" s="1"/>
      <c r="AI26" s="2799"/>
      <c r="AJ26" s="2799"/>
    </row>
    <row r="27" spans="2:36" s="1" customFormat="1" ht="72.5">
      <c r="B27" s="2911" t="s">
        <v>44</v>
      </c>
      <c r="C27" s="4" t="s">
        <v>45</v>
      </c>
      <c r="D27" s="32" t="s">
        <v>57</v>
      </c>
      <c r="E27" s="32"/>
      <c r="F27" s="32"/>
      <c r="G27" s="32"/>
      <c r="H27" s="5"/>
      <c r="I27" s="5" t="s">
        <v>47</v>
      </c>
      <c r="J27" s="8" t="s">
        <v>5722</v>
      </c>
      <c r="K27" s="179"/>
      <c r="L27" s="5" t="e">
        <f>IF(OR(V27=#REF!,V27=#REF!,V27=#REF!,V27=#REF!,V27=#REF!,V27=#REF!,V27=#REF!,V27=#REF!),12,IF(OR(V27=#REF!,V27=#REF!,V27=#REF!,V27=#REF!,V27=#REF!,V27=#REF!,V27=#REF!),3,IF(V27=#REF!,1,IF(V27=#REF!,18,IF(OR(V27=#REF!,V27=#REF!,V27=#REF!,V27=#REF!,V27=#REF!),14,"Invalid proposed procurement method")))))</f>
        <v>#REF!</v>
      </c>
      <c r="M27" s="199" t="str">
        <f t="shared" si="3"/>
        <v>Invalid procurement method or date entered</v>
      </c>
      <c r="N27" s="199" t="str">
        <f t="shared" si="1"/>
        <v>Invalid procurement method or date entered</v>
      </c>
      <c r="O27" s="199">
        <v>44440</v>
      </c>
      <c r="P27" s="199" t="s">
        <v>45</v>
      </c>
      <c r="Q27" s="45" t="s">
        <v>45</v>
      </c>
      <c r="R27" s="18">
        <v>100000</v>
      </c>
      <c r="S27" s="209"/>
      <c r="T27" s="41"/>
      <c r="U27" s="1814"/>
      <c r="V27" s="2797" t="s">
        <v>51</v>
      </c>
      <c r="W27" s="50" t="s">
        <v>45</v>
      </c>
      <c r="X27" s="48" t="s">
        <v>45</v>
      </c>
      <c r="Y27" s="48"/>
      <c r="Z27" s="5" t="s">
        <v>5723</v>
      </c>
      <c r="AA27" s="5" t="s">
        <v>86</v>
      </c>
      <c r="AB27" s="73" t="s">
        <v>40</v>
      </c>
      <c r="AC27" s="5" t="s">
        <v>87</v>
      </c>
      <c r="AD27" s="5" t="s">
        <v>38</v>
      </c>
      <c r="AE27" s="199">
        <v>44515</v>
      </c>
      <c r="AF27" s="8" t="s">
        <v>5724</v>
      </c>
      <c r="AG27" s="31" t="s">
        <v>46</v>
      </c>
    </row>
    <row r="28" spans="2:36" s="296" customFormat="1" ht="72.5">
      <c r="B28" s="2911" t="s">
        <v>44</v>
      </c>
      <c r="C28" s="4" t="s">
        <v>45</v>
      </c>
      <c r="D28" s="32" t="s">
        <v>57</v>
      </c>
      <c r="E28" s="32"/>
      <c r="F28" s="32"/>
      <c r="G28" s="32"/>
      <c r="H28" s="5"/>
      <c r="I28" s="5" t="s">
        <v>47</v>
      </c>
      <c r="J28" s="8" t="s">
        <v>5725</v>
      </c>
      <c r="K28" s="179"/>
      <c r="L28" s="5" t="e">
        <f>IF(OR(V28=#REF!,V28=#REF!,V28=#REF!,V28=#REF!,V28=#REF!,V28=#REF!,V28=#REF!,V28=#REF!),12,IF(OR(V28=#REF!,V28=#REF!,V28=#REF!,V28=#REF!,V28=#REF!,V28=#REF!,V28=#REF!),3,IF(V28=#REF!,1,IF(V28=#REF!,18,IF(OR(V28=#REF!,V28=#REF!,V28=#REF!,V28=#REF!,V28=#REF!),14,"Invalid proposed procurement method")))))</f>
        <v>#REF!</v>
      </c>
      <c r="M28" s="199">
        <v>44378</v>
      </c>
      <c r="N28" s="199" t="str">
        <f t="shared" si="1"/>
        <v>Invalid procurement method or date entered</v>
      </c>
      <c r="O28" s="199">
        <v>44470</v>
      </c>
      <c r="P28" s="2751">
        <v>6</v>
      </c>
      <c r="Q28" s="2753">
        <v>6</v>
      </c>
      <c r="R28" s="18">
        <v>44000</v>
      </c>
      <c r="S28" s="209"/>
      <c r="T28" s="41"/>
      <c r="U28" s="1814"/>
      <c r="V28" s="2797" t="s">
        <v>51</v>
      </c>
      <c r="W28" s="50" t="s">
        <v>45</v>
      </c>
      <c r="X28" s="48" t="s">
        <v>45</v>
      </c>
      <c r="Y28" s="48"/>
      <c r="Z28" s="5" t="s">
        <v>5723</v>
      </c>
      <c r="AA28" s="5" t="s">
        <v>86</v>
      </c>
      <c r="AB28" s="5" t="s">
        <v>40</v>
      </c>
      <c r="AC28" s="5" t="s">
        <v>87</v>
      </c>
      <c r="AD28" s="26" t="s">
        <v>38</v>
      </c>
      <c r="AE28" s="199">
        <v>44515</v>
      </c>
      <c r="AF28" s="101" t="s">
        <v>5724</v>
      </c>
      <c r="AG28" s="31" t="s">
        <v>46</v>
      </c>
      <c r="AH28" s="1"/>
      <c r="AI28" s="2799"/>
      <c r="AJ28" s="2799"/>
    </row>
    <row r="29" spans="2:36" s="1" customFormat="1" ht="72.5">
      <c r="B29" s="2911" t="s">
        <v>44</v>
      </c>
      <c r="C29" s="4" t="s">
        <v>45</v>
      </c>
      <c r="D29" s="32" t="s">
        <v>57</v>
      </c>
      <c r="E29" s="32"/>
      <c r="F29" s="32"/>
      <c r="G29" s="32"/>
      <c r="H29" s="5"/>
      <c r="I29" s="5" t="s">
        <v>47</v>
      </c>
      <c r="J29" s="8" t="s">
        <v>5726</v>
      </c>
      <c r="K29" s="179"/>
      <c r="L29" s="5" t="e">
        <f>IF(OR(V29=#REF!,V29=#REF!,V29=#REF!,V29=#REF!,V29=#REF!,V29=#REF!,V29=#REF!,V29=#REF!),12,IF(OR(V29=#REF!,V29=#REF!,V29=#REF!,V29=#REF!,V29=#REF!,V29=#REF!,V29=#REF!),3,IF(V29=#REF!,1,IF(V29=#REF!,18,IF(OR(V29=#REF!,V29=#REF!,V29=#REF!,V29=#REF!,V29=#REF!),14,"Invalid proposed procurement method")))))</f>
        <v>#REF!</v>
      </c>
      <c r="M29" s="199">
        <v>44378</v>
      </c>
      <c r="N29" s="199" t="str">
        <f t="shared" si="1"/>
        <v>Invalid procurement method or date entered</v>
      </c>
      <c r="O29" s="199">
        <v>44440</v>
      </c>
      <c r="P29" s="2751">
        <v>7</v>
      </c>
      <c r="Q29" s="2753">
        <v>7</v>
      </c>
      <c r="R29" s="18">
        <v>48000</v>
      </c>
      <c r="S29" s="18"/>
      <c r="T29" s="41"/>
      <c r="U29" s="41"/>
      <c r="V29" s="2751" t="s">
        <v>51</v>
      </c>
      <c r="W29" s="50" t="s">
        <v>45</v>
      </c>
      <c r="X29" s="48" t="s">
        <v>45</v>
      </c>
      <c r="Y29" s="48"/>
      <c r="Z29" s="5" t="s">
        <v>5723</v>
      </c>
      <c r="AA29" s="5" t="s">
        <v>86</v>
      </c>
      <c r="AB29" s="5" t="s">
        <v>40</v>
      </c>
      <c r="AC29" s="5" t="s">
        <v>87</v>
      </c>
      <c r="AD29" s="5" t="s">
        <v>38</v>
      </c>
      <c r="AE29" s="199">
        <v>44515</v>
      </c>
      <c r="AF29" s="8" t="s">
        <v>5724</v>
      </c>
      <c r="AG29" s="31" t="s">
        <v>46</v>
      </c>
      <c r="AH29" s="2799"/>
    </row>
    <row r="30" spans="2:36" s="296" customFormat="1" ht="217.5">
      <c r="B30" s="2911" t="s">
        <v>44</v>
      </c>
      <c r="C30" s="4" t="s">
        <v>45</v>
      </c>
      <c r="D30" s="31" t="s">
        <v>32</v>
      </c>
      <c r="E30" s="31"/>
      <c r="F30" s="31"/>
      <c r="G30" s="31"/>
      <c r="H30" s="5"/>
      <c r="I30" s="5" t="s">
        <v>47</v>
      </c>
      <c r="J30" s="8" t="s">
        <v>5727</v>
      </c>
      <c r="K30" s="179"/>
      <c r="L30" s="5">
        <v>12</v>
      </c>
      <c r="M30" s="199">
        <f>IFERROR(EDATE($N30,-3),"Invalid procurement method or date entered")</f>
        <v>44378</v>
      </c>
      <c r="N30" s="199">
        <f t="shared" si="1"/>
        <v>44470</v>
      </c>
      <c r="O30" s="199">
        <v>44835</v>
      </c>
      <c r="P30" s="5" t="s">
        <v>45</v>
      </c>
      <c r="Q30" s="26" t="s">
        <v>45</v>
      </c>
      <c r="R30" s="18"/>
      <c r="S30" s="209"/>
      <c r="T30" s="18" t="s">
        <v>3664</v>
      </c>
      <c r="U30" s="209"/>
      <c r="V30" s="31" t="s">
        <v>45</v>
      </c>
      <c r="W30" s="11" t="s">
        <v>38</v>
      </c>
      <c r="X30" s="49" t="s">
        <v>67</v>
      </c>
      <c r="Y30" s="49"/>
      <c r="Z30" s="5" t="s">
        <v>798</v>
      </c>
      <c r="AA30" s="5" t="s">
        <v>168</v>
      </c>
      <c r="AB30" s="5" t="s">
        <v>40</v>
      </c>
      <c r="AC30" s="5" t="s">
        <v>154</v>
      </c>
      <c r="AD30" s="5" t="s">
        <v>70</v>
      </c>
      <c r="AE30" s="199">
        <v>44475</v>
      </c>
      <c r="AF30" s="8" t="s">
        <v>5728</v>
      </c>
      <c r="AG30" s="20" t="s">
        <v>165</v>
      </c>
      <c r="AH30" s="2799"/>
      <c r="AI30" s="2799"/>
      <c r="AJ30" s="2799"/>
    </row>
    <row r="31" spans="2:36" s="296" customFormat="1" ht="43.5">
      <c r="B31" s="2911" t="s">
        <v>44</v>
      </c>
      <c r="C31" s="4"/>
      <c r="D31" s="32" t="s">
        <v>32</v>
      </c>
      <c r="E31" s="32"/>
      <c r="F31" s="32"/>
      <c r="G31" s="32"/>
      <c r="H31" s="5"/>
      <c r="I31" s="5" t="s">
        <v>34</v>
      </c>
      <c r="J31" s="8" t="s">
        <v>5729</v>
      </c>
      <c r="K31" s="179"/>
      <c r="L31" s="5">
        <v>6</v>
      </c>
      <c r="M31" s="199">
        <f>IFERROR(EDATE($N31,-3),"Invalid procurement method or date entered")</f>
        <v>44285</v>
      </c>
      <c r="N31" s="199">
        <f t="shared" si="1"/>
        <v>44377</v>
      </c>
      <c r="O31" s="14">
        <v>44561</v>
      </c>
      <c r="P31" s="12" t="s">
        <v>45</v>
      </c>
      <c r="Q31" s="26" t="s">
        <v>45</v>
      </c>
      <c r="R31" s="18" t="s">
        <v>60</v>
      </c>
      <c r="S31" s="18"/>
      <c r="T31" s="17">
        <v>19135</v>
      </c>
      <c r="U31" s="17"/>
      <c r="V31" s="5" t="s">
        <v>45</v>
      </c>
      <c r="W31" s="5" t="s">
        <v>38</v>
      </c>
      <c r="X31" s="12" t="s">
        <v>67</v>
      </c>
      <c r="Y31" s="12"/>
      <c r="Z31" s="5" t="s">
        <v>5730</v>
      </c>
      <c r="AA31" s="5" t="s">
        <v>39</v>
      </c>
      <c r="AB31" s="5" t="s">
        <v>40</v>
      </c>
      <c r="AC31" s="5" t="s">
        <v>87</v>
      </c>
      <c r="AD31" s="5" t="s">
        <v>70</v>
      </c>
      <c r="AE31" s="199">
        <v>44495</v>
      </c>
      <c r="AF31" s="33" t="s">
        <v>5731</v>
      </c>
      <c r="AG31" s="31" t="s">
        <v>96</v>
      </c>
      <c r="AH31" s="2799"/>
      <c r="AI31" s="2799"/>
      <c r="AJ31" s="2799"/>
    </row>
    <row r="32" spans="2:36" s="296" customFormat="1" ht="159.5">
      <c r="B32" s="2911" t="s">
        <v>44</v>
      </c>
      <c r="C32" s="4" t="s">
        <v>45</v>
      </c>
      <c r="D32" s="32" t="s">
        <v>57</v>
      </c>
      <c r="E32" s="32"/>
      <c r="F32" s="32"/>
      <c r="G32" s="32"/>
      <c r="H32" s="5"/>
      <c r="I32" s="5" t="s">
        <v>47</v>
      </c>
      <c r="J32" s="8" t="s">
        <v>5732</v>
      </c>
      <c r="K32" s="8"/>
      <c r="L32" s="5" t="e">
        <f>IF(OR(V32=#REF!,V32=#REF!,V32=#REF!,V32=#REF!,V32=#REF!,V32=#REF!,V32=#REF!,V32=#REF!),12,IF(OR(V32=#REF!,V32=#REF!,V32=#REF!,V32=#REF!,V32=#REF!,V32=#REF!,V32=#REF!),3,IF(V32=#REF!,1,IF(V32=#REF!,18,IF(OR(V32=#REF!,V32=#REF!,V32=#REF!,V32=#REF!,V32=#REF!),14,"Invalid proposed procurement method")))))</f>
        <v>#REF!</v>
      </c>
      <c r="M32" s="199">
        <v>44378</v>
      </c>
      <c r="N32" s="199" t="str">
        <f t="shared" si="1"/>
        <v>Invalid procurement method or date entered</v>
      </c>
      <c r="O32" s="199">
        <v>44440</v>
      </c>
      <c r="P32" s="199" t="s">
        <v>45</v>
      </c>
      <c r="Q32" s="45" t="s">
        <v>45</v>
      </c>
      <c r="R32" s="18">
        <v>180000</v>
      </c>
      <c r="S32" s="209"/>
      <c r="T32" s="41"/>
      <c r="U32" s="1814"/>
      <c r="V32" s="2797" t="s">
        <v>176</v>
      </c>
      <c r="W32" s="50" t="s">
        <v>45</v>
      </c>
      <c r="X32" s="48" t="s">
        <v>45</v>
      </c>
      <c r="Y32" s="48"/>
      <c r="Z32" s="5" t="s">
        <v>2166</v>
      </c>
      <c r="AA32" s="5" t="s">
        <v>162</v>
      </c>
      <c r="AB32" s="5" t="s">
        <v>40</v>
      </c>
      <c r="AC32" s="5" t="s">
        <v>87</v>
      </c>
      <c r="AD32" s="5" t="s">
        <v>38</v>
      </c>
      <c r="AE32" s="199">
        <v>44511</v>
      </c>
      <c r="AF32" s="8" t="s">
        <v>5733</v>
      </c>
      <c r="AG32" s="31" t="s">
        <v>46</v>
      </c>
      <c r="AH32" s="2799"/>
      <c r="AI32" s="2799"/>
      <c r="AJ32" s="2799"/>
    </row>
    <row r="33" spans="2:36" s="296" customFormat="1" ht="87">
      <c r="B33" s="2911" t="s">
        <v>44</v>
      </c>
      <c r="C33" s="16" t="s">
        <v>4418</v>
      </c>
      <c r="D33" s="75" t="s">
        <v>32</v>
      </c>
      <c r="E33" s="75"/>
      <c r="F33" s="75"/>
      <c r="G33" s="75"/>
      <c r="H33" s="9"/>
      <c r="I33" s="5" t="s">
        <v>47</v>
      </c>
      <c r="J33" s="16" t="s">
        <v>4419</v>
      </c>
      <c r="K33" s="16"/>
      <c r="L33" s="5">
        <v>6</v>
      </c>
      <c r="M33" s="199">
        <v>44264</v>
      </c>
      <c r="N33" s="199">
        <f t="shared" si="1"/>
        <v>44317</v>
      </c>
      <c r="O33" s="182">
        <v>44501</v>
      </c>
      <c r="P33" s="12" t="s">
        <v>45</v>
      </c>
      <c r="Q33" s="27" t="s">
        <v>45</v>
      </c>
      <c r="R33" s="88" t="s">
        <v>45</v>
      </c>
      <c r="S33" s="2367"/>
      <c r="T33" s="215"/>
      <c r="U33" s="2516"/>
      <c r="V33" s="31" t="s">
        <v>45</v>
      </c>
      <c r="W33" s="12" t="s">
        <v>38</v>
      </c>
      <c r="X33" s="5" t="s">
        <v>67</v>
      </c>
      <c r="Y33" s="5"/>
      <c r="Z33" s="12" t="s">
        <v>4420</v>
      </c>
      <c r="AA33" s="15" t="s">
        <v>162</v>
      </c>
      <c r="AB33" s="73" t="s">
        <v>40</v>
      </c>
      <c r="AC33" s="5" t="s">
        <v>154</v>
      </c>
      <c r="AD33" s="12" t="s">
        <v>38</v>
      </c>
      <c r="AE33" s="199">
        <v>44573</v>
      </c>
      <c r="AF33" s="8" t="s">
        <v>5734</v>
      </c>
      <c r="AG33" s="31" t="s">
        <v>96</v>
      </c>
      <c r="AH33" s="1"/>
      <c r="AI33" s="2799"/>
      <c r="AJ33" s="2799"/>
    </row>
    <row r="34" spans="2:36" s="295" customFormat="1" ht="72.5">
      <c r="B34" s="2911" t="s">
        <v>44</v>
      </c>
      <c r="C34" s="10" t="s">
        <v>5735</v>
      </c>
      <c r="D34" s="32" t="s">
        <v>57</v>
      </c>
      <c r="E34" s="32"/>
      <c r="F34" s="32"/>
      <c r="G34" s="32"/>
      <c r="H34" s="5"/>
      <c r="I34" s="5" t="s">
        <v>47</v>
      </c>
      <c r="J34" s="8" t="s">
        <v>5736</v>
      </c>
      <c r="K34" s="8"/>
      <c r="L34" s="5" t="e">
        <f>IF(OR(V34=#REF!,V34=#REF!,V34=#REF!,V34=#REF!,V34=#REF!,V34=#REF!,V34=#REF!,V34=#REF!),12,IF(OR(V34=#REF!,V34=#REF!,V34=#REF!,V34=#REF!,V34=#REF!,V34=#REF!,V34=#REF!),3,IF(V34=#REF!,1,IF(V34=#REF!,18,IF(OR(V34=#REF!,V34=#REF!,V34=#REF!,V34=#REF!,V34=#REF!),14,"Invalid proposed procurement method")))))</f>
        <v>#REF!</v>
      </c>
      <c r="M34" s="199" t="str">
        <f>IFERROR(EDATE($N34,-3),"Invalid procurement method or date entered")</f>
        <v>Invalid procurement method or date entered</v>
      </c>
      <c r="N34" s="199" t="str">
        <f t="shared" si="1"/>
        <v>Invalid procurement method or date entered</v>
      </c>
      <c r="O34" s="49">
        <v>44593</v>
      </c>
      <c r="P34" s="12">
        <v>68</v>
      </c>
      <c r="Q34" s="5" t="s">
        <v>5737</v>
      </c>
      <c r="R34" s="18" t="s">
        <v>45</v>
      </c>
      <c r="S34" s="18"/>
      <c r="T34" s="18"/>
      <c r="U34" s="18"/>
      <c r="V34" s="5" t="s">
        <v>91</v>
      </c>
      <c r="W34" s="47" t="s">
        <v>62</v>
      </c>
      <c r="X34" s="47" t="s">
        <v>71</v>
      </c>
      <c r="Y34" s="47"/>
      <c r="Z34" s="5" t="s">
        <v>5738</v>
      </c>
      <c r="AA34" s="5" t="s">
        <v>543</v>
      </c>
      <c r="AB34" s="5" t="s">
        <v>727</v>
      </c>
      <c r="AC34" s="5" t="s">
        <v>69</v>
      </c>
      <c r="AD34" s="5" t="s">
        <v>70</v>
      </c>
      <c r="AE34" s="199">
        <v>44579</v>
      </c>
      <c r="AF34" s="8" t="s">
        <v>5739</v>
      </c>
      <c r="AG34" s="31" t="s">
        <v>145</v>
      </c>
      <c r="AH34" s="2773"/>
      <c r="AI34" s="2773"/>
      <c r="AJ34" s="2773"/>
    </row>
    <row r="35" spans="2:36" s="296" customFormat="1" ht="246.5">
      <c r="B35" s="2911" t="s">
        <v>44</v>
      </c>
      <c r="C35" s="4" t="s">
        <v>45</v>
      </c>
      <c r="D35" s="32" t="s">
        <v>32</v>
      </c>
      <c r="E35" s="32"/>
      <c r="F35" s="32"/>
      <c r="G35" s="32"/>
      <c r="H35" s="5"/>
      <c r="I35" s="5" t="s">
        <v>47</v>
      </c>
      <c r="J35" s="8" t="s">
        <v>5740</v>
      </c>
      <c r="K35" s="8"/>
      <c r="L35" s="5" t="e">
        <f>IF(OR(V35=#REF!,V35=#REF!,V35=#REF!,V35=#REF!,V35=#REF!,V35=#REF!,V35=#REF!,V35=#REF!),12,IF(OR(V35=#REF!,V35=#REF!,V35=#REF!,V35=#REF!,V35=#REF!,V35=#REF!,V35=#REF!),3,IF(V35=#REF!,1,IF(V35=#REF!,18,IF(OR(V35=#REF!,V35=#REF!,V35=#REF!,V35=#REF!,V35=#REF!),14,"Invalid proposed procurement method")))))</f>
        <v>#REF!</v>
      </c>
      <c r="M35" s="199">
        <v>44470</v>
      </c>
      <c r="N35" s="199" t="str">
        <f t="shared" si="1"/>
        <v>Invalid procurement method or date entered</v>
      </c>
      <c r="O35" s="199">
        <v>44652</v>
      </c>
      <c r="P35" s="5">
        <v>72</v>
      </c>
      <c r="Q35" s="25" t="s">
        <v>5741</v>
      </c>
      <c r="R35" s="18">
        <v>160000</v>
      </c>
      <c r="S35" s="209"/>
      <c r="T35" s="41">
        <v>40000</v>
      </c>
      <c r="U35" s="1814"/>
      <c r="V35" s="31" t="s">
        <v>75</v>
      </c>
      <c r="W35" s="50" t="s">
        <v>38</v>
      </c>
      <c r="X35" s="48" t="s">
        <v>67</v>
      </c>
      <c r="Y35" s="48"/>
      <c r="Z35" s="5" t="s">
        <v>4378</v>
      </c>
      <c r="AA35" s="5" t="s">
        <v>168</v>
      </c>
      <c r="AB35" s="73" t="s">
        <v>40</v>
      </c>
      <c r="AC35" s="5"/>
      <c r="AD35" s="5" t="s">
        <v>70</v>
      </c>
      <c r="AE35" s="199">
        <v>44575</v>
      </c>
      <c r="AF35" s="8" t="s">
        <v>5742</v>
      </c>
      <c r="AG35" s="20" t="s">
        <v>127</v>
      </c>
      <c r="AH35" s="2799"/>
      <c r="AI35" s="2799"/>
      <c r="AJ35" s="2799"/>
    </row>
    <row r="36" spans="2:36" s="296" customFormat="1" ht="72.5">
      <c r="B36" s="2911" t="s">
        <v>44</v>
      </c>
      <c r="C36" s="4"/>
      <c r="D36" s="2797" t="s">
        <v>32</v>
      </c>
      <c r="E36" s="2797"/>
      <c r="F36" s="2797"/>
      <c r="G36" s="2797"/>
      <c r="H36" s="5"/>
      <c r="I36" s="2751" t="s">
        <v>47</v>
      </c>
      <c r="J36" s="2758" t="s">
        <v>4074</v>
      </c>
      <c r="K36" s="2939"/>
      <c r="L36" s="5" t="e">
        <f>IF(OR(V36=#REF!,V36=#REF!,V36=#REF!,V36=#REF!,V36=#REF!,V36=#REF!,V36=#REF!,V36=#REF!),12,IF(OR(V36=#REF!,V36=#REF!,V36=#REF!,V36=#REF!,V36=#REF!,V36=#REF!,V36=#REF!),3,IF(V36=#REF!,1,IF(V36=#REF!,18,IF(OR(V36=#REF!,V36=#REF!,V36=#REF!,V36=#REF!,V36=#REF!),14,"Invalid proposed procurement method")))))</f>
        <v>#REF!</v>
      </c>
      <c r="M36" s="199">
        <v>44562</v>
      </c>
      <c r="N36" s="199" t="str">
        <f t="shared" si="1"/>
        <v>Invalid procurement method or date entered</v>
      </c>
      <c r="O36" s="2759">
        <v>44927</v>
      </c>
      <c r="P36" s="12" t="s">
        <v>45</v>
      </c>
      <c r="Q36" s="2753">
        <v>18</v>
      </c>
      <c r="R36" s="18" t="s">
        <v>45</v>
      </c>
      <c r="S36" s="209"/>
      <c r="T36" s="40"/>
      <c r="U36" s="1822"/>
      <c r="V36" s="209" t="s">
        <v>45</v>
      </c>
      <c r="W36" s="11" t="s">
        <v>38</v>
      </c>
      <c r="X36" s="14" t="s">
        <v>67</v>
      </c>
      <c r="Y36" s="14"/>
      <c r="Z36" s="5" t="s">
        <v>3831</v>
      </c>
      <c r="AA36" s="73" t="s">
        <v>162</v>
      </c>
      <c r="AB36" s="2751" t="s">
        <v>40</v>
      </c>
      <c r="AC36" s="5" t="s">
        <v>87</v>
      </c>
      <c r="AD36" s="5" t="s">
        <v>38</v>
      </c>
      <c r="AE36" s="199"/>
      <c r="AF36" s="2758" t="s">
        <v>5743</v>
      </c>
      <c r="AG36" s="20" t="s">
        <v>127</v>
      </c>
      <c r="AH36" s="2824"/>
      <c r="AI36" s="2799"/>
      <c r="AJ36" s="2799"/>
    </row>
    <row r="37" spans="2:36" s="295" customFormat="1" ht="72.5">
      <c r="B37" s="2911" t="s">
        <v>44</v>
      </c>
      <c r="C37" s="200" t="s">
        <v>45</v>
      </c>
      <c r="D37" s="32" t="s">
        <v>32</v>
      </c>
      <c r="E37" s="32"/>
      <c r="F37" s="32"/>
      <c r="G37" s="32"/>
      <c r="H37" s="5"/>
      <c r="I37" s="12" t="s">
        <v>47</v>
      </c>
      <c r="J37" s="8" t="s">
        <v>5744</v>
      </c>
      <c r="K37" s="8"/>
      <c r="L37" s="5" t="e">
        <f>IF(OR(V37=#REF!,V37=#REF!,V37=#REF!,V37=#REF!,V37=#REF!,V37=#REF!,V37=#REF!,V37=#REF!),12,IF(OR(V37=#REF!,V37=#REF!,V37=#REF!,V37=#REF!,V37=#REF!,V37=#REF!,V37=#REF!),3,IF(V37=#REF!,1,IF(V37=#REF!,18,IF(OR(V37=#REF!,V37=#REF!,V37=#REF!,V37=#REF!,V37=#REF!),14,"Invalid proposed procurement method")))))</f>
        <v>#REF!</v>
      </c>
      <c r="M37" s="199" t="str">
        <f t="shared" ref="M37:M49" si="4">IFERROR(EDATE($N37,-3),"Invalid procurement method or date entered")</f>
        <v>Invalid procurement method or date entered</v>
      </c>
      <c r="N37" s="199" t="str">
        <f t="shared" si="1"/>
        <v>Invalid procurement method or date entered</v>
      </c>
      <c r="O37" s="182">
        <v>43922</v>
      </c>
      <c r="P37" s="12">
        <v>36</v>
      </c>
      <c r="Q37" s="25" t="s">
        <v>98</v>
      </c>
      <c r="R37" s="18">
        <v>15000</v>
      </c>
      <c r="S37" s="209"/>
      <c r="T37" s="44">
        <v>5000</v>
      </c>
      <c r="U37" s="2514"/>
      <c r="V37" s="31" t="s">
        <v>37</v>
      </c>
      <c r="W37" s="5" t="s">
        <v>38</v>
      </c>
      <c r="X37" s="12" t="s">
        <v>67</v>
      </c>
      <c r="Y37" s="12"/>
      <c r="Z37" s="5" t="s">
        <v>1983</v>
      </c>
      <c r="AA37" s="5" t="s">
        <v>189</v>
      </c>
      <c r="AB37" s="5" t="s">
        <v>727</v>
      </c>
      <c r="AC37" s="5" t="s">
        <v>154</v>
      </c>
      <c r="AD37" s="5" t="s">
        <v>38</v>
      </c>
      <c r="AE37" s="199">
        <v>43936</v>
      </c>
      <c r="AF37" s="8" t="s">
        <v>5745</v>
      </c>
      <c r="AG37" s="20" t="s">
        <v>127</v>
      </c>
      <c r="AH37" s="2773"/>
      <c r="AI37" s="2773"/>
      <c r="AJ37" s="2773"/>
    </row>
    <row r="38" spans="2:36" s="295" customFormat="1" ht="129.65" customHeight="1">
      <c r="B38" s="2911" t="s">
        <v>44</v>
      </c>
      <c r="C38" s="4" t="s">
        <v>45</v>
      </c>
      <c r="D38" s="280" t="s">
        <v>32</v>
      </c>
      <c r="E38" s="280"/>
      <c r="F38" s="280"/>
      <c r="G38" s="280"/>
      <c r="H38" s="73"/>
      <c r="I38" s="73" t="s">
        <v>47</v>
      </c>
      <c r="J38" s="306" t="s">
        <v>5746</v>
      </c>
      <c r="K38" s="306"/>
      <c r="L38" s="5">
        <v>6</v>
      </c>
      <c r="M38" s="199">
        <f t="shared" si="4"/>
        <v>44285</v>
      </c>
      <c r="N38" s="199">
        <f t="shared" si="1"/>
        <v>44377</v>
      </c>
      <c r="O38" s="182">
        <v>44560</v>
      </c>
      <c r="P38" s="275">
        <v>12</v>
      </c>
      <c r="Q38" s="276">
        <v>12</v>
      </c>
      <c r="R38" s="18">
        <v>7930</v>
      </c>
      <c r="S38" s="327"/>
      <c r="T38" s="282">
        <v>7930</v>
      </c>
      <c r="U38" s="327"/>
      <c r="V38" s="274" t="s">
        <v>37</v>
      </c>
      <c r="W38" s="52" t="s">
        <v>38</v>
      </c>
      <c r="X38" s="48" t="s">
        <v>67</v>
      </c>
      <c r="Y38" s="2358"/>
      <c r="Z38" s="275" t="s">
        <v>262</v>
      </c>
      <c r="AA38" s="9" t="s">
        <v>289</v>
      </c>
      <c r="AB38" s="73" t="s">
        <v>727</v>
      </c>
      <c r="AC38" s="5" t="s">
        <v>154</v>
      </c>
      <c r="AD38" s="73" t="s">
        <v>38</v>
      </c>
      <c r="AE38" s="199"/>
      <c r="AF38" s="308"/>
      <c r="AG38" s="31" t="s">
        <v>264</v>
      </c>
      <c r="AH38" s="2824"/>
      <c r="AI38" s="2773"/>
      <c r="AJ38" s="2773"/>
    </row>
    <row r="39" spans="2:36" s="295" customFormat="1" ht="72.5">
      <c r="B39" s="2911" t="s">
        <v>44</v>
      </c>
      <c r="C39" s="4" t="s">
        <v>45</v>
      </c>
      <c r="D39" s="31" t="s">
        <v>32</v>
      </c>
      <c r="E39" s="31"/>
      <c r="F39" s="31"/>
      <c r="G39" s="31"/>
      <c r="H39" s="5"/>
      <c r="I39" s="5" t="s">
        <v>47</v>
      </c>
      <c r="J39" s="8" t="s">
        <v>5747</v>
      </c>
      <c r="K39" s="8"/>
      <c r="L39" s="5" t="e">
        <f>IF(OR(V39=#REF!,V39=#REF!,V39=#REF!,V39=#REF!,V39=#REF!,V39=#REF!,V39=#REF!,V39=#REF!),12,IF(OR(V39=#REF!,V39=#REF!,V39=#REF!,V39=#REF!,V39=#REF!,V39=#REF!,V39=#REF!),3,IF(V39=#REF!,1,IF(V39=#REF!,18,IF(OR(V39=#REF!,V39=#REF!,V39=#REF!,V39=#REF!,V39=#REF!),14,"Invalid proposed procurement method")))))</f>
        <v>#REF!</v>
      </c>
      <c r="M39" s="199" t="str">
        <f t="shared" si="4"/>
        <v>Invalid procurement method or date entered</v>
      </c>
      <c r="N39" s="199" t="str">
        <f t="shared" si="1"/>
        <v>Invalid procurement method or date entered</v>
      </c>
      <c r="O39" s="199">
        <v>44565</v>
      </c>
      <c r="P39" s="5" t="s">
        <v>45</v>
      </c>
      <c r="Q39" s="5" t="s">
        <v>45</v>
      </c>
      <c r="R39" s="41">
        <v>200000</v>
      </c>
      <c r="S39" s="1814"/>
      <c r="T39" s="215">
        <v>200000</v>
      </c>
      <c r="U39" s="2516"/>
      <c r="V39" s="31" t="s">
        <v>45</v>
      </c>
      <c r="W39" s="52" t="s">
        <v>70</v>
      </c>
      <c r="X39" s="210">
        <v>44362</v>
      </c>
      <c r="Y39" s="210"/>
      <c r="Z39" s="5" t="s">
        <v>4126</v>
      </c>
      <c r="AA39" s="5" t="s">
        <v>86</v>
      </c>
      <c r="AB39" s="5" t="s">
        <v>40</v>
      </c>
      <c r="AC39" s="5" t="s">
        <v>69</v>
      </c>
      <c r="AD39" s="12" t="s">
        <v>70</v>
      </c>
      <c r="AE39" s="199">
        <v>44601</v>
      </c>
      <c r="AF39" s="36" t="s">
        <v>5719</v>
      </c>
      <c r="AG39" s="31" t="s">
        <v>96</v>
      </c>
      <c r="AH39" s="2773"/>
      <c r="AI39" s="2773"/>
      <c r="AJ39" s="2773"/>
    </row>
    <row r="40" spans="2:36" s="298" customFormat="1" ht="156" customHeight="1">
      <c r="B40" s="2911" t="s">
        <v>44</v>
      </c>
      <c r="C40" s="4" t="s">
        <v>45</v>
      </c>
      <c r="D40" s="5" t="s">
        <v>32</v>
      </c>
      <c r="E40" s="5"/>
      <c r="F40" s="5"/>
      <c r="G40" s="5"/>
      <c r="H40" s="5"/>
      <c r="I40" s="5" t="s">
        <v>47</v>
      </c>
      <c r="J40" s="8" t="s">
        <v>5748</v>
      </c>
      <c r="K40" s="8"/>
      <c r="L40" s="5" t="e">
        <f>IF(OR(V40=#REF!,V40=#REF!,V40=#REF!,V40=#REF!,V40=#REF!,V40=#REF!,V40=#REF!,V40=#REF!),12,IF(OR(V40=#REF!,V40=#REF!,V40=#REF!,V40=#REF!,V40=#REF!,V40=#REF!,V40=#REF!),3,IF(V40=#REF!,1,IF(V40=#REF!,18,IF(OR(V40=#REF!,V40=#REF!,V40=#REF!,V40=#REF!,V40=#REF!),14,"Invalid proposed procurement method")))))</f>
        <v>#REF!</v>
      </c>
      <c r="M40" s="205" t="str">
        <f t="shared" si="4"/>
        <v>Invalid procurement method or date entered</v>
      </c>
      <c r="N40" s="199" t="str">
        <f t="shared" si="1"/>
        <v>Invalid procurement method or date entered</v>
      </c>
      <c r="O40" s="199" t="s">
        <v>45</v>
      </c>
      <c r="P40" s="5" t="s">
        <v>45</v>
      </c>
      <c r="Q40" s="5" t="s">
        <v>45</v>
      </c>
      <c r="R40" s="41">
        <v>25000</v>
      </c>
      <c r="S40" s="41"/>
      <c r="T40" s="215"/>
      <c r="U40" s="215"/>
      <c r="V40" s="5" t="s">
        <v>37</v>
      </c>
      <c r="W40" s="52" t="s">
        <v>70</v>
      </c>
      <c r="X40" s="210">
        <v>44362</v>
      </c>
      <c r="Y40" s="210"/>
      <c r="Z40" s="5" t="s">
        <v>4126</v>
      </c>
      <c r="AA40" s="5" t="s">
        <v>86</v>
      </c>
      <c r="AB40" s="5" t="s">
        <v>40</v>
      </c>
      <c r="AC40" s="5" t="s">
        <v>69</v>
      </c>
      <c r="AD40" s="12" t="s">
        <v>70</v>
      </c>
      <c r="AE40" s="199">
        <v>44601</v>
      </c>
      <c r="AF40" s="36" t="s">
        <v>5719</v>
      </c>
      <c r="AG40" s="5" t="s">
        <v>96</v>
      </c>
      <c r="AH40" s="2765"/>
      <c r="AI40" s="2765"/>
      <c r="AJ40" s="2765"/>
    </row>
    <row r="41" spans="2:36" s="296" customFormat="1" ht="72.5">
      <c r="B41" s="2911" t="s">
        <v>44</v>
      </c>
      <c r="C41" s="2763"/>
      <c r="D41" s="2838" t="s">
        <v>32</v>
      </c>
      <c r="E41" s="2838"/>
      <c r="F41" s="2838"/>
      <c r="G41" s="2838"/>
      <c r="H41" s="2763"/>
      <c r="I41" s="2763" t="s">
        <v>268</v>
      </c>
      <c r="J41" s="2752" t="s">
        <v>5749</v>
      </c>
      <c r="K41" s="2752"/>
      <c r="L41" s="2763" t="s">
        <v>1188</v>
      </c>
      <c r="M41" s="199" t="str">
        <f t="shared" si="4"/>
        <v>Invalid procurement method or date entered</v>
      </c>
      <c r="N41" s="199" t="str">
        <f t="shared" si="1"/>
        <v>Invalid procurement method or date entered</v>
      </c>
      <c r="O41" s="2764"/>
      <c r="P41" s="2763"/>
      <c r="Q41" s="2837"/>
      <c r="R41" s="2826">
        <v>120000</v>
      </c>
      <c r="S41" s="2933"/>
      <c r="T41" s="2763"/>
      <c r="U41" s="2838"/>
      <c r="V41" s="2797"/>
      <c r="W41" s="2763"/>
      <c r="X41" s="2763"/>
      <c r="Y41" s="2763"/>
      <c r="Z41" s="2763" t="s">
        <v>2474</v>
      </c>
      <c r="AA41" s="2763" t="s">
        <v>39</v>
      </c>
      <c r="AB41" s="2763" t="s">
        <v>40</v>
      </c>
      <c r="AC41" s="2763"/>
      <c r="AD41" s="2763" t="s">
        <v>38</v>
      </c>
      <c r="AE41" s="2764">
        <v>44351</v>
      </c>
      <c r="AF41" s="2758" t="s">
        <v>5750</v>
      </c>
      <c r="AG41" s="2838"/>
      <c r="AH41" s="2799"/>
      <c r="AI41" s="2799"/>
      <c r="AJ41" s="2799"/>
    </row>
    <row r="42" spans="2:36" s="295" customFormat="1" ht="72" customHeight="1">
      <c r="B42" s="2911" t="s">
        <v>44</v>
      </c>
      <c r="C42" s="2755" t="s">
        <v>3795</v>
      </c>
      <c r="D42" s="9" t="s">
        <v>32</v>
      </c>
      <c r="E42" s="9"/>
      <c r="F42" s="9"/>
      <c r="G42" s="9"/>
      <c r="H42" s="5"/>
      <c r="I42" s="2763" t="s">
        <v>268</v>
      </c>
      <c r="J42" s="2752" t="s">
        <v>5751</v>
      </c>
      <c r="K42" s="2752"/>
      <c r="L42" s="5" t="e">
        <f>IF(OR(V42=#REF!,V42=#REF!,V42=#REF!,V42=#REF!,V42=#REF!,V42=#REF!,V42=#REF!,V42=#REF!),12,IF(OR(V42=#REF!,V42=#REF!,V42=#REF!,V42=#REF!,V42=#REF!,V42=#REF!,V42=#REF!),3,IF(V42=#REF!,1,IF(V42=#REF!,18,IF(OR(V42=#REF!,V42=#REF!,V42=#REF!,V42=#REF!,V42=#REF!),14,"Invalid proposed procurement method")))))</f>
        <v>#REF!</v>
      </c>
      <c r="M42" s="205" t="str">
        <f t="shared" si="4"/>
        <v>Invalid procurement method or date entered</v>
      </c>
      <c r="N42" s="199" t="str">
        <f t="shared" si="1"/>
        <v>Invalid procurement method or date entered</v>
      </c>
      <c r="O42" s="2777"/>
      <c r="P42" s="2755"/>
      <c r="Q42" s="2755"/>
      <c r="R42" s="2940" t="s">
        <v>67</v>
      </c>
      <c r="S42" s="2940"/>
      <c r="T42" s="2755"/>
      <c r="U42" s="2755"/>
      <c r="V42" s="2752"/>
      <c r="W42" s="2755"/>
      <c r="X42" s="2755"/>
      <c r="Y42" s="2755"/>
      <c r="Z42" s="5" t="s">
        <v>239</v>
      </c>
      <c r="AA42" s="5" t="s">
        <v>39</v>
      </c>
      <c r="AB42" s="5" t="s">
        <v>40</v>
      </c>
      <c r="AC42" s="5" t="s">
        <v>69</v>
      </c>
      <c r="AD42" s="5"/>
      <c r="AE42" s="199">
        <v>44358</v>
      </c>
      <c r="AF42" s="2752" t="s">
        <v>5752</v>
      </c>
      <c r="AG42" s="5" t="s">
        <v>96</v>
      </c>
      <c r="AH42" s="2773"/>
      <c r="AI42" s="2773"/>
      <c r="AJ42" s="2773"/>
    </row>
    <row r="43" spans="2:36" s="296" customFormat="1" ht="44.9" customHeight="1">
      <c r="B43" s="2911" t="s">
        <v>44</v>
      </c>
      <c r="C43" s="4" t="s">
        <v>45</v>
      </c>
      <c r="D43" s="32" t="s">
        <v>32</v>
      </c>
      <c r="E43" s="32"/>
      <c r="F43" s="32"/>
      <c r="G43" s="32"/>
      <c r="H43" s="5"/>
      <c r="I43" s="2763" t="s">
        <v>268</v>
      </c>
      <c r="J43" s="2752" t="s">
        <v>5753</v>
      </c>
      <c r="K43" s="2752"/>
      <c r="L43" s="5" t="e">
        <f>IF(OR(V43=#REF!,V43=#REF!,V43=#REF!,V43=#REF!,V43=#REF!,V43=#REF!,V43=#REF!,V43=#REF!),12,IF(OR(V43=#REF!,V43=#REF!,V43=#REF!,V43=#REF!,V43=#REF!,V43=#REF!,V43=#REF!),3,IF(V43=#REF!,1,IF(V43=#REF!,18,IF(OR(V43=#REF!,V43=#REF!,V43=#REF!,V43=#REF!,V43=#REF!),14,"Invalid proposed procurement method")))))</f>
        <v>#REF!</v>
      </c>
      <c r="M43" s="205" t="str">
        <f t="shared" si="4"/>
        <v>Invalid procurement method or date entered</v>
      </c>
      <c r="N43" s="199" t="str">
        <f t="shared" si="1"/>
        <v>Invalid procurement method or date entered</v>
      </c>
      <c r="O43" s="199" t="s">
        <v>45</v>
      </c>
      <c r="P43" s="199" t="s">
        <v>45</v>
      </c>
      <c r="Q43" s="45" t="s">
        <v>45</v>
      </c>
      <c r="R43" s="199" t="s">
        <v>45</v>
      </c>
      <c r="S43" s="207"/>
      <c r="T43" s="41"/>
      <c r="U43" s="1814"/>
      <c r="V43" s="31" t="s">
        <v>270</v>
      </c>
      <c r="W43" s="5" t="s">
        <v>38</v>
      </c>
      <c r="X43" s="12" t="s">
        <v>67</v>
      </c>
      <c r="Y43" s="12"/>
      <c r="Z43" s="2751" t="s">
        <v>5754</v>
      </c>
      <c r="AA43" s="5" t="s">
        <v>39</v>
      </c>
      <c r="AB43" s="5" t="s">
        <v>40</v>
      </c>
      <c r="AC43" s="5" t="s">
        <v>154</v>
      </c>
      <c r="AD43" s="5" t="s">
        <v>38</v>
      </c>
      <c r="AE43" s="199">
        <v>44390</v>
      </c>
      <c r="AF43" s="33" t="s">
        <v>5755</v>
      </c>
      <c r="AG43" s="31" t="s">
        <v>240</v>
      </c>
      <c r="AH43" s="2799"/>
      <c r="AI43" s="2799"/>
      <c r="AJ43" s="2799"/>
    </row>
    <row r="44" spans="2:36" s="296" customFormat="1" ht="29.15" customHeight="1">
      <c r="B44" s="2911" t="s">
        <v>44</v>
      </c>
      <c r="C44" s="4"/>
      <c r="D44" s="32" t="s">
        <v>57</v>
      </c>
      <c r="E44" s="32"/>
      <c r="F44" s="32"/>
      <c r="G44" s="32"/>
      <c r="H44" s="5"/>
      <c r="I44" s="5" t="s">
        <v>47</v>
      </c>
      <c r="J44" s="16" t="s">
        <v>5756</v>
      </c>
      <c r="K44" s="16"/>
      <c r="L44" s="5" t="e">
        <f>IF(OR(V44=#REF!,V44=#REF!,V44=#REF!,V44=#REF!,V44=#REF!,V44=#REF!,V44=#REF!,V44=#REF!),12,IF(OR(V44=#REF!,V44=#REF!,V44=#REF!,V44=#REF!,V44=#REF!,V44=#REF!,V44=#REF!),3,IF(V44=#REF!,1,IF(V44=#REF!,18,IF(OR(V44=#REF!,V44=#REF!,V44=#REF!,V44=#REF!,V44=#REF!),14,"Invalid proposed procurement method")))))</f>
        <v>#REF!</v>
      </c>
      <c r="M44" s="199" t="str">
        <f t="shared" si="4"/>
        <v>Invalid procurement method or date entered</v>
      </c>
      <c r="N44" s="199" t="str">
        <f t="shared" si="1"/>
        <v>Invalid procurement method or date entered</v>
      </c>
      <c r="O44" s="199">
        <v>45017</v>
      </c>
      <c r="P44" s="12" t="s">
        <v>45</v>
      </c>
      <c r="Q44" s="27" t="s">
        <v>45</v>
      </c>
      <c r="R44" s="18">
        <v>40000</v>
      </c>
      <c r="S44" s="209"/>
      <c r="T44" s="44">
        <v>40000</v>
      </c>
      <c r="U44" s="2514"/>
      <c r="V44" s="31" t="s">
        <v>51</v>
      </c>
      <c r="W44" s="9" t="s">
        <v>38</v>
      </c>
      <c r="X44" s="15" t="s">
        <v>67</v>
      </c>
      <c r="Y44" s="15"/>
      <c r="Z44" s="5" t="s">
        <v>340</v>
      </c>
      <c r="AA44" s="5" t="s">
        <v>162</v>
      </c>
      <c r="AB44" s="5" t="s">
        <v>40</v>
      </c>
      <c r="AC44" s="5" t="s">
        <v>154</v>
      </c>
      <c r="AD44" s="5" t="s">
        <v>70</v>
      </c>
      <c r="AE44" s="199">
        <v>44610</v>
      </c>
      <c r="AF44" s="8" t="s">
        <v>5757</v>
      </c>
      <c r="AG44" s="31" t="s">
        <v>96</v>
      </c>
      <c r="AH44" s="1"/>
      <c r="AI44" s="2799"/>
      <c r="AJ44" s="2799"/>
    </row>
    <row r="45" spans="2:36" s="295" customFormat="1" ht="48" customHeight="1">
      <c r="B45" s="2911" t="s">
        <v>44</v>
      </c>
      <c r="C45" s="4" t="s">
        <v>45</v>
      </c>
      <c r="D45" s="32" t="s">
        <v>32</v>
      </c>
      <c r="E45" s="32"/>
      <c r="F45" s="32"/>
      <c r="G45" s="32"/>
      <c r="H45" s="5"/>
      <c r="I45" s="5" t="s">
        <v>34</v>
      </c>
      <c r="J45" s="16" t="s">
        <v>5397</v>
      </c>
      <c r="K45" s="16"/>
      <c r="L45" s="5">
        <v>9</v>
      </c>
      <c r="M45" s="199">
        <f t="shared" si="4"/>
        <v>45291</v>
      </c>
      <c r="N45" s="199">
        <f t="shared" si="1"/>
        <v>45382</v>
      </c>
      <c r="O45" s="199">
        <v>45657</v>
      </c>
      <c r="P45" s="5">
        <v>72</v>
      </c>
      <c r="Q45" s="5" t="s">
        <v>608</v>
      </c>
      <c r="R45" s="18">
        <v>9000000</v>
      </c>
      <c r="S45" s="209"/>
      <c r="T45" s="41">
        <v>2250000</v>
      </c>
      <c r="U45" s="1814"/>
      <c r="V45" s="31" t="s">
        <v>130</v>
      </c>
      <c r="W45" s="52" t="s">
        <v>45</v>
      </c>
      <c r="X45" s="48" t="s">
        <v>45</v>
      </c>
      <c r="Y45" s="48"/>
      <c r="Z45" s="5" t="s">
        <v>5758</v>
      </c>
      <c r="AA45" s="5" t="s">
        <v>39</v>
      </c>
      <c r="AB45" s="5" t="s">
        <v>40</v>
      </c>
      <c r="AC45" s="5" t="s">
        <v>87</v>
      </c>
      <c r="AD45" s="185" t="s">
        <v>70</v>
      </c>
      <c r="AE45" s="199">
        <v>44601</v>
      </c>
      <c r="AF45" s="8" t="s">
        <v>5759</v>
      </c>
      <c r="AG45" s="31" t="s">
        <v>240</v>
      </c>
      <c r="AH45" s="2799"/>
      <c r="AI45" s="2773"/>
      <c r="AJ45" s="2773"/>
    </row>
    <row r="46" spans="2:36" s="296" customFormat="1" ht="72.5">
      <c r="B46" s="2911" t="s">
        <v>44</v>
      </c>
      <c r="C46" s="4" t="s">
        <v>45</v>
      </c>
      <c r="D46" s="32" t="s">
        <v>32</v>
      </c>
      <c r="E46" s="32"/>
      <c r="F46" s="32"/>
      <c r="G46" s="32"/>
      <c r="H46" s="5"/>
      <c r="I46" s="5" t="s">
        <v>47</v>
      </c>
      <c r="J46" s="64" t="s">
        <v>2070</v>
      </c>
      <c r="K46" s="64"/>
      <c r="L46" s="5">
        <v>3</v>
      </c>
      <c r="M46" s="199">
        <f t="shared" si="4"/>
        <v>44470</v>
      </c>
      <c r="N46" s="199">
        <f t="shared" si="1"/>
        <v>44562</v>
      </c>
      <c r="O46" s="182">
        <v>44652</v>
      </c>
      <c r="P46" s="12"/>
      <c r="Q46" s="12"/>
      <c r="R46" s="18"/>
      <c r="S46" s="209"/>
      <c r="T46" s="41"/>
      <c r="U46" s="1814"/>
      <c r="V46" s="31" t="s">
        <v>45</v>
      </c>
      <c r="W46" s="52" t="s">
        <v>38</v>
      </c>
      <c r="X46" s="48" t="s">
        <v>67</v>
      </c>
      <c r="Y46" s="48"/>
      <c r="Z46" s="12" t="s">
        <v>262</v>
      </c>
      <c r="AA46" s="5" t="s">
        <v>162</v>
      </c>
      <c r="AB46" s="5" t="s">
        <v>40</v>
      </c>
      <c r="AC46" s="5" t="s">
        <v>154</v>
      </c>
      <c r="AD46" s="5" t="s">
        <v>38</v>
      </c>
      <c r="AE46" s="199">
        <v>44573</v>
      </c>
      <c r="AF46" s="33" t="s">
        <v>5760</v>
      </c>
      <c r="AG46" s="31" t="s">
        <v>264</v>
      </c>
      <c r="AH46" s="2799"/>
      <c r="AI46" s="2799"/>
      <c r="AJ46" s="2799"/>
    </row>
    <row r="47" spans="2:36" s="295" customFormat="1" ht="62.25" customHeight="1">
      <c r="B47" s="2911" t="s">
        <v>44</v>
      </c>
      <c r="C47" s="4" t="s">
        <v>1102</v>
      </c>
      <c r="D47" s="31" t="s">
        <v>32</v>
      </c>
      <c r="E47" s="31"/>
      <c r="F47" s="31"/>
      <c r="G47" s="31"/>
      <c r="H47" s="5"/>
      <c r="I47" s="5" t="s">
        <v>34</v>
      </c>
      <c r="J47" s="8" t="s">
        <v>1328</v>
      </c>
      <c r="K47" s="8"/>
      <c r="L47" s="5" t="e">
        <f>IF(OR(V47=#REF!,V47=#REF!,V47=#REF!,V47=#REF!,V47=#REF!,V47=#REF!,V47=#REF!,V47=#REF!),12,IF(OR(V47=#REF!,V47=#REF!,V47=#REF!,V47=#REF!,V47=#REF!,V47=#REF!,V47=#REF!),3,IF(V47=#REF!,1,IF(V47=#REF!,18,IF(OR(V47=#REF!,V47=#REF!,V47=#REF!,V47=#REF!,V47=#REF!),14,"Invalid proposed procurement method")))))</f>
        <v>#REF!</v>
      </c>
      <c r="M47" s="199" t="str">
        <f t="shared" si="4"/>
        <v>Invalid procurement method or date entered</v>
      </c>
      <c r="N47" s="199" t="str">
        <f t="shared" si="1"/>
        <v>Invalid procurement method or date entered</v>
      </c>
      <c r="O47" s="14">
        <v>44958</v>
      </c>
      <c r="P47" s="12">
        <v>56</v>
      </c>
      <c r="Q47" s="312" t="s">
        <v>5761</v>
      </c>
      <c r="R47" s="18">
        <v>55000</v>
      </c>
      <c r="S47" s="209"/>
      <c r="T47" s="197"/>
      <c r="U47" s="197"/>
      <c r="V47" s="207" t="s">
        <v>130</v>
      </c>
      <c r="W47" s="52" t="s">
        <v>62</v>
      </c>
      <c r="X47" s="48" t="s">
        <v>67</v>
      </c>
      <c r="Y47" s="48"/>
      <c r="Z47" s="5" t="s">
        <v>5762</v>
      </c>
      <c r="AA47" s="5" t="s">
        <v>39</v>
      </c>
      <c r="AB47" s="5" t="s">
        <v>40</v>
      </c>
      <c r="AC47" s="5" t="s">
        <v>154</v>
      </c>
      <c r="AD47" s="5" t="s">
        <v>70</v>
      </c>
      <c r="AE47" s="199">
        <v>44607</v>
      </c>
      <c r="AF47" s="8" t="s">
        <v>5763</v>
      </c>
      <c r="AG47" s="31" t="s">
        <v>164</v>
      </c>
      <c r="AH47" s="2824"/>
      <c r="AI47" s="2773"/>
      <c r="AJ47" s="2773"/>
    </row>
    <row r="48" spans="2:36" s="1" customFormat="1" ht="72.5">
      <c r="B48" s="2941" t="s">
        <v>44</v>
      </c>
      <c r="C48" s="279" t="s">
        <v>45</v>
      </c>
      <c r="D48" s="274" t="s">
        <v>32</v>
      </c>
      <c r="E48" s="274"/>
      <c r="F48" s="274"/>
      <c r="G48" s="274"/>
      <c r="H48" s="73"/>
      <c r="I48" s="73" t="s">
        <v>47</v>
      </c>
      <c r="J48" s="281" t="s">
        <v>5764</v>
      </c>
      <c r="K48" s="281"/>
      <c r="L48" s="73" t="e">
        <f>IF(OR(V48=#REF!,V48=#REF!,V48=#REF!,V48=#REF!,V48=#REF!,V48=#REF!,V48=#REF!,V48=#REF!),12,IF(OR(V48=#REF!,V48=#REF!,V48=#REF!,V48=#REF!,V48=#REF!,V48=#REF!,V48=#REF!),3,IF(V48=#REF!,1,IF(V48=#REF!,18,IF(OR(V48=#REF!,V48=#REF!,V48=#REF!,V48=#REF!,V48=#REF!),14,"Invalid proposed procurement method")))))</f>
        <v>#REF!</v>
      </c>
      <c r="M48" s="278" t="str">
        <f t="shared" si="4"/>
        <v>Invalid procurement method or date entered</v>
      </c>
      <c r="N48" s="278" t="str">
        <f t="shared" si="1"/>
        <v>Invalid procurement method or date entered</v>
      </c>
      <c r="O48" s="288" t="s">
        <v>45</v>
      </c>
      <c r="P48" s="275" t="s">
        <v>45</v>
      </c>
      <c r="Q48" s="319" t="s">
        <v>45</v>
      </c>
      <c r="R48" s="282" t="s">
        <v>45</v>
      </c>
      <c r="S48" s="327"/>
      <c r="T48" s="321"/>
      <c r="U48" s="2517"/>
      <c r="V48" s="320" t="s">
        <v>45</v>
      </c>
      <c r="W48" s="302"/>
      <c r="X48" s="288"/>
      <c r="Y48" s="288"/>
      <c r="Z48" s="275" t="s">
        <v>878</v>
      </c>
      <c r="AA48" s="73" t="s">
        <v>54</v>
      </c>
      <c r="AB48" s="73" t="s">
        <v>115</v>
      </c>
      <c r="AC48" s="73" t="s">
        <v>69</v>
      </c>
      <c r="AD48" s="275" t="s">
        <v>70</v>
      </c>
      <c r="AE48" s="278">
        <v>44624</v>
      </c>
      <c r="AF48" s="270" t="s">
        <v>5765</v>
      </c>
      <c r="AG48" s="274" t="s">
        <v>806</v>
      </c>
      <c r="AH48" s="2773"/>
    </row>
    <row r="49" spans="1:36" s="295" customFormat="1" ht="51.75" customHeight="1">
      <c r="A49" s="2773"/>
      <c r="B49" s="2911" t="s">
        <v>44</v>
      </c>
      <c r="C49" s="271" t="s">
        <v>45</v>
      </c>
      <c r="D49" s="283" t="s">
        <v>32</v>
      </c>
      <c r="E49" s="283"/>
      <c r="F49" s="283"/>
      <c r="G49" s="283"/>
      <c r="H49" s="283"/>
      <c r="I49" s="283" t="s">
        <v>47</v>
      </c>
      <c r="J49" s="273" t="s">
        <v>5764</v>
      </c>
      <c r="K49" s="273"/>
      <c r="L49" s="283" t="e">
        <f>IF(OR(V49=#REF!,V49=#REF!,V49=#REF!,V49=#REF!,V49=#REF!,V49=#REF!,V49=#REF!,V49=#REF!),12,IF(OR(V49=#REF!,V49=#REF!,V49=#REF!,V49=#REF!,V49=#REF!,V49=#REF!,V49=#REF!),3,IF(V49=#REF!,1,IF(V49=#REF!,18,IF(OR(V49=#REF!,V49=#REF!,V49=#REF!,V49=#REF!,V49=#REF!),14,"Invalid proposed procurement method")))))</f>
        <v>#REF!</v>
      </c>
      <c r="M49" s="284" t="str">
        <f t="shared" si="4"/>
        <v>Invalid procurement method or date entered</v>
      </c>
      <c r="N49" s="284" t="str">
        <f t="shared" si="1"/>
        <v>Invalid procurement method or date entered</v>
      </c>
      <c r="O49" s="294" t="s">
        <v>45</v>
      </c>
      <c r="P49" s="285" t="s">
        <v>45</v>
      </c>
      <c r="Q49" s="293" t="s">
        <v>45</v>
      </c>
      <c r="R49" s="286" t="s">
        <v>45</v>
      </c>
      <c r="S49" s="286"/>
      <c r="T49" s="311"/>
      <c r="U49" s="311"/>
      <c r="V49" s="284" t="s">
        <v>45</v>
      </c>
      <c r="W49" s="309"/>
      <c r="X49" s="294"/>
      <c r="Y49" s="294"/>
      <c r="Z49" s="285" t="s">
        <v>878</v>
      </c>
      <c r="AA49" s="283" t="s">
        <v>54</v>
      </c>
      <c r="AB49" s="283" t="s">
        <v>40</v>
      </c>
      <c r="AC49" s="283" t="s">
        <v>69</v>
      </c>
      <c r="AD49" s="285" t="s">
        <v>70</v>
      </c>
      <c r="AE49" s="284">
        <v>44624</v>
      </c>
      <c r="AF49" s="287" t="s">
        <v>5766</v>
      </c>
      <c r="AG49" s="283" t="s">
        <v>806</v>
      </c>
      <c r="AH49" s="2773"/>
      <c r="AI49" s="2773"/>
      <c r="AJ49" s="2773"/>
    </row>
    <row r="50" spans="1:36" s="1150" customFormat="1" ht="58">
      <c r="A50" s="2799"/>
      <c r="B50" s="2911" t="s">
        <v>44</v>
      </c>
      <c r="C50" s="2770"/>
      <c r="D50" s="32" t="s">
        <v>32</v>
      </c>
      <c r="E50" s="32"/>
      <c r="F50" s="32"/>
      <c r="G50" s="32"/>
      <c r="H50" s="5"/>
      <c r="I50" s="12" t="s">
        <v>47</v>
      </c>
      <c r="J50" s="8" t="s">
        <v>5767</v>
      </c>
      <c r="K50" s="8"/>
      <c r="L50" s="5"/>
      <c r="M50" s="199">
        <v>44562</v>
      </c>
      <c r="N50" s="199"/>
      <c r="O50" s="182" t="s">
        <v>45</v>
      </c>
      <c r="P50" s="12">
        <v>36</v>
      </c>
      <c r="Q50" s="25" t="s">
        <v>98</v>
      </c>
      <c r="R50" s="1547">
        <v>60000</v>
      </c>
      <c r="S50" s="2368"/>
      <c r="T50" s="41">
        <v>20000</v>
      </c>
      <c r="U50" s="1814"/>
      <c r="V50" s="31" t="s">
        <v>84</v>
      </c>
      <c r="W50" s="5" t="s">
        <v>62</v>
      </c>
      <c r="X50" s="12" t="s">
        <v>45</v>
      </c>
      <c r="Y50" s="12"/>
      <c r="Z50" s="5" t="s">
        <v>76</v>
      </c>
      <c r="AA50" s="5" t="s">
        <v>162</v>
      </c>
      <c r="AB50" s="5" t="s">
        <v>40</v>
      </c>
      <c r="AC50" s="5"/>
      <c r="AD50" s="5" t="s">
        <v>70</v>
      </c>
      <c r="AE50" s="199">
        <v>44635</v>
      </c>
      <c r="AF50" s="33" t="s">
        <v>5768</v>
      </c>
      <c r="AG50" s="31" t="s">
        <v>96</v>
      </c>
      <c r="AH50" s="2799"/>
      <c r="AI50" s="2799"/>
      <c r="AJ50" s="2799"/>
    </row>
    <row r="51" spans="1:36" s="1151" customFormat="1" ht="29">
      <c r="A51" s="2773"/>
      <c r="B51" s="2911" t="s">
        <v>44</v>
      </c>
      <c r="C51" s="4" t="s">
        <v>45</v>
      </c>
      <c r="D51" s="32" t="s">
        <v>32</v>
      </c>
      <c r="E51" s="32"/>
      <c r="F51" s="32"/>
      <c r="G51" s="32"/>
      <c r="H51" s="5"/>
      <c r="I51" s="5" t="s">
        <v>47</v>
      </c>
      <c r="J51" s="8" t="s">
        <v>457</v>
      </c>
      <c r="K51" s="8"/>
      <c r="L51" s="5">
        <v>9</v>
      </c>
      <c r="M51" s="199">
        <f>IFERROR(EDATE($N51,-3),"Invalid procurement method or date entered")</f>
        <v>44287</v>
      </c>
      <c r="N51" s="199">
        <f>IFERROR(EDATE(O51,-L51),"Invalid procurement method or date entered")</f>
        <v>44378</v>
      </c>
      <c r="O51" s="199">
        <v>44652</v>
      </c>
      <c r="P51" s="5">
        <v>36</v>
      </c>
      <c r="Q51" s="5" t="s">
        <v>160</v>
      </c>
      <c r="R51" s="1547">
        <v>460000</v>
      </c>
      <c r="S51" s="2368"/>
      <c r="T51" s="41"/>
      <c r="U51" s="1814"/>
      <c r="V51" s="31" t="s">
        <v>84</v>
      </c>
      <c r="W51" s="5" t="s">
        <v>458</v>
      </c>
      <c r="X51" s="12" t="s">
        <v>67</v>
      </c>
      <c r="Y51" s="12"/>
      <c r="Z51" s="5" t="s">
        <v>5769</v>
      </c>
      <c r="AA51" s="1562" t="s">
        <v>162</v>
      </c>
      <c r="AB51" s="5" t="s">
        <v>115</v>
      </c>
      <c r="AC51" s="5" t="s">
        <v>69</v>
      </c>
      <c r="AD51" s="5" t="s">
        <v>70</v>
      </c>
      <c r="AE51" s="199"/>
      <c r="AF51" s="8" t="s">
        <v>5770</v>
      </c>
      <c r="AG51" s="31" t="s">
        <v>285</v>
      </c>
      <c r="AH51" s="1"/>
      <c r="AI51" s="2773"/>
      <c r="AJ51" s="2773"/>
    </row>
    <row r="52" spans="1:36" s="1" customFormat="1" ht="72.5">
      <c r="B52" s="2911" t="s">
        <v>44</v>
      </c>
      <c r="C52" s="4" t="s">
        <v>45</v>
      </c>
      <c r="D52" s="32" t="s">
        <v>57</v>
      </c>
      <c r="E52" s="32"/>
      <c r="F52" s="32"/>
      <c r="G52" s="32"/>
      <c r="H52" s="5"/>
      <c r="I52" s="5" t="s">
        <v>47</v>
      </c>
      <c r="J52" s="8" t="s">
        <v>5771</v>
      </c>
      <c r="K52" s="8"/>
      <c r="L52" s="5" t="e">
        <f>IF(OR(V52=#REF!,V52=#REF!,V52=#REF!,V52=#REF!,V52=#REF!,V52=#REF!,V52=#REF!,V52=#REF!),12,IF(OR(V52=#REF!,V52=#REF!,V52=#REF!,V52=#REF!,V52=#REF!,V52=#REF!,V52=#REF!),3,IF(V52=#REF!,1,IF(V52=#REF!,18,IF(OR(V52=#REF!,V52=#REF!,V52=#REF!,V52=#REF!,V52=#REF!),14,"Invalid proposed procurement method")))))</f>
        <v>#REF!</v>
      </c>
      <c r="M52" s="199">
        <v>44378</v>
      </c>
      <c r="N52" s="199" t="str">
        <f>IFERROR(EDATE(O52,-L52),"Invalid procurement method or date entered")</f>
        <v>Invalid procurement method or date entered</v>
      </c>
      <c r="O52" s="199">
        <v>44440</v>
      </c>
      <c r="P52" s="199" t="s">
        <v>45</v>
      </c>
      <c r="Q52" s="2751" t="s">
        <v>45</v>
      </c>
      <c r="R52" s="18">
        <v>10000</v>
      </c>
      <c r="S52" s="18"/>
      <c r="T52" s="41"/>
      <c r="U52" s="41"/>
      <c r="V52" s="2751" t="s">
        <v>45</v>
      </c>
      <c r="W52" s="5" t="s">
        <v>38</v>
      </c>
      <c r="X52" s="182" t="s">
        <v>67</v>
      </c>
      <c r="Y52" s="182"/>
      <c r="Z52" s="5" t="s">
        <v>5131</v>
      </c>
      <c r="AA52" s="5" t="s">
        <v>289</v>
      </c>
      <c r="AB52" s="5" t="s">
        <v>727</v>
      </c>
      <c r="AC52" s="5" t="s">
        <v>87</v>
      </c>
      <c r="AD52" s="5" t="s">
        <v>38</v>
      </c>
      <c r="AE52" s="199"/>
      <c r="AF52" s="8" t="s">
        <v>5772</v>
      </c>
      <c r="AG52" s="31" t="s">
        <v>46</v>
      </c>
    </row>
    <row r="53" spans="1:36" s="1" customFormat="1" ht="72.5">
      <c r="B53" s="2911" t="s">
        <v>44</v>
      </c>
      <c r="C53" s="4" t="s">
        <v>45</v>
      </c>
      <c r="D53" s="32" t="s">
        <v>57</v>
      </c>
      <c r="E53" s="32"/>
      <c r="F53" s="32"/>
      <c r="G53" s="32"/>
      <c r="H53" s="5"/>
      <c r="I53" s="5" t="s">
        <v>47</v>
      </c>
      <c r="J53" s="8" t="s">
        <v>5773</v>
      </c>
      <c r="K53" s="8"/>
      <c r="L53" s="5" t="e">
        <f>IF(OR(V53=#REF!,V53=#REF!,V53=#REF!,V53=#REF!,V53=#REF!,V53=#REF!,V53=#REF!,V53=#REF!),12,IF(OR(V53=#REF!,V53=#REF!,V53=#REF!,V53=#REF!,V53=#REF!,V53=#REF!,V53=#REF!),3,IF(V53=#REF!,1,IF(V53=#REF!,18,IF(OR(V53=#REF!,V53=#REF!,V53=#REF!,V53=#REF!,V53=#REF!),14,"Invalid proposed procurement method")))))</f>
        <v>#REF!</v>
      </c>
      <c r="M53" s="199">
        <v>44378</v>
      </c>
      <c r="N53" s="199" t="str">
        <f>IFERROR(EDATE(O53,-L53),"Invalid procurement method or date entered")</f>
        <v>Invalid procurement method or date entered</v>
      </c>
      <c r="O53" s="199">
        <v>44440</v>
      </c>
      <c r="P53" s="199" t="s">
        <v>45</v>
      </c>
      <c r="Q53" s="2751" t="s">
        <v>45</v>
      </c>
      <c r="R53" s="18">
        <v>15000</v>
      </c>
      <c r="S53" s="18"/>
      <c r="T53" s="41"/>
      <c r="U53" s="41"/>
      <c r="V53" s="2751" t="s">
        <v>45</v>
      </c>
      <c r="W53" s="5" t="s">
        <v>38</v>
      </c>
      <c r="X53" s="182" t="s">
        <v>67</v>
      </c>
      <c r="Y53" s="182"/>
      <c r="Z53" s="5" t="s">
        <v>2166</v>
      </c>
      <c r="AA53" s="5" t="s">
        <v>289</v>
      </c>
      <c r="AB53" s="5" t="s">
        <v>727</v>
      </c>
      <c r="AC53" s="5" t="s">
        <v>87</v>
      </c>
      <c r="AD53" s="5" t="s">
        <v>38</v>
      </c>
      <c r="AE53" s="199"/>
      <c r="AF53" s="8" t="s">
        <v>5772</v>
      </c>
      <c r="AG53" s="31" t="s">
        <v>46</v>
      </c>
    </row>
    <row r="54" spans="1:36" s="1" customFormat="1" ht="72.5">
      <c r="B54" s="2911" t="s">
        <v>44</v>
      </c>
      <c r="C54" s="4" t="s">
        <v>45</v>
      </c>
      <c r="D54" s="32" t="s">
        <v>57</v>
      </c>
      <c r="E54" s="32"/>
      <c r="F54" s="32"/>
      <c r="G54" s="32"/>
      <c r="H54" s="5"/>
      <c r="I54" s="5" t="s">
        <v>47</v>
      </c>
      <c r="J54" s="8" t="s">
        <v>5774</v>
      </c>
      <c r="K54" s="8"/>
      <c r="L54" s="5" t="e">
        <f>IF(OR(V54=#REF!,V54=#REF!,V54=#REF!,V54=#REF!,V54=#REF!,V54=#REF!,V54=#REF!,V54=#REF!),12,IF(OR(V54=#REF!,V54=#REF!,V54=#REF!,V54=#REF!,V54=#REF!,V54=#REF!,V54=#REF!),3,IF(V54=#REF!,1,IF(V54=#REF!,18,IF(OR(V54=#REF!,V54=#REF!,V54=#REF!,V54=#REF!,V54=#REF!),14,"Invalid proposed procurement method")))))</f>
        <v>#REF!</v>
      </c>
      <c r="M54" s="199">
        <v>44378</v>
      </c>
      <c r="N54" s="199" t="str">
        <f>IFERROR(EDATE(O54,-L54),"Invalid procurement method or date entered")</f>
        <v>Invalid procurement method or date entered</v>
      </c>
      <c r="O54" s="199" t="s">
        <v>45</v>
      </c>
      <c r="P54" s="2751" t="s">
        <v>45</v>
      </c>
      <c r="Q54" s="2751" t="s">
        <v>45</v>
      </c>
      <c r="R54" s="18">
        <v>15000</v>
      </c>
      <c r="S54" s="209"/>
      <c r="T54" s="41"/>
      <c r="U54" s="1814"/>
      <c r="V54" s="2797" t="s">
        <v>45</v>
      </c>
      <c r="W54" s="5" t="s">
        <v>38</v>
      </c>
      <c r="X54" s="182" t="s">
        <v>67</v>
      </c>
      <c r="Y54" s="182"/>
      <c r="Z54" s="5" t="s">
        <v>3746</v>
      </c>
      <c r="AA54" s="5" t="s">
        <v>289</v>
      </c>
      <c r="AB54" s="5" t="s">
        <v>727</v>
      </c>
      <c r="AC54" s="5" t="s">
        <v>87</v>
      </c>
      <c r="AD54" s="5" t="s">
        <v>38</v>
      </c>
      <c r="AE54" s="199"/>
      <c r="AF54" s="8" t="s">
        <v>5772</v>
      </c>
      <c r="AG54" s="31" t="s">
        <v>46</v>
      </c>
    </row>
    <row r="55" spans="1:36" s="1" customFormat="1" ht="29">
      <c r="B55" s="2911" t="s">
        <v>44</v>
      </c>
      <c r="C55" s="10">
        <v>29893</v>
      </c>
      <c r="D55" s="31" t="s">
        <v>32</v>
      </c>
      <c r="E55" s="31"/>
      <c r="F55" s="31"/>
      <c r="G55" s="31"/>
      <c r="H55" s="5"/>
      <c r="I55" s="5" t="s">
        <v>130</v>
      </c>
      <c r="J55" s="16" t="s">
        <v>81</v>
      </c>
      <c r="K55" s="16"/>
      <c r="L55" s="5">
        <v>12</v>
      </c>
      <c r="M55" s="199">
        <f>IFERROR(EDATE($N55,-3),"Invalid procurement method or date entered")</f>
        <v>44927</v>
      </c>
      <c r="N55" s="199">
        <f>IFERROR(EDATE(O55,-L55),"Invalid procurement method or date entered")</f>
        <v>45017</v>
      </c>
      <c r="O55" s="182">
        <v>45383</v>
      </c>
      <c r="P55" s="109" t="s">
        <v>5775</v>
      </c>
      <c r="Q55" s="25" t="s">
        <v>83</v>
      </c>
      <c r="R55" s="18">
        <v>6500000</v>
      </c>
      <c r="S55" s="209"/>
      <c r="T55" s="43">
        <v>1137500</v>
      </c>
      <c r="U55" s="2515"/>
      <c r="V55" s="2797" t="s">
        <v>130</v>
      </c>
      <c r="W55" s="5" t="s">
        <v>45</v>
      </c>
      <c r="X55" s="182" t="s">
        <v>5776</v>
      </c>
      <c r="Y55" s="182"/>
      <c r="Z55" s="2751" t="s">
        <v>85</v>
      </c>
      <c r="AA55" s="5" t="s">
        <v>45</v>
      </c>
      <c r="AB55" s="5" t="s">
        <v>115</v>
      </c>
      <c r="AC55" s="5" t="s">
        <v>87</v>
      </c>
      <c r="AD55" s="5" t="s">
        <v>70</v>
      </c>
      <c r="AE55" s="199"/>
      <c r="AF55" s="8"/>
      <c r="AG55" s="20" t="s">
        <v>80</v>
      </c>
      <c r="AH55" s="2799"/>
    </row>
    <row r="56" spans="1:36" ht="58">
      <c r="B56" s="2941" t="s">
        <v>44</v>
      </c>
      <c r="C56" s="279" t="s">
        <v>45</v>
      </c>
      <c r="D56" s="280" t="s">
        <v>32</v>
      </c>
      <c r="E56" s="280"/>
      <c r="F56" s="280"/>
      <c r="G56" s="280"/>
      <c r="H56" s="73"/>
      <c r="I56" s="73" t="s">
        <v>34</v>
      </c>
      <c r="J56" s="281" t="s">
        <v>5777</v>
      </c>
      <c r="K56" s="352"/>
      <c r="L56" s="73">
        <v>8</v>
      </c>
      <c r="M56" s="278">
        <v>44409</v>
      </c>
      <c r="N56" s="278">
        <v>44501</v>
      </c>
      <c r="O56" s="278">
        <v>44743</v>
      </c>
      <c r="P56" s="340" t="s">
        <v>5778</v>
      </c>
      <c r="Q56" s="283" t="s">
        <v>1345</v>
      </c>
      <c r="R56" s="327" t="s">
        <v>45</v>
      </c>
      <c r="S56" s="327"/>
      <c r="T56" s="344"/>
      <c r="U56" s="2518"/>
      <c r="V56" s="31" t="s">
        <v>130</v>
      </c>
      <c r="W56" s="343" t="s">
        <v>45</v>
      </c>
      <c r="X56" s="343" t="s">
        <v>45</v>
      </c>
      <c r="Y56" s="343"/>
      <c r="Z56" s="73" t="s">
        <v>5779</v>
      </c>
      <c r="AA56" s="73" t="s">
        <v>39</v>
      </c>
      <c r="AB56" s="73" t="s">
        <v>40</v>
      </c>
      <c r="AC56" s="73" t="s">
        <v>154</v>
      </c>
      <c r="AD56" s="73" t="s">
        <v>38</v>
      </c>
      <c r="AE56" s="278">
        <v>44763</v>
      </c>
      <c r="AF56" s="270" t="s">
        <v>5780</v>
      </c>
      <c r="AG56" s="289"/>
    </row>
    <row r="57" spans="1:36" s="906" customFormat="1" ht="67.5" customHeight="1">
      <c r="B57" s="737" t="s">
        <v>44</v>
      </c>
      <c r="C57" s="738" t="s">
        <v>45</v>
      </c>
      <c r="D57" s="739" t="s">
        <v>32</v>
      </c>
      <c r="E57" s="739"/>
      <c r="F57" s="739"/>
      <c r="G57" s="739"/>
      <c r="H57" s="709"/>
      <c r="I57" s="747" t="s">
        <v>34</v>
      </c>
      <c r="J57" s="709" t="s">
        <v>5013</v>
      </c>
      <c r="K57" s="709"/>
      <c r="L57" s="695">
        <v>12</v>
      </c>
      <c r="M57" s="711">
        <v>44774</v>
      </c>
      <c r="N57" s="711">
        <f t="shared" ref="N57:N64" si="5">IFERROR(EDATE(O57,-L57),"Invalid procurement method or date entered")</f>
        <v>44835</v>
      </c>
      <c r="O57" s="711">
        <v>45200</v>
      </c>
      <c r="P57" s="752">
        <v>12</v>
      </c>
      <c r="Q57" s="719"/>
      <c r="R57" s="742">
        <v>30750</v>
      </c>
      <c r="S57" s="742"/>
      <c r="T57" s="768"/>
      <c r="U57" s="2519"/>
      <c r="V57" s="743" t="s">
        <v>130</v>
      </c>
      <c r="W57" s="695"/>
      <c r="X57" s="695"/>
      <c r="Y57" s="695"/>
      <c r="Z57" s="747" t="s">
        <v>808</v>
      </c>
      <c r="AA57" s="710" t="s">
        <v>3955</v>
      </c>
      <c r="AB57" s="695"/>
      <c r="AC57" s="695" t="s">
        <v>154</v>
      </c>
      <c r="AD57" s="710" t="s">
        <v>5781</v>
      </c>
      <c r="AE57" s="747"/>
      <c r="AF57" s="747"/>
      <c r="AG57" s="782" t="s">
        <v>127</v>
      </c>
    </row>
    <row r="58" spans="1:36" s="906" customFormat="1" ht="67.5" customHeight="1">
      <c r="B58" s="782" t="s">
        <v>44</v>
      </c>
      <c r="C58" s="738" t="s">
        <v>45</v>
      </c>
      <c r="D58" s="808" t="s">
        <v>57</v>
      </c>
      <c r="E58" s="808"/>
      <c r="F58" s="808"/>
      <c r="G58" s="808"/>
      <c r="H58" s="709"/>
      <c r="I58" s="709" t="s">
        <v>47</v>
      </c>
      <c r="J58" s="748" t="s">
        <v>432</v>
      </c>
      <c r="K58" s="748" t="s">
        <v>5782</v>
      </c>
      <c r="L58" s="710" t="e">
        <f>IF(OR(V58=#REF!,V58=#REF!,V58=#REF!,V58=#REF!,V58=#REF!,V58=#REF!,V58=#REF!,V58=#REF!),12,IF(OR(V58=#REF!,V58=#REF!,V58=#REF!,V58=#REF!,V58=#REF!,V58=#REF!,V58=#REF!),3,IF(V58=#REF!,1,IF(V58=#REF!,18,IF(OR(V58=#REF!,V58=#REF!,V58=#REF!,V58=#REF!,V58=#REF!),14,"Invalid proposed procurement method")))))</f>
        <v>#REF!</v>
      </c>
      <c r="M58" s="711" t="str">
        <f>IFERROR(EDATE($N58,-3),"Invalid procurement method or date entered")</f>
        <v>Invalid procurement method or date entered</v>
      </c>
      <c r="N58" s="711" t="str">
        <f t="shared" si="5"/>
        <v>Invalid procurement method or date entered</v>
      </c>
      <c r="O58" s="749">
        <v>45597</v>
      </c>
      <c r="P58" s="695">
        <v>60</v>
      </c>
      <c r="Q58" s="710" t="s">
        <v>45</v>
      </c>
      <c r="R58" s="742">
        <v>231600</v>
      </c>
      <c r="S58" s="742"/>
      <c r="T58" s="933">
        <v>21165</v>
      </c>
      <c r="U58" s="933"/>
      <c r="V58" s="710" t="s">
        <v>45</v>
      </c>
      <c r="W58" s="710" t="s">
        <v>70</v>
      </c>
      <c r="X58" s="738" t="s">
        <v>67</v>
      </c>
      <c r="Y58" s="738"/>
      <c r="Z58" s="709" t="s">
        <v>435</v>
      </c>
      <c r="AA58" s="710" t="s">
        <v>3955</v>
      </c>
      <c r="AB58" s="710" t="s">
        <v>115</v>
      </c>
      <c r="AC58" s="750" t="s">
        <v>69</v>
      </c>
      <c r="AD58" s="710" t="s">
        <v>70</v>
      </c>
      <c r="AE58" s="902"/>
      <c r="AF58" s="747" t="s">
        <v>436</v>
      </c>
      <c r="AG58" s="843" t="s">
        <v>164</v>
      </c>
    </row>
    <row r="59" spans="1:36" s="906" customFormat="1" ht="67.5" customHeight="1">
      <c r="B59" s="737" t="s">
        <v>44</v>
      </c>
      <c r="C59" s="738" t="s">
        <v>3660</v>
      </c>
      <c r="D59" s="739" t="s">
        <v>32</v>
      </c>
      <c r="E59" s="739"/>
      <c r="F59" s="739"/>
      <c r="G59" s="739"/>
      <c r="H59" s="709"/>
      <c r="I59" s="709" t="s">
        <v>34</v>
      </c>
      <c r="J59" s="748" t="s">
        <v>4581</v>
      </c>
      <c r="K59" s="940" t="s">
        <v>5783</v>
      </c>
      <c r="L59" s="710">
        <v>6</v>
      </c>
      <c r="M59" s="711">
        <f>IFERROR(EDATE($N59,-3),"Invalid procurement method or date entered")</f>
        <v>44691</v>
      </c>
      <c r="N59" s="711">
        <f t="shared" si="5"/>
        <v>44783</v>
      </c>
      <c r="O59" s="749">
        <v>44967</v>
      </c>
      <c r="P59" s="752">
        <v>36</v>
      </c>
      <c r="Q59" s="723" t="s">
        <v>5784</v>
      </c>
      <c r="R59" s="742">
        <v>90305</v>
      </c>
      <c r="S59" s="742"/>
      <c r="T59" s="849"/>
      <c r="U59" s="2520"/>
      <c r="V59" s="708" t="s">
        <v>130</v>
      </c>
      <c r="W59" s="860" t="s">
        <v>62</v>
      </c>
      <c r="X59" s="837" t="s">
        <v>71</v>
      </c>
      <c r="Y59" s="837"/>
      <c r="Z59" s="709" t="s">
        <v>5785</v>
      </c>
      <c r="AA59" s="710" t="s">
        <v>39</v>
      </c>
      <c r="AB59" s="710" t="s">
        <v>40</v>
      </c>
      <c r="AC59" s="710" t="s">
        <v>154</v>
      </c>
      <c r="AD59" s="710" t="s">
        <v>70</v>
      </c>
      <c r="AE59" s="745">
        <v>44796</v>
      </c>
      <c r="AF59" s="748" t="s">
        <v>5786</v>
      </c>
      <c r="AG59" s="708" t="s">
        <v>164</v>
      </c>
    </row>
    <row r="60" spans="1:36" s="906" customFormat="1" ht="67.5" customHeight="1">
      <c r="B60" s="737" t="s">
        <v>44</v>
      </c>
      <c r="C60" s="738" t="s">
        <v>45</v>
      </c>
      <c r="D60" s="739" t="s">
        <v>32</v>
      </c>
      <c r="E60" s="739"/>
      <c r="F60" s="739"/>
      <c r="G60" s="739"/>
      <c r="H60" s="709"/>
      <c r="I60" s="709" t="s">
        <v>34</v>
      </c>
      <c r="J60" s="709" t="s">
        <v>2041</v>
      </c>
      <c r="K60" s="709" t="s">
        <v>5787</v>
      </c>
      <c r="L60" s="710" t="e">
        <f>IF(OR(V60=#REF!,V60=#REF!,V60=#REF!,V60=#REF!,V60=#REF!,V60=#REF!,V60=#REF!,V60=#REF!),12,IF(OR(V60=#REF!,V60=#REF!,V60=#REF!,V60=#REF!,V60=#REF!,V60=#REF!,V60=#REF!),3,IF(V60=#REF!,1,IF(V60=#REF!,18,IF(OR(V60=#REF!,V60=#REF!,V60=#REF!,V60=#REF!,V60=#REF!),14,"Invalid proposed procurement method")))))</f>
        <v>#REF!</v>
      </c>
      <c r="M60" s="711" t="str">
        <f>IFERROR(EDATE($N60,-3),"Invalid procurement method or date entered")</f>
        <v>Invalid procurement method or date entered</v>
      </c>
      <c r="N60" s="711" t="str">
        <f t="shared" si="5"/>
        <v>Invalid procurement method or date entered</v>
      </c>
      <c r="O60" s="711">
        <v>45067</v>
      </c>
      <c r="P60" s="750">
        <v>120</v>
      </c>
      <c r="Q60" s="723" t="s">
        <v>5788</v>
      </c>
      <c r="R60" s="742">
        <v>6140000</v>
      </c>
      <c r="S60" s="742"/>
      <c r="T60" s="744"/>
      <c r="U60" s="1475"/>
      <c r="V60" s="708" t="s">
        <v>130</v>
      </c>
      <c r="W60" s="848" t="s">
        <v>70</v>
      </c>
      <c r="X60" s="848" t="s">
        <v>45</v>
      </c>
      <c r="Y60" s="848"/>
      <c r="Z60" s="709" t="s">
        <v>5789</v>
      </c>
      <c r="AA60" s="710" t="s">
        <v>39</v>
      </c>
      <c r="AB60" s="710" t="s">
        <v>727</v>
      </c>
      <c r="AC60" s="710" t="s">
        <v>87</v>
      </c>
      <c r="AD60" s="710" t="s">
        <v>70</v>
      </c>
      <c r="AE60" s="832">
        <v>44791</v>
      </c>
      <c r="AF60" s="709" t="s">
        <v>5790</v>
      </c>
      <c r="AG60" s="785" t="s">
        <v>127</v>
      </c>
    </row>
    <row r="61" spans="1:36" s="906" customFormat="1" ht="67.5" customHeight="1">
      <c r="A61" s="1152"/>
      <c r="B61" s="737" t="s">
        <v>44</v>
      </c>
      <c r="C61" s="738" t="s">
        <v>3660</v>
      </c>
      <c r="D61" s="739" t="s">
        <v>32</v>
      </c>
      <c r="E61" s="739"/>
      <c r="F61" s="739"/>
      <c r="G61" s="739"/>
      <c r="H61" s="699"/>
      <c r="I61" s="699" t="s">
        <v>34</v>
      </c>
      <c r="J61" s="2271" t="s">
        <v>4581</v>
      </c>
      <c r="K61" s="1173" t="s">
        <v>5783</v>
      </c>
      <c r="L61" s="710">
        <v>6</v>
      </c>
      <c r="M61" s="711">
        <f>IFERROR(EDATE($N61,-3),"Invalid procurement method or date entered")</f>
        <v>44691</v>
      </c>
      <c r="N61" s="711">
        <f t="shared" si="5"/>
        <v>44783</v>
      </c>
      <c r="O61" s="1166">
        <v>44967</v>
      </c>
      <c r="P61" s="1167">
        <v>36</v>
      </c>
      <c r="Q61" s="723" t="s">
        <v>5784</v>
      </c>
      <c r="R61" s="742">
        <v>90305</v>
      </c>
      <c r="S61" s="930"/>
      <c r="T61" s="1178"/>
      <c r="U61" s="1941"/>
      <c r="V61" s="698" t="s">
        <v>130</v>
      </c>
      <c r="W61" s="1176" t="s">
        <v>62</v>
      </c>
      <c r="X61" s="844" t="s">
        <v>71</v>
      </c>
      <c r="Y61" s="844"/>
      <c r="Z61" s="709" t="s">
        <v>5791</v>
      </c>
      <c r="AA61" s="700" t="s">
        <v>283</v>
      </c>
      <c r="AB61" s="710" t="s">
        <v>40</v>
      </c>
      <c r="AC61" s="710" t="s">
        <v>154</v>
      </c>
      <c r="AD61" s="710" t="s">
        <v>70</v>
      </c>
      <c r="AE61" s="745">
        <v>44810</v>
      </c>
      <c r="AF61" s="1172" t="s">
        <v>5792</v>
      </c>
      <c r="AG61" s="708" t="s">
        <v>164</v>
      </c>
    </row>
    <row r="62" spans="1:36" s="906" customFormat="1" ht="67.5" customHeight="1">
      <c r="A62" s="1235" t="s">
        <v>71</v>
      </c>
      <c r="B62" s="737" t="s">
        <v>44</v>
      </c>
      <c r="C62" s="738" t="s">
        <v>45</v>
      </c>
      <c r="D62" s="808" t="s">
        <v>32</v>
      </c>
      <c r="E62" s="808"/>
      <c r="F62" s="808"/>
      <c r="G62" s="808"/>
      <c r="H62" s="709"/>
      <c r="I62" s="877" t="s">
        <v>731</v>
      </c>
      <c r="J62" s="709" t="s">
        <v>5793</v>
      </c>
      <c r="K62" s="709"/>
      <c r="L62" s="710" t="e">
        <f>IF(OR(V62=#REF!,V62=#REF!,V62=#REF!,V62=#REF!,V62=#REF!,V62=#REF!,V62=#REF!,V62=#REF!),12,IF(OR(V62=#REF!,V62=#REF!,V62=#REF!,V62=#REF!,V62=#REF!,V62=#REF!,V62=#REF!),3,IF(V62=#REF!,1,IF(V62=#REF!,18,IF(OR(V62=#REF!,V62=#REF!,V62=#REF!,V62=#REF!,V62=#REF!),14,"Invalid proposed procurement method")))))</f>
        <v>#REF!</v>
      </c>
      <c r="M62" s="769">
        <v>44469</v>
      </c>
      <c r="N62" s="769" t="str">
        <f t="shared" si="5"/>
        <v>Invalid procurement method or date entered</v>
      </c>
      <c r="O62" s="947">
        <v>44531</v>
      </c>
      <c r="P62" s="740">
        <v>36</v>
      </c>
      <c r="Q62" s="741">
        <v>36</v>
      </c>
      <c r="R62" s="742">
        <v>67500</v>
      </c>
      <c r="S62" s="742"/>
      <c r="T62" s="783">
        <v>15000</v>
      </c>
      <c r="U62" s="2465"/>
      <c r="V62" s="743" t="s">
        <v>176</v>
      </c>
      <c r="W62" s="710" t="s">
        <v>38</v>
      </c>
      <c r="X62" s="769" t="s">
        <v>71</v>
      </c>
      <c r="Y62" s="769"/>
      <c r="Z62" s="709" t="s">
        <v>5794</v>
      </c>
      <c r="AA62" s="710" t="s">
        <v>60</v>
      </c>
      <c r="AB62" s="710" t="s">
        <v>115</v>
      </c>
      <c r="AC62" s="710"/>
      <c r="AD62" s="710"/>
      <c r="AE62" s="1252">
        <v>44817</v>
      </c>
      <c r="AF62" s="709" t="s">
        <v>5795</v>
      </c>
      <c r="AG62" s="785" t="s">
        <v>73</v>
      </c>
      <c r="AH62" s="719">
        <f ca="1">TODAY()-AE62</f>
        <v>491</v>
      </c>
    </row>
    <row r="63" spans="1:36" s="1217" customFormat="1" ht="67.5" customHeight="1">
      <c r="A63" s="1248" t="s">
        <v>71</v>
      </c>
      <c r="B63" s="1208" t="s">
        <v>44</v>
      </c>
      <c r="C63" s="1209"/>
      <c r="D63" s="1210" t="s">
        <v>32</v>
      </c>
      <c r="E63" s="1210"/>
      <c r="F63" s="1210"/>
      <c r="G63" s="1210"/>
      <c r="H63" s="1211"/>
      <c r="I63" s="1211" t="s">
        <v>34</v>
      </c>
      <c r="J63" s="709" t="s">
        <v>274</v>
      </c>
      <c r="K63" s="709"/>
      <c r="L63" s="710">
        <v>6</v>
      </c>
      <c r="M63" s="1232">
        <f>IFERROR(EDATE($N63,-3),"Invalid procurement method or date entered")</f>
        <v>44621</v>
      </c>
      <c r="N63" s="1232">
        <f t="shared" si="5"/>
        <v>44713</v>
      </c>
      <c r="O63" s="1241">
        <v>44896</v>
      </c>
      <c r="P63" s="1231">
        <v>18</v>
      </c>
      <c r="Q63" s="1214" t="s">
        <v>275</v>
      </c>
      <c r="R63" s="1215">
        <v>15000</v>
      </c>
      <c r="S63" s="1215"/>
      <c r="T63" s="1225">
        <v>7500</v>
      </c>
      <c r="U63" s="2521"/>
      <c r="V63" s="1210" t="s">
        <v>45</v>
      </c>
      <c r="W63" s="1216" t="s">
        <v>38</v>
      </c>
      <c r="X63" s="1232" t="s">
        <v>67</v>
      </c>
      <c r="Y63" s="1232"/>
      <c r="Z63" s="1211" t="s">
        <v>276</v>
      </c>
      <c r="AA63" s="1233" t="s">
        <v>189</v>
      </c>
      <c r="AB63" s="1216" t="s">
        <v>40</v>
      </c>
      <c r="AC63" s="1216" t="s">
        <v>154</v>
      </c>
      <c r="AD63" s="1216" t="s">
        <v>70</v>
      </c>
      <c r="AE63" s="1222">
        <v>2</v>
      </c>
      <c r="AF63" s="1211" t="s">
        <v>5796</v>
      </c>
      <c r="AG63" s="1224" t="s">
        <v>46</v>
      </c>
      <c r="AH63" s="1234">
        <f ca="1">TODAY()-AE63</f>
        <v>45306</v>
      </c>
    </row>
    <row r="64" spans="1:36" s="906" customFormat="1" ht="67.5" customHeight="1">
      <c r="A64" s="1235" t="s">
        <v>71</v>
      </c>
      <c r="B64" s="737" t="s">
        <v>44</v>
      </c>
      <c r="C64" s="695" t="s">
        <v>45</v>
      </c>
      <c r="D64" s="708" t="s">
        <v>57</v>
      </c>
      <c r="E64" s="708"/>
      <c r="F64" s="708"/>
      <c r="G64" s="708"/>
      <c r="H64" s="709"/>
      <c r="I64" s="747" t="s">
        <v>47</v>
      </c>
      <c r="J64" s="748" t="s">
        <v>5797</v>
      </c>
      <c r="K64" s="748"/>
      <c r="L64" s="710" t="e">
        <f>IF(OR(V64=#REF!,V64=#REF!,V64=#REF!,V64=#REF!,V64=#REF!,V64=#REF!,V64=#REF!,V64=#REF!),12,IF(OR(V64=#REF!,V64=#REF!,V64=#REF!,V64=#REF!,V64=#REF!,V64=#REF!,V64=#REF!),3,IF(V64=#REF!,1,IF(V64=#REF!,18,IF(OR(V64=#REF!,V64=#REF!,V64=#REF!,V64=#REF!,V64=#REF!),14,"Invalid proposed procurement method")))))</f>
        <v>#REF!</v>
      </c>
      <c r="M64" s="769" t="str">
        <f>IFERROR(EDATE($N64,-3),"Invalid procurement method or date entered")</f>
        <v>Invalid procurement method or date entered</v>
      </c>
      <c r="N64" s="769" t="str">
        <f t="shared" si="5"/>
        <v>Invalid procurement method or date entered</v>
      </c>
      <c r="O64" s="1235">
        <v>44682</v>
      </c>
      <c r="P64" s="752" t="s">
        <v>45</v>
      </c>
      <c r="Q64" s="719" t="s">
        <v>45</v>
      </c>
      <c r="R64" s="742" t="s">
        <v>45</v>
      </c>
      <c r="S64" s="742"/>
      <c r="T64" s="783"/>
      <c r="U64" s="2465"/>
      <c r="V64" s="743" t="s">
        <v>45</v>
      </c>
      <c r="W64" s="710" t="s">
        <v>62</v>
      </c>
      <c r="X64" s="738" t="s">
        <v>71</v>
      </c>
      <c r="Y64" s="738"/>
      <c r="Z64" s="748" t="s">
        <v>5798</v>
      </c>
      <c r="AA64" s="695" t="s">
        <v>54</v>
      </c>
      <c r="AB64" s="710" t="s">
        <v>4996</v>
      </c>
      <c r="AC64" s="695" t="s">
        <v>69</v>
      </c>
      <c r="AD64" s="710" t="s">
        <v>70</v>
      </c>
      <c r="AE64" s="720">
        <v>44631</v>
      </c>
      <c r="AF64" s="1177" t="s">
        <v>5799</v>
      </c>
      <c r="AG64" s="782" t="s">
        <v>96</v>
      </c>
      <c r="AH64" s="719">
        <f ca="1">TODAY()-AE64</f>
        <v>677</v>
      </c>
    </row>
    <row r="65" spans="1:36" s="906" customFormat="1" ht="67.5" customHeight="1">
      <c r="A65" s="749"/>
      <c r="B65" s="814" t="s">
        <v>56</v>
      </c>
      <c r="C65" s="815" t="s">
        <v>60</v>
      </c>
      <c r="D65" s="816" t="s">
        <v>5800</v>
      </c>
      <c r="E65" s="816"/>
      <c r="F65" s="816"/>
      <c r="G65" s="816"/>
      <c r="H65" s="817"/>
      <c r="I65" s="818" t="s">
        <v>47</v>
      </c>
      <c r="J65" s="729" t="s">
        <v>5801</v>
      </c>
      <c r="K65" s="818"/>
      <c r="L65" s="819">
        <v>12</v>
      </c>
      <c r="M65" s="820">
        <f t="shared" ref="M65:M73" si="6">IF(O65="tbc","",(IFERROR(EDATE($N65,-3),"Invalid procurement method or date entered")))</f>
        <v>44621</v>
      </c>
      <c r="N65" s="821">
        <f t="shared" ref="N65:N73" si="7">IF(O65="tbc","",(IFERROR(EDATE(O65,-L65),"Invalid procurement method or date entered")))</f>
        <v>44713</v>
      </c>
      <c r="O65" s="822">
        <v>45078</v>
      </c>
      <c r="P65" s="823">
        <v>1</v>
      </c>
      <c r="Q65" s="827">
        <v>1</v>
      </c>
      <c r="R65" s="742">
        <f t="shared" ref="R65:R73" si="8">31753500/10</f>
        <v>3175350</v>
      </c>
      <c r="S65" s="742"/>
      <c r="T65" s="924"/>
      <c r="U65" s="926"/>
      <c r="V65" s="828" t="s">
        <v>91</v>
      </c>
      <c r="W65" s="824" t="s">
        <v>589</v>
      </c>
      <c r="X65" s="824" t="s">
        <v>60</v>
      </c>
      <c r="Y65" s="824"/>
      <c r="Z65" s="818" t="s">
        <v>722</v>
      </c>
      <c r="AA65" s="819" t="s">
        <v>60</v>
      </c>
      <c r="AB65" s="825" t="s">
        <v>115</v>
      </c>
      <c r="AC65" s="825" t="s">
        <v>69</v>
      </c>
      <c r="AD65" s="695" t="s">
        <v>38</v>
      </c>
      <c r="AE65" s="826">
        <v>44845</v>
      </c>
      <c r="AF65" s="1300" t="s">
        <v>5802</v>
      </c>
      <c r="AG65" s="924"/>
      <c r="AH65" s="719">
        <f t="shared" ref="AH65:AH73" ca="1" si="9">IFERROR(TODAY()-AE65,"N/A")</f>
        <v>463</v>
      </c>
    </row>
    <row r="66" spans="1:36" s="906" customFormat="1" ht="67.5" customHeight="1">
      <c r="A66" s="749"/>
      <c r="B66" s="814" t="s">
        <v>56</v>
      </c>
      <c r="C66" s="815" t="s">
        <v>60</v>
      </c>
      <c r="D66" s="816" t="s">
        <v>5800</v>
      </c>
      <c r="E66" s="816"/>
      <c r="F66" s="816"/>
      <c r="G66" s="816"/>
      <c r="H66" s="817"/>
      <c r="I66" s="818" t="s">
        <v>47</v>
      </c>
      <c r="J66" s="729" t="s">
        <v>5803</v>
      </c>
      <c r="K66" s="818"/>
      <c r="L66" s="819">
        <v>12</v>
      </c>
      <c r="M66" s="820">
        <f t="shared" si="6"/>
        <v>44621</v>
      </c>
      <c r="N66" s="821">
        <f t="shared" si="7"/>
        <v>44713</v>
      </c>
      <c r="O66" s="822">
        <v>45078</v>
      </c>
      <c r="P66" s="823">
        <v>1</v>
      </c>
      <c r="Q66" s="827">
        <v>1</v>
      </c>
      <c r="R66" s="742">
        <f t="shared" si="8"/>
        <v>3175350</v>
      </c>
      <c r="S66" s="742"/>
      <c r="T66" s="924"/>
      <c r="U66" s="926"/>
      <c r="V66" s="828" t="s">
        <v>91</v>
      </c>
      <c r="W66" s="824" t="s">
        <v>589</v>
      </c>
      <c r="X66" s="824" t="s">
        <v>60</v>
      </c>
      <c r="Y66" s="824"/>
      <c r="Z66" s="818" t="s">
        <v>722</v>
      </c>
      <c r="AA66" s="819" t="s">
        <v>60</v>
      </c>
      <c r="AB66" s="825" t="s">
        <v>115</v>
      </c>
      <c r="AC66" s="825" t="s">
        <v>69</v>
      </c>
      <c r="AD66" s="695" t="s">
        <v>38</v>
      </c>
      <c r="AE66" s="826">
        <v>44845</v>
      </c>
      <c r="AF66" s="1300" t="s">
        <v>5804</v>
      </c>
      <c r="AG66" s="924"/>
      <c r="AH66" s="719">
        <f t="shared" ca="1" si="9"/>
        <v>463</v>
      </c>
    </row>
    <row r="67" spans="1:36" s="906" customFormat="1" ht="67.5" customHeight="1">
      <c r="A67" s="749"/>
      <c r="B67" s="814" t="s">
        <v>56</v>
      </c>
      <c r="C67" s="815" t="s">
        <v>60</v>
      </c>
      <c r="D67" s="816" t="s">
        <v>5800</v>
      </c>
      <c r="E67" s="816"/>
      <c r="F67" s="816"/>
      <c r="G67" s="816"/>
      <c r="H67" s="817"/>
      <c r="I67" s="818" t="s">
        <v>47</v>
      </c>
      <c r="J67" s="729" t="s">
        <v>5805</v>
      </c>
      <c r="K67" s="818"/>
      <c r="L67" s="819">
        <v>12</v>
      </c>
      <c r="M67" s="820">
        <f t="shared" si="6"/>
        <v>44621</v>
      </c>
      <c r="N67" s="821">
        <f t="shared" si="7"/>
        <v>44713</v>
      </c>
      <c r="O67" s="822">
        <v>45078</v>
      </c>
      <c r="P67" s="823">
        <v>1</v>
      </c>
      <c r="Q67" s="827">
        <v>1</v>
      </c>
      <c r="R67" s="742">
        <f t="shared" si="8"/>
        <v>3175350</v>
      </c>
      <c r="S67" s="742"/>
      <c r="T67" s="924"/>
      <c r="U67" s="926"/>
      <c r="V67" s="828" t="s">
        <v>91</v>
      </c>
      <c r="W67" s="824" t="s">
        <v>589</v>
      </c>
      <c r="X67" s="824" t="s">
        <v>60</v>
      </c>
      <c r="Y67" s="824"/>
      <c r="Z67" s="818" t="s">
        <v>722</v>
      </c>
      <c r="AA67" s="819" t="s">
        <v>60</v>
      </c>
      <c r="AB67" s="825" t="s">
        <v>115</v>
      </c>
      <c r="AC67" s="825" t="s">
        <v>69</v>
      </c>
      <c r="AD67" s="695" t="s">
        <v>38</v>
      </c>
      <c r="AE67" s="826">
        <v>44845</v>
      </c>
      <c r="AF67" s="1300" t="s">
        <v>5806</v>
      </c>
      <c r="AG67" s="924"/>
      <c r="AH67" s="719">
        <f t="shared" ca="1" si="9"/>
        <v>463</v>
      </c>
    </row>
    <row r="68" spans="1:36" s="906" customFormat="1" ht="67.5" customHeight="1">
      <c r="A68" s="749"/>
      <c r="B68" s="814" t="s">
        <v>56</v>
      </c>
      <c r="C68" s="815" t="s">
        <v>60</v>
      </c>
      <c r="D68" s="816" t="s">
        <v>5800</v>
      </c>
      <c r="E68" s="816"/>
      <c r="F68" s="816"/>
      <c r="G68" s="816"/>
      <c r="H68" s="817"/>
      <c r="I68" s="818" t="s">
        <v>47</v>
      </c>
      <c r="J68" s="729" t="s">
        <v>5807</v>
      </c>
      <c r="K68" s="818"/>
      <c r="L68" s="819">
        <v>12</v>
      </c>
      <c r="M68" s="820">
        <f t="shared" si="6"/>
        <v>44621</v>
      </c>
      <c r="N68" s="821">
        <f t="shared" si="7"/>
        <v>44713</v>
      </c>
      <c r="O68" s="822">
        <v>45078</v>
      </c>
      <c r="P68" s="823">
        <v>1</v>
      </c>
      <c r="Q68" s="827">
        <v>1</v>
      </c>
      <c r="R68" s="742">
        <f t="shared" si="8"/>
        <v>3175350</v>
      </c>
      <c r="S68" s="742"/>
      <c r="T68" s="924"/>
      <c r="U68" s="926"/>
      <c r="V68" s="828" t="s">
        <v>91</v>
      </c>
      <c r="W68" s="824" t="s">
        <v>589</v>
      </c>
      <c r="X68" s="824" t="s">
        <v>60</v>
      </c>
      <c r="Y68" s="824"/>
      <c r="Z68" s="818" t="s">
        <v>722</v>
      </c>
      <c r="AA68" s="819" t="s">
        <v>60</v>
      </c>
      <c r="AB68" s="825" t="s">
        <v>115</v>
      </c>
      <c r="AC68" s="825" t="s">
        <v>69</v>
      </c>
      <c r="AD68" s="695" t="s">
        <v>38</v>
      </c>
      <c r="AE68" s="826">
        <v>44845</v>
      </c>
      <c r="AF68" s="1300" t="s">
        <v>5808</v>
      </c>
      <c r="AG68" s="924"/>
      <c r="AH68" s="719">
        <f t="shared" ca="1" si="9"/>
        <v>463</v>
      </c>
    </row>
    <row r="69" spans="1:36" s="906" customFormat="1" ht="67.5" customHeight="1">
      <c r="A69" s="749"/>
      <c r="B69" s="814" t="s">
        <v>56</v>
      </c>
      <c r="C69" s="815" t="s">
        <v>60</v>
      </c>
      <c r="D69" s="816" t="s">
        <v>5800</v>
      </c>
      <c r="E69" s="816"/>
      <c r="F69" s="816"/>
      <c r="G69" s="816"/>
      <c r="H69" s="817"/>
      <c r="I69" s="818" t="s">
        <v>47</v>
      </c>
      <c r="J69" s="729" t="s">
        <v>5809</v>
      </c>
      <c r="K69" s="818"/>
      <c r="L69" s="819">
        <v>12</v>
      </c>
      <c r="M69" s="820">
        <f t="shared" si="6"/>
        <v>44621</v>
      </c>
      <c r="N69" s="821">
        <f t="shared" si="7"/>
        <v>44713</v>
      </c>
      <c r="O69" s="822">
        <v>45078</v>
      </c>
      <c r="P69" s="823">
        <v>1</v>
      </c>
      <c r="Q69" s="827">
        <v>1</v>
      </c>
      <c r="R69" s="742">
        <f t="shared" si="8"/>
        <v>3175350</v>
      </c>
      <c r="S69" s="742"/>
      <c r="T69" s="924"/>
      <c r="U69" s="926"/>
      <c r="V69" s="828" t="s">
        <v>91</v>
      </c>
      <c r="W69" s="824" t="s">
        <v>589</v>
      </c>
      <c r="X69" s="824" t="s">
        <v>60</v>
      </c>
      <c r="Y69" s="824"/>
      <c r="Z69" s="818" t="s">
        <v>722</v>
      </c>
      <c r="AA69" s="819" t="s">
        <v>60</v>
      </c>
      <c r="AB69" s="825" t="s">
        <v>115</v>
      </c>
      <c r="AC69" s="825" t="s">
        <v>69</v>
      </c>
      <c r="AD69" s="695" t="s">
        <v>38</v>
      </c>
      <c r="AE69" s="826">
        <v>44845</v>
      </c>
      <c r="AF69" s="1300" t="s">
        <v>5810</v>
      </c>
      <c r="AG69" s="924"/>
      <c r="AH69" s="719">
        <f t="shared" ca="1" si="9"/>
        <v>463</v>
      </c>
    </row>
    <row r="70" spans="1:36" s="906" customFormat="1" ht="67.5" customHeight="1">
      <c r="A70" s="749"/>
      <c r="B70" s="814" t="s">
        <v>56</v>
      </c>
      <c r="C70" s="815" t="s">
        <v>60</v>
      </c>
      <c r="D70" s="816" t="s">
        <v>5800</v>
      </c>
      <c r="E70" s="816"/>
      <c r="F70" s="816"/>
      <c r="G70" s="816"/>
      <c r="H70" s="817"/>
      <c r="I70" s="818" t="s">
        <v>47</v>
      </c>
      <c r="J70" s="729" t="s">
        <v>5811</v>
      </c>
      <c r="K70" s="818"/>
      <c r="L70" s="819">
        <v>12</v>
      </c>
      <c r="M70" s="820">
        <f t="shared" si="6"/>
        <v>44621</v>
      </c>
      <c r="N70" s="821">
        <f t="shared" si="7"/>
        <v>44713</v>
      </c>
      <c r="O70" s="822">
        <v>45078</v>
      </c>
      <c r="P70" s="823">
        <v>1</v>
      </c>
      <c r="Q70" s="827">
        <v>1</v>
      </c>
      <c r="R70" s="742">
        <f t="shared" si="8"/>
        <v>3175350</v>
      </c>
      <c r="S70" s="742"/>
      <c r="T70" s="924"/>
      <c r="U70" s="926"/>
      <c r="V70" s="828" t="s">
        <v>91</v>
      </c>
      <c r="W70" s="824" t="s">
        <v>589</v>
      </c>
      <c r="X70" s="824" t="s">
        <v>60</v>
      </c>
      <c r="Y70" s="824"/>
      <c r="Z70" s="818" t="s">
        <v>722</v>
      </c>
      <c r="AA70" s="819" t="s">
        <v>60</v>
      </c>
      <c r="AB70" s="897" t="s">
        <v>115</v>
      </c>
      <c r="AC70" s="825" t="s">
        <v>69</v>
      </c>
      <c r="AD70" s="695" t="s">
        <v>38</v>
      </c>
      <c r="AE70" s="826">
        <v>44845</v>
      </c>
      <c r="AF70" s="1300" t="s">
        <v>5812</v>
      </c>
      <c r="AG70" s="924"/>
      <c r="AH70" s="719">
        <f t="shared" ca="1" si="9"/>
        <v>463</v>
      </c>
    </row>
    <row r="71" spans="1:36" s="906" customFormat="1" ht="67.5" customHeight="1">
      <c r="A71" s="749"/>
      <c r="B71" s="814" t="s">
        <v>56</v>
      </c>
      <c r="C71" s="815" t="s">
        <v>60</v>
      </c>
      <c r="D71" s="816" t="s">
        <v>5800</v>
      </c>
      <c r="E71" s="816"/>
      <c r="F71" s="816"/>
      <c r="G71" s="816"/>
      <c r="H71" s="817"/>
      <c r="I71" s="818" t="s">
        <v>47</v>
      </c>
      <c r="J71" s="729" t="s">
        <v>5813</v>
      </c>
      <c r="K71" s="818"/>
      <c r="L71" s="819">
        <v>12</v>
      </c>
      <c r="M71" s="820">
        <f t="shared" si="6"/>
        <v>44621</v>
      </c>
      <c r="N71" s="821">
        <f t="shared" si="7"/>
        <v>44713</v>
      </c>
      <c r="O71" s="822">
        <v>45078</v>
      </c>
      <c r="P71" s="823">
        <v>1</v>
      </c>
      <c r="Q71" s="827">
        <v>1</v>
      </c>
      <c r="R71" s="742">
        <f t="shared" si="8"/>
        <v>3175350</v>
      </c>
      <c r="S71" s="742"/>
      <c r="T71" s="924"/>
      <c r="U71" s="926"/>
      <c r="V71" s="828" t="s">
        <v>91</v>
      </c>
      <c r="W71" s="824" t="s">
        <v>589</v>
      </c>
      <c r="X71" s="824" t="s">
        <v>60</v>
      </c>
      <c r="Y71" s="824"/>
      <c r="Z71" s="818" t="s">
        <v>722</v>
      </c>
      <c r="AA71" s="819" t="s">
        <v>60</v>
      </c>
      <c r="AB71" s="825" t="s">
        <v>115</v>
      </c>
      <c r="AC71" s="825" t="s">
        <v>69</v>
      </c>
      <c r="AD71" s="695" t="s">
        <v>38</v>
      </c>
      <c r="AE71" s="826">
        <v>44845</v>
      </c>
      <c r="AF71" s="1300" t="s">
        <v>5814</v>
      </c>
      <c r="AG71" s="924"/>
      <c r="AH71" s="719">
        <f t="shared" ca="1" si="9"/>
        <v>463</v>
      </c>
    </row>
    <row r="72" spans="1:36" s="906" customFormat="1" ht="67.5" customHeight="1">
      <c r="A72" s="749"/>
      <c r="B72" s="814" t="s">
        <v>56</v>
      </c>
      <c r="C72" s="815" t="s">
        <v>60</v>
      </c>
      <c r="D72" s="816" t="s">
        <v>5800</v>
      </c>
      <c r="E72" s="816"/>
      <c r="F72" s="816"/>
      <c r="G72" s="816"/>
      <c r="H72" s="817"/>
      <c r="I72" s="818" t="s">
        <v>47</v>
      </c>
      <c r="J72" s="729" t="s">
        <v>5815</v>
      </c>
      <c r="K72" s="818"/>
      <c r="L72" s="819">
        <v>12</v>
      </c>
      <c r="M72" s="820">
        <f t="shared" si="6"/>
        <v>44621</v>
      </c>
      <c r="N72" s="821">
        <f t="shared" si="7"/>
        <v>44713</v>
      </c>
      <c r="O72" s="822">
        <v>45078</v>
      </c>
      <c r="P72" s="823">
        <v>1</v>
      </c>
      <c r="Q72" s="827">
        <v>1</v>
      </c>
      <c r="R72" s="742">
        <f t="shared" si="8"/>
        <v>3175350</v>
      </c>
      <c r="S72" s="742"/>
      <c r="T72" s="924"/>
      <c r="U72" s="926"/>
      <c r="V72" s="828" t="s">
        <v>91</v>
      </c>
      <c r="W72" s="824" t="s">
        <v>589</v>
      </c>
      <c r="X72" s="824" t="s">
        <v>60</v>
      </c>
      <c r="Y72" s="824"/>
      <c r="Z72" s="818" t="s">
        <v>722</v>
      </c>
      <c r="AA72" s="819" t="s">
        <v>60</v>
      </c>
      <c r="AB72" s="825" t="s">
        <v>115</v>
      </c>
      <c r="AC72" s="825" t="s">
        <v>69</v>
      </c>
      <c r="AD72" s="695" t="s">
        <v>38</v>
      </c>
      <c r="AE72" s="826">
        <v>44845</v>
      </c>
      <c r="AF72" s="1300" t="s">
        <v>5816</v>
      </c>
      <c r="AG72" s="924"/>
      <c r="AH72" s="719">
        <f t="shared" ca="1" si="9"/>
        <v>463</v>
      </c>
    </row>
    <row r="73" spans="1:36" s="906" customFormat="1" ht="67.5" customHeight="1">
      <c r="A73" s="749"/>
      <c r="B73" s="814" t="s">
        <v>56</v>
      </c>
      <c r="C73" s="815" t="s">
        <v>60</v>
      </c>
      <c r="D73" s="816" t="s">
        <v>5800</v>
      </c>
      <c r="E73" s="816"/>
      <c r="F73" s="816"/>
      <c r="G73" s="816"/>
      <c r="H73" s="817"/>
      <c r="I73" s="818" t="s">
        <v>47</v>
      </c>
      <c r="J73" s="729" t="s">
        <v>5817</v>
      </c>
      <c r="K73" s="818"/>
      <c r="L73" s="819">
        <v>12</v>
      </c>
      <c r="M73" s="820">
        <f t="shared" si="6"/>
        <v>44621</v>
      </c>
      <c r="N73" s="821">
        <f t="shared" si="7"/>
        <v>44713</v>
      </c>
      <c r="O73" s="822">
        <v>45078</v>
      </c>
      <c r="P73" s="823">
        <v>1</v>
      </c>
      <c r="Q73" s="827">
        <v>1</v>
      </c>
      <c r="R73" s="742">
        <f t="shared" si="8"/>
        <v>3175350</v>
      </c>
      <c r="S73" s="742"/>
      <c r="T73" s="924"/>
      <c r="U73" s="926"/>
      <c r="V73" s="828" t="s">
        <v>91</v>
      </c>
      <c r="W73" s="824" t="s">
        <v>589</v>
      </c>
      <c r="X73" s="824" t="s">
        <v>60</v>
      </c>
      <c r="Y73" s="824"/>
      <c r="Z73" s="818" t="s">
        <v>722</v>
      </c>
      <c r="AA73" s="819" t="s">
        <v>60</v>
      </c>
      <c r="AB73" s="825" t="s">
        <v>115</v>
      </c>
      <c r="AC73" s="825" t="s">
        <v>69</v>
      </c>
      <c r="AD73" s="695" t="s">
        <v>38</v>
      </c>
      <c r="AE73" s="826">
        <v>44845</v>
      </c>
      <c r="AF73" s="1300" t="s">
        <v>5818</v>
      </c>
      <c r="AG73" s="924"/>
      <c r="AH73" s="719">
        <f t="shared" ca="1" si="9"/>
        <v>463</v>
      </c>
    </row>
    <row r="74" spans="1:36" s="906" customFormat="1" ht="67.5" customHeight="1">
      <c r="A74" s="1250"/>
      <c r="B74" s="782" t="s">
        <v>44</v>
      </c>
      <c r="C74" s="738" t="s">
        <v>45</v>
      </c>
      <c r="D74" s="808" t="s">
        <v>32</v>
      </c>
      <c r="E74" s="808"/>
      <c r="F74" s="808"/>
      <c r="G74" s="808"/>
      <c r="H74" s="709"/>
      <c r="I74" s="709" t="s">
        <v>47</v>
      </c>
      <c r="J74" s="709" t="s">
        <v>5819</v>
      </c>
      <c r="K74" s="709" t="s">
        <v>5820</v>
      </c>
      <c r="L74" s="710" t="e">
        <f>IF(OR(V74=#REF!,V74=#REF!,V74=#REF!,V74=#REF!,V74=#REF!,V74=#REF!,V74=#REF!,V74=#REF!),12,IF(OR(V74=#REF!,V74=#REF!,V74=#REF!,V74=#REF!,V74=#REF!,V74=#REF!,V74=#REF!),3,IF(V74=#REF!,1,IF(V74=#REF!,18,IF(OR(V74=#REF!,V74=#REF!,V74=#REF!,V74=#REF!,V74=#REF!),14,"Invalid proposed procurement method")))))</f>
        <v>#REF!</v>
      </c>
      <c r="M74" s="769" t="str">
        <f>IFERROR(EDATE($N74,-3),"Invalid procurement method or date entered")</f>
        <v>Invalid procurement method or date entered</v>
      </c>
      <c r="N74" s="769" t="str">
        <f>IFERROR(EDATE(O74,-L74),"Invalid procurement method or date entered")</f>
        <v>Invalid procurement method or date entered</v>
      </c>
      <c r="O74" s="769" t="s">
        <v>45</v>
      </c>
      <c r="P74" s="710" t="s">
        <v>45</v>
      </c>
      <c r="Q74" s="884" t="s">
        <v>45</v>
      </c>
      <c r="R74" s="742" t="s">
        <v>45</v>
      </c>
      <c r="S74" s="742"/>
      <c r="T74" s="793"/>
      <c r="U74" s="806"/>
      <c r="V74" s="829" t="s">
        <v>366</v>
      </c>
      <c r="W74" s="885" t="s">
        <v>70</v>
      </c>
      <c r="X74" s="886" t="s">
        <v>45</v>
      </c>
      <c r="Y74" s="886"/>
      <c r="Z74" s="709" t="s">
        <v>1738</v>
      </c>
      <c r="AA74" s="730" t="s">
        <v>254</v>
      </c>
      <c r="AB74" s="710" t="s">
        <v>115</v>
      </c>
      <c r="AC74" s="750" t="s">
        <v>87</v>
      </c>
      <c r="AD74" s="710" t="s">
        <v>38</v>
      </c>
      <c r="AE74" s="904">
        <v>44739</v>
      </c>
      <c r="AF74" s="943" t="s">
        <v>5821</v>
      </c>
      <c r="AG74" s="723" t="s">
        <v>806</v>
      </c>
      <c r="AH74" s="719">
        <f ca="1">IFERROR(TODAY()-AE74,"N/A")</f>
        <v>569</v>
      </c>
    </row>
    <row r="75" spans="1:36" s="906" customFormat="1" ht="52">
      <c r="A75" s="1235" t="s">
        <v>71</v>
      </c>
      <c r="B75" s="841" t="s">
        <v>44</v>
      </c>
      <c r="C75" s="1277" t="s">
        <v>45</v>
      </c>
      <c r="D75" s="1311" t="s">
        <v>32</v>
      </c>
      <c r="E75" s="1311"/>
      <c r="F75" s="1311"/>
      <c r="G75" s="1311"/>
      <c r="H75" s="1319"/>
      <c r="I75" s="699" t="s">
        <v>34</v>
      </c>
      <c r="J75" s="704" t="s">
        <v>5361</v>
      </c>
      <c r="K75" s="704" t="s">
        <v>5362</v>
      </c>
      <c r="L75" s="705">
        <v>1</v>
      </c>
      <c r="M75" s="1320">
        <f>IFERROR(EDATE($N75,-3),"Invalid procurement method or date entered")</f>
        <v>45047</v>
      </c>
      <c r="N75" s="1320">
        <f>IFERROR(EDATE(O75,-L75),"Invalid procurement method or date entered")</f>
        <v>45139</v>
      </c>
      <c r="O75" s="1321">
        <v>45170</v>
      </c>
      <c r="P75" s="1322">
        <v>36</v>
      </c>
      <c r="Q75" s="1159">
        <v>36</v>
      </c>
      <c r="R75" s="929">
        <v>63000</v>
      </c>
      <c r="S75" s="883"/>
      <c r="T75" s="1328">
        <v>21000</v>
      </c>
      <c r="U75" s="1936"/>
      <c r="V75" s="843" t="s">
        <v>130</v>
      </c>
      <c r="W75" s="881" t="s">
        <v>38</v>
      </c>
      <c r="X75" s="741" t="s">
        <v>67</v>
      </c>
      <c r="Y75" s="2345"/>
      <c r="Z75" s="1260" t="s">
        <v>969</v>
      </c>
      <c r="AA75" s="1261" t="s">
        <v>283</v>
      </c>
      <c r="AB75" s="1261" t="s">
        <v>40</v>
      </c>
      <c r="AC75" s="888"/>
      <c r="AD75" s="1326" t="s">
        <v>38</v>
      </c>
      <c r="AE75" s="1314">
        <v>44854</v>
      </c>
      <c r="AF75" s="1327" t="s">
        <v>5822</v>
      </c>
      <c r="AG75" s="1279" t="s">
        <v>145</v>
      </c>
      <c r="AH75" s="719">
        <f ca="1">IFERROR(TODAY()-AE75,"N/A")</f>
        <v>454</v>
      </c>
    </row>
    <row r="76" spans="1:36" s="906" customFormat="1" ht="52">
      <c r="A76" s="695" t="s">
        <v>71</v>
      </c>
      <c r="B76" s="755" t="s">
        <v>100</v>
      </c>
      <c r="C76" s="707" t="s">
        <v>45</v>
      </c>
      <c r="D76" s="710" t="s">
        <v>122</v>
      </c>
      <c r="E76" s="710"/>
      <c r="F76" s="710"/>
      <c r="G76" s="710"/>
      <c r="H76" s="710"/>
      <c r="I76" s="710" t="s">
        <v>47</v>
      </c>
      <c r="J76" s="710" t="s">
        <v>5823</v>
      </c>
      <c r="K76" s="710"/>
      <c r="L76" s="710">
        <v>12</v>
      </c>
      <c r="M76" s="711" t="str">
        <f>IFERROR(EDATE(N76,-3),"Invalid procurement method or date entered")</f>
        <v>Invalid procurement method or date entered</v>
      </c>
      <c r="N76" s="712" t="str">
        <f>IFERROR(EDATE(O76,-L76),"Invalid procurement method or date entered")</f>
        <v>Invalid procurement method or date entered</v>
      </c>
      <c r="O76" s="730" t="s">
        <v>45</v>
      </c>
      <c r="P76" s="758" t="s">
        <v>45</v>
      </c>
      <c r="Q76" s="758" t="s">
        <v>45</v>
      </c>
      <c r="R76" s="742" t="s">
        <v>45</v>
      </c>
      <c r="S76" s="742"/>
      <c r="T76" s="794"/>
      <c r="U76" s="922"/>
      <c r="V76" s="758" t="s">
        <v>45</v>
      </c>
      <c r="W76" s="710" t="s">
        <v>45</v>
      </c>
      <c r="X76" s="710" t="s">
        <v>45</v>
      </c>
      <c r="Y76" s="710"/>
      <c r="Z76" s="710" t="s">
        <v>5824</v>
      </c>
      <c r="AA76" s="710" t="s">
        <v>125</v>
      </c>
      <c r="AB76" s="789" t="s">
        <v>40</v>
      </c>
      <c r="AC76" s="750" t="s">
        <v>5249</v>
      </c>
      <c r="AD76" s="724" t="s">
        <v>70</v>
      </c>
      <c r="AE76" s="769">
        <v>44871</v>
      </c>
      <c r="AF76" s="1160" t="s">
        <v>5825</v>
      </c>
      <c r="AG76" s="794"/>
      <c r="AH76" s="737">
        <f ca="1">IFERROR(TODAY()-AE76,"N/A")</f>
        <v>437</v>
      </c>
    </row>
    <row r="77" spans="1:36" s="906" customFormat="1" ht="39">
      <c r="A77" s="1250">
        <v>44886</v>
      </c>
      <c r="B77" s="737" t="s">
        <v>44</v>
      </c>
      <c r="C77" s="738"/>
      <c r="D77" s="739" t="s">
        <v>2645</v>
      </c>
      <c r="E77" s="739"/>
      <c r="F77" s="739"/>
      <c r="G77" s="739"/>
      <c r="H77" s="710"/>
      <c r="I77" s="808" t="s">
        <v>47</v>
      </c>
      <c r="J77" s="710" t="s">
        <v>5826</v>
      </c>
      <c r="K77" s="710"/>
      <c r="L77" s="710"/>
      <c r="M77" s="769"/>
      <c r="N77" s="769"/>
      <c r="O77" s="1237" t="s">
        <v>45</v>
      </c>
      <c r="P77" s="830"/>
      <c r="Q77" s="1331"/>
      <c r="R77" s="937">
        <v>40000</v>
      </c>
      <c r="S77" s="937"/>
      <c r="T77" s="1255"/>
      <c r="U77" s="1938"/>
      <c r="V77" s="708"/>
      <c r="W77" s="710" t="s">
        <v>612</v>
      </c>
      <c r="X77" s="738" t="s">
        <v>71</v>
      </c>
      <c r="Y77" s="738"/>
      <c r="Z77" s="808" t="s">
        <v>5319</v>
      </c>
      <c r="AA77" s="808" t="s">
        <v>780</v>
      </c>
      <c r="AB77" s="710" t="s">
        <v>40</v>
      </c>
      <c r="AC77" s="710"/>
      <c r="AD77" s="808"/>
      <c r="AE77" s="769">
        <v>44918</v>
      </c>
      <c r="AF77" s="1292" t="s">
        <v>5827</v>
      </c>
      <c r="AG77" s="741"/>
      <c r="AH77" s="737">
        <f ca="1">IFERROR(TODAY()-AE77,"N/A")</f>
        <v>390</v>
      </c>
    </row>
    <row r="78" spans="1:36" s="906" customFormat="1" ht="409.5">
      <c r="A78" s="1235" t="s">
        <v>71</v>
      </c>
      <c r="B78" s="737" t="s">
        <v>44</v>
      </c>
      <c r="C78" s="738" t="s">
        <v>45</v>
      </c>
      <c r="D78" s="739" t="s">
        <v>57</v>
      </c>
      <c r="E78" s="739"/>
      <c r="F78" s="739"/>
      <c r="G78" s="739"/>
      <c r="H78" s="739"/>
      <c r="I78" s="710" t="s">
        <v>496</v>
      </c>
      <c r="J78" s="710" t="s">
        <v>47</v>
      </c>
      <c r="K78" s="709" t="s">
        <v>3158</v>
      </c>
      <c r="L78" s="710"/>
      <c r="M78" s="710" t="e">
        <f>IF(OR(W78=#REF!,W78=#REF!,W78=#REF!,W78=#REF!,W78=#REF!,W78=#REF!,W78=#REF!,W78=#REF!),12,IF(OR(W78=#REF!,W78=#REF!,W78=#REF!,W78=#REF!,W78=#REF!,W78=#REF!,W78=#REF!),3,IF(W78=#REF!,1,IF(W78=#REF!,18,IF(OR(W78=#REF!,W78=#REF!,W78=#REF!,W78=#REF!,W78=#REF!),14,"Invalid proposed procurement method")))))</f>
        <v>#REF!</v>
      </c>
      <c r="N78" s="769" t="str">
        <f>IFERROR(EDATE(#REF!,-3),"Invalid procurement method or date entered")</f>
        <v>Invalid procurement method or date entered</v>
      </c>
      <c r="O78" s="1238"/>
      <c r="P78" s="1414">
        <v>45017</v>
      </c>
      <c r="Q78" s="1323" t="s">
        <v>45</v>
      </c>
      <c r="R78" s="766" t="s">
        <v>45</v>
      </c>
      <c r="S78" s="2369"/>
      <c r="T78" s="741" t="s">
        <v>165</v>
      </c>
      <c r="U78" s="798"/>
      <c r="V78" s="742" t="s">
        <v>45</v>
      </c>
      <c r="W78" s="835" t="s">
        <v>45</v>
      </c>
      <c r="X78" s="836" t="s">
        <v>38</v>
      </c>
      <c r="Y78" s="836"/>
      <c r="Z78" s="710" t="s">
        <v>5828</v>
      </c>
      <c r="AA78" s="750" t="s">
        <v>798</v>
      </c>
      <c r="AB78" s="1418" t="s">
        <v>60</v>
      </c>
      <c r="AC78" s="708" t="s">
        <v>40</v>
      </c>
      <c r="AD78" s="710" t="s">
        <v>154</v>
      </c>
      <c r="AE78" s="750" t="s">
        <v>70</v>
      </c>
      <c r="AF78" s="769">
        <v>44907</v>
      </c>
      <c r="AG78" s="717" t="s">
        <v>5829</v>
      </c>
      <c r="AH78" s="1345"/>
      <c r="AI78" s="1377" t="s">
        <v>1278</v>
      </c>
    </row>
    <row r="79" spans="1:36" s="906" customFormat="1" ht="52">
      <c r="A79" s="1256">
        <v>44908</v>
      </c>
      <c r="B79" s="755" t="s">
        <v>56</v>
      </c>
      <c r="C79" s="707" t="s">
        <v>45</v>
      </c>
      <c r="D79" s="710" t="s">
        <v>847</v>
      </c>
      <c r="E79" s="710"/>
      <c r="F79" s="710"/>
      <c r="G79" s="710"/>
      <c r="H79" s="710"/>
      <c r="I79" s="710" t="s">
        <v>47</v>
      </c>
      <c r="J79" s="709" t="s">
        <v>5830</v>
      </c>
      <c r="K79" s="710"/>
      <c r="L79" s="710">
        <v>3</v>
      </c>
      <c r="M79" s="711">
        <v>45017</v>
      </c>
      <c r="N79" s="712" t="s">
        <v>60</v>
      </c>
      <c r="O79" s="713">
        <v>45108</v>
      </c>
      <c r="P79" s="777">
        <v>4</v>
      </c>
      <c r="Q79" s="777" t="s">
        <v>60</v>
      </c>
      <c r="R79" s="742">
        <v>1511000</v>
      </c>
      <c r="S79" s="742"/>
      <c r="T79" s="723"/>
      <c r="U79" s="843"/>
      <c r="V79" s="710" t="s">
        <v>61</v>
      </c>
      <c r="W79" s="710" t="s">
        <v>45</v>
      </c>
      <c r="X79" s="710" t="s">
        <v>45</v>
      </c>
      <c r="Y79" s="710"/>
      <c r="Z79" s="710" t="s">
        <v>840</v>
      </c>
      <c r="AA79" s="710" t="s">
        <v>45</v>
      </c>
      <c r="AB79" s="710" t="s">
        <v>115</v>
      </c>
      <c r="AC79" s="750" t="s">
        <v>45</v>
      </c>
      <c r="AD79" s="724" t="s">
        <v>70</v>
      </c>
      <c r="AE79" s="734">
        <v>44908</v>
      </c>
      <c r="AF79" s="857" t="s">
        <v>5831</v>
      </c>
      <c r="AG79" s="723"/>
      <c r="AH79" s="1376">
        <f t="shared" ref="AH79:AH87" ca="1" si="10">IFERROR(TODAY()-AE79,"N/A")</f>
        <v>400</v>
      </c>
    </row>
    <row r="80" spans="1:36" s="908" customFormat="1" ht="52">
      <c r="A80" s="749"/>
      <c r="B80" s="725" t="s">
        <v>56</v>
      </c>
      <c r="C80" s="726" t="s">
        <v>60</v>
      </c>
      <c r="D80" s="727" t="s">
        <v>847</v>
      </c>
      <c r="E80" s="727"/>
      <c r="F80" s="727"/>
      <c r="G80" s="727"/>
      <c r="H80" s="730"/>
      <c r="I80" s="726" t="s">
        <v>47</v>
      </c>
      <c r="J80" s="935" t="s">
        <v>5832</v>
      </c>
      <c r="K80" s="726"/>
      <c r="L80" s="730">
        <v>1</v>
      </c>
      <c r="M80" s="731">
        <v>44835</v>
      </c>
      <c r="N80" s="712" t="s">
        <v>60</v>
      </c>
      <c r="O80" s="759" t="s">
        <v>60</v>
      </c>
      <c r="P80" s="760" t="s">
        <v>60</v>
      </c>
      <c r="Q80" s="761" t="s">
        <v>60</v>
      </c>
      <c r="R80" s="937" t="s">
        <v>60</v>
      </c>
      <c r="S80" s="937"/>
      <c r="T80" s="1162"/>
      <c r="U80" s="2356"/>
      <c r="V80" s="734" t="s">
        <v>182</v>
      </c>
      <c r="W80" s="711" t="s">
        <v>589</v>
      </c>
      <c r="X80" s="711" t="s">
        <v>589</v>
      </c>
      <c r="Y80" s="711"/>
      <c r="Z80" s="726" t="s">
        <v>4718</v>
      </c>
      <c r="AA80" s="730" t="s">
        <v>45</v>
      </c>
      <c r="AB80" s="762" t="s">
        <v>594</v>
      </c>
      <c r="AC80" s="762"/>
      <c r="AD80" s="695" t="s">
        <v>70</v>
      </c>
      <c r="AE80" s="1338">
        <v>44950</v>
      </c>
      <c r="AF80" s="1302" t="s">
        <v>5833</v>
      </c>
      <c r="AG80" s="1162"/>
      <c r="AH80" s="1376">
        <f t="shared" ca="1" si="10"/>
        <v>358</v>
      </c>
      <c r="AI80" s="906" t="s">
        <v>60</v>
      </c>
      <c r="AJ80" s="906"/>
    </row>
    <row r="81" spans="1:36" s="908" customFormat="1" ht="52">
      <c r="A81" s="749"/>
      <c r="B81" s="725" t="s">
        <v>56</v>
      </c>
      <c r="C81" s="726" t="s">
        <v>60</v>
      </c>
      <c r="D81" s="727" t="s">
        <v>847</v>
      </c>
      <c r="E81" s="727"/>
      <c r="F81" s="727"/>
      <c r="G81" s="727"/>
      <c r="H81" s="730"/>
      <c r="I81" s="726" t="s">
        <v>47</v>
      </c>
      <c r="J81" s="935" t="s">
        <v>5834</v>
      </c>
      <c r="K81" s="726"/>
      <c r="L81" s="730">
        <v>1</v>
      </c>
      <c r="M81" s="731">
        <v>44852</v>
      </c>
      <c r="N81" s="712" t="s">
        <v>60</v>
      </c>
      <c r="O81" s="759" t="s">
        <v>60</v>
      </c>
      <c r="P81" s="760" t="s">
        <v>60</v>
      </c>
      <c r="Q81" s="761" t="s">
        <v>60</v>
      </c>
      <c r="R81" s="937">
        <v>153295</v>
      </c>
      <c r="S81" s="937"/>
      <c r="T81" s="1162"/>
      <c r="U81" s="2356"/>
      <c r="V81" s="734" t="s">
        <v>182</v>
      </c>
      <c r="W81" s="701" t="s">
        <v>589</v>
      </c>
      <c r="X81" s="701" t="s">
        <v>589</v>
      </c>
      <c r="Y81" s="701"/>
      <c r="Z81" s="726" t="s">
        <v>4718</v>
      </c>
      <c r="AA81" s="730" t="s">
        <v>45</v>
      </c>
      <c r="AB81" s="762" t="s">
        <v>594</v>
      </c>
      <c r="AC81" s="762"/>
      <c r="AD81" s="695" t="s">
        <v>70</v>
      </c>
      <c r="AE81" s="1421">
        <v>44866</v>
      </c>
      <c r="AF81" s="1302" t="s">
        <v>4719</v>
      </c>
      <c r="AG81" s="1162"/>
      <c r="AH81" s="1376">
        <f t="shared" ca="1" si="10"/>
        <v>442</v>
      </c>
      <c r="AI81" s="906" t="s">
        <v>60</v>
      </c>
      <c r="AJ81" s="906"/>
    </row>
    <row r="82" spans="1:36" s="906" customFormat="1" ht="52">
      <c r="A82" s="749"/>
      <c r="B82" s="725" t="s">
        <v>56</v>
      </c>
      <c r="C82" s="726" t="s">
        <v>60</v>
      </c>
      <c r="D82" s="727" t="s">
        <v>847</v>
      </c>
      <c r="E82" s="727"/>
      <c r="F82" s="727"/>
      <c r="G82" s="727"/>
      <c r="H82" s="730"/>
      <c r="I82" s="726" t="s">
        <v>47</v>
      </c>
      <c r="J82" s="729" t="s">
        <v>5835</v>
      </c>
      <c r="K82" s="726"/>
      <c r="L82" s="730">
        <v>1</v>
      </c>
      <c r="M82" s="731">
        <v>44896</v>
      </c>
      <c r="N82" s="712" t="s">
        <v>60</v>
      </c>
      <c r="O82" s="759" t="s">
        <v>60</v>
      </c>
      <c r="P82" s="760" t="s">
        <v>60</v>
      </c>
      <c r="Q82" s="761" t="s">
        <v>60</v>
      </c>
      <c r="R82" s="937">
        <v>32805</v>
      </c>
      <c r="S82" s="937"/>
      <c r="T82" s="1162"/>
      <c r="U82" s="2356"/>
      <c r="V82" s="734" t="s">
        <v>182</v>
      </c>
      <c r="W82" s="711" t="s">
        <v>589</v>
      </c>
      <c r="X82" s="711" t="s">
        <v>589</v>
      </c>
      <c r="Y82" s="711"/>
      <c r="Z82" s="726" t="s">
        <v>4718</v>
      </c>
      <c r="AA82" s="730" t="s">
        <v>45</v>
      </c>
      <c r="AB82" s="762" t="s">
        <v>594</v>
      </c>
      <c r="AC82" s="762"/>
      <c r="AD82" s="695" t="s">
        <v>70</v>
      </c>
      <c r="AE82" s="1338">
        <v>44866</v>
      </c>
      <c r="AF82" s="1302" t="s">
        <v>4719</v>
      </c>
      <c r="AG82" s="1162"/>
      <c r="AH82" s="1376">
        <f t="shared" ca="1" si="10"/>
        <v>442</v>
      </c>
      <c r="AI82" s="906" t="s">
        <v>60</v>
      </c>
    </row>
    <row r="83" spans="1:36" s="906" customFormat="1" ht="12.75" customHeight="1">
      <c r="A83" s="749">
        <v>44810</v>
      </c>
      <c r="B83" s="890" t="s">
        <v>56</v>
      </c>
      <c r="C83" s="726" t="s">
        <v>45</v>
      </c>
      <c r="D83" s="730" t="s">
        <v>57</v>
      </c>
      <c r="E83" s="730"/>
      <c r="F83" s="730"/>
      <c r="G83" s="730"/>
      <c r="H83" s="730"/>
      <c r="I83" s="710" t="s">
        <v>47</v>
      </c>
      <c r="J83" s="709" t="s">
        <v>5836</v>
      </c>
      <c r="K83" s="710"/>
      <c r="L83" s="710" t="e">
        <f>IF(OR(V83=#REF!,V83=#REF!,V83=#REF!,V83=#REF!,V83=#REF!,V83=#REF!,V83=#REF!,V83=#REF!),12,IF(OR(V83=#REF!,V83=#REF!,V83=#REF!,V83=#REF!,V83=#REF!,V83=#REF!,V83=#REF!),3,IF(V83=#REF!,1,IF(V83=#REF!,18,IF(OR(V83=#REF!,V83=#REF!,V83=#REF!,V83=#REF!,V83=#REF!),14,"Invalid proposed procurement method")))))</f>
        <v>#REF!</v>
      </c>
      <c r="M83" s="711" t="s">
        <v>60</v>
      </c>
      <c r="N83" s="711" t="s">
        <v>60</v>
      </c>
      <c r="O83" s="792">
        <v>45017</v>
      </c>
      <c r="P83" s="741">
        <v>1</v>
      </c>
      <c r="Q83" s="741">
        <v>1</v>
      </c>
      <c r="R83" s="1289">
        <v>163170</v>
      </c>
      <c r="S83" s="1817"/>
      <c r="T83" s="794"/>
      <c r="U83" s="922"/>
      <c r="V83" s="711" t="s">
        <v>61</v>
      </c>
      <c r="W83" s="711" t="s">
        <v>310</v>
      </c>
      <c r="X83" s="710" t="s">
        <v>45</v>
      </c>
      <c r="Y83" s="710"/>
      <c r="Z83" s="710" t="s">
        <v>350</v>
      </c>
      <c r="AA83" s="1333" t="s">
        <v>60</v>
      </c>
      <c r="AB83" s="762" t="s">
        <v>115</v>
      </c>
      <c r="AC83" s="1309"/>
      <c r="AD83" s="695" t="s">
        <v>70</v>
      </c>
      <c r="AE83" s="1372">
        <v>44938</v>
      </c>
      <c r="AF83" s="1296" t="s">
        <v>5837</v>
      </c>
      <c r="AG83" s="794"/>
      <c r="AH83" s="1376">
        <f t="shared" ca="1" si="10"/>
        <v>370</v>
      </c>
    </row>
    <row r="84" spans="1:36" s="906" customFormat="1" ht="36.75" customHeight="1">
      <c r="A84" s="1256">
        <v>44904</v>
      </c>
      <c r="B84" s="706" t="s">
        <v>56</v>
      </c>
      <c r="C84" s="1349" t="s">
        <v>45</v>
      </c>
      <c r="D84" s="708" t="s">
        <v>847</v>
      </c>
      <c r="E84" s="708"/>
      <c r="F84" s="708"/>
      <c r="G84" s="708"/>
      <c r="H84" s="710"/>
      <c r="I84" s="710" t="s">
        <v>47</v>
      </c>
      <c r="J84" s="1402" t="s">
        <v>5838</v>
      </c>
      <c r="K84" s="710"/>
      <c r="L84" s="784">
        <v>3</v>
      </c>
      <c r="M84" s="711">
        <v>44958</v>
      </c>
      <c r="N84" s="1161" t="s">
        <v>60</v>
      </c>
      <c r="O84" s="946">
        <v>45047</v>
      </c>
      <c r="P84" s="715">
        <v>2</v>
      </c>
      <c r="Q84" s="715">
        <v>2</v>
      </c>
      <c r="R84" s="742">
        <v>93600</v>
      </c>
      <c r="S84" s="929"/>
      <c r="T84" s="723"/>
      <c r="U84" s="843"/>
      <c r="V84" s="789" t="s">
        <v>61</v>
      </c>
      <c r="W84" s="784" t="s">
        <v>45</v>
      </c>
      <c r="X84" s="784" t="s">
        <v>45</v>
      </c>
      <c r="Y84" s="784"/>
      <c r="Z84" s="710" t="s">
        <v>350</v>
      </c>
      <c r="AA84" s="710" t="s">
        <v>3955</v>
      </c>
      <c r="AB84" s="784" t="s">
        <v>115</v>
      </c>
      <c r="AC84" s="784" t="s">
        <v>45</v>
      </c>
      <c r="AD84" s="1371" t="s">
        <v>70</v>
      </c>
      <c r="AE84" s="788">
        <v>44904</v>
      </c>
      <c r="AF84" s="1426" t="s">
        <v>5831</v>
      </c>
      <c r="AG84" s="723"/>
      <c r="AH84" s="1376">
        <f t="shared" ca="1" si="10"/>
        <v>404</v>
      </c>
      <c r="AI84" s="1395">
        <v>44951</v>
      </c>
    </row>
    <row r="85" spans="1:36" s="906" customFormat="1" ht="52">
      <c r="A85" s="1256">
        <v>44904</v>
      </c>
      <c r="B85" s="755" t="s">
        <v>56</v>
      </c>
      <c r="C85" s="707" t="s">
        <v>45</v>
      </c>
      <c r="D85" s="710" t="s">
        <v>847</v>
      </c>
      <c r="E85" s="710"/>
      <c r="F85" s="710"/>
      <c r="G85" s="710"/>
      <c r="H85" s="710"/>
      <c r="I85" s="710" t="s">
        <v>47</v>
      </c>
      <c r="J85" s="1410" t="s">
        <v>5839</v>
      </c>
      <c r="K85" s="710"/>
      <c r="L85" s="710">
        <v>3</v>
      </c>
      <c r="M85" s="711">
        <v>45078</v>
      </c>
      <c r="N85" s="712" t="s">
        <v>60</v>
      </c>
      <c r="O85" s="713">
        <v>45170</v>
      </c>
      <c r="P85" s="777">
        <v>1</v>
      </c>
      <c r="Q85" s="777">
        <v>1</v>
      </c>
      <c r="R85" s="742">
        <v>112500</v>
      </c>
      <c r="S85" s="742"/>
      <c r="T85" s="723"/>
      <c r="U85" s="843"/>
      <c r="V85" s="710" t="s">
        <v>61</v>
      </c>
      <c r="W85" s="710" t="s">
        <v>45</v>
      </c>
      <c r="X85" s="710" t="s">
        <v>45</v>
      </c>
      <c r="Y85" s="710"/>
      <c r="Z85" s="710" t="s">
        <v>350</v>
      </c>
      <c r="AA85" s="710" t="s">
        <v>45</v>
      </c>
      <c r="AB85" s="710" t="s">
        <v>115</v>
      </c>
      <c r="AC85" s="750" t="s">
        <v>45</v>
      </c>
      <c r="AD85" s="724" t="s">
        <v>70</v>
      </c>
      <c r="AE85" s="734">
        <v>44904</v>
      </c>
      <c r="AF85" s="857" t="s">
        <v>5831</v>
      </c>
      <c r="AG85" s="723"/>
      <c r="AH85" s="1376">
        <f t="shared" ca="1" si="10"/>
        <v>404</v>
      </c>
    </row>
    <row r="86" spans="1:36" s="906" customFormat="1" ht="39.75" customHeight="1">
      <c r="A86" s="1403"/>
      <c r="B86" s="1405" t="s">
        <v>56</v>
      </c>
      <c r="C86" s="895" t="s">
        <v>5840</v>
      </c>
      <c r="D86" s="944" t="s">
        <v>348</v>
      </c>
      <c r="E86" s="944"/>
      <c r="F86" s="944"/>
      <c r="G86" s="944"/>
      <c r="H86" s="895"/>
      <c r="I86" s="784" t="s">
        <v>47</v>
      </c>
      <c r="J86" s="787" t="s">
        <v>5841</v>
      </c>
      <c r="K86" s="784"/>
      <c r="L86" s="895">
        <v>3</v>
      </c>
      <c r="M86" s="1272" t="s">
        <v>60</v>
      </c>
      <c r="N86" s="791">
        <f>IFERROR(EDATE(O86,-L86),"Invalid procurement method or date entered")</f>
        <v>43988</v>
      </c>
      <c r="O86" s="1415">
        <v>44080</v>
      </c>
      <c r="P86" s="1416" t="s">
        <v>60</v>
      </c>
      <c r="Q86" s="1416" t="s">
        <v>60</v>
      </c>
      <c r="R86" s="1393">
        <v>308000</v>
      </c>
      <c r="S86" s="1393"/>
      <c r="T86" s="1271"/>
      <c r="U86" s="919"/>
      <c r="V86" s="788" t="s">
        <v>61</v>
      </c>
      <c r="W86" s="788" t="s">
        <v>62</v>
      </c>
      <c r="X86" s="898" t="s">
        <v>60</v>
      </c>
      <c r="Y86" s="898"/>
      <c r="Z86" s="1417" t="s">
        <v>5842</v>
      </c>
      <c r="AA86" s="895" t="s">
        <v>45</v>
      </c>
      <c r="AB86" s="1419" t="s">
        <v>115</v>
      </c>
      <c r="AC86" s="812" t="s">
        <v>154</v>
      </c>
      <c r="AD86" s="1392" t="s">
        <v>70</v>
      </c>
      <c r="AE86" s="1423">
        <v>44673</v>
      </c>
      <c r="AF86" s="1305" t="s">
        <v>5843</v>
      </c>
      <c r="AG86" s="1271"/>
      <c r="AH86" s="1376">
        <f t="shared" ca="1" si="10"/>
        <v>635</v>
      </c>
    </row>
    <row r="87" spans="1:36" s="906" customFormat="1" ht="39.75" customHeight="1">
      <c r="A87" s="749"/>
      <c r="B87" s="890" t="s">
        <v>56</v>
      </c>
      <c r="C87" s="726" t="s">
        <v>60</v>
      </c>
      <c r="D87" s="730" t="s">
        <v>348</v>
      </c>
      <c r="E87" s="730"/>
      <c r="F87" s="730"/>
      <c r="G87" s="730"/>
      <c r="H87" s="730"/>
      <c r="I87" s="726" t="s">
        <v>47</v>
      </c>
      <c r="J87" s="729" t="s">
        <v>5844</v>
      </c>
      <c r="K87" s="726"/>
      <c r="L87" s="730">
        <v>3</v>
      </c>
      <c r="M87" s="731" t="s">
        <v>60</v>
      </c>
      <c r="N87" s="712">
        <f>IF(O87="tbc","",(IFERROR(EDATE(O87,-L87),"Invalid procurement method or date entered")))</f>
        <v>44537</v>
      </c>
      <c r="O87" s="759">
        <v>44627</v>
      </c>
      <c r="P87" s="891">
        <v>1</v>
      </c>
      <c r="Q87" s="891">
        <v>1</v>
      </c>
      <c r="R87" s="742">
        <v>115000</v>
      </c>
      <c r="S87" s="742"/>
      <c r="T87" s="924"/>
      <c r="U87" s="926"/>
      <c r="V87" s="711" t="s">
        <v>61</v>
      </c>
      <c r="W87" s="711" t="s">
        <v>62</v>
      </c>
      <c r="X87" s="711" t="s">
        <v>589</v>
      </c>
      <c r="Y87" s="711"/>
      <c r="Z87" s="726" t="s">
        <v>5845</v>
      </c>
      <c r="AA87" s="730" t="s">
        <v>45</v>
      </c>
      <c r="AB87" s="762" t="s">
        <v>594</v>
      </c>
      <c r="AC87" s="1309" t="s">
        <v>154</v>
      </c>
      <c r="AD87" s="695" t="s">
        <v>70</v>
      </c>
      <c r="AE87" s="1343">
        <v>44673</v>
      </c>
      <c r="AF87" s="1284" t="s">
        <v>5846</v>
      </c>
      <c r="AG87" s="924"/>
      <c r="AH87" s="1376">
        <f t="shared" ca="1" si="10"/>
        <v>635</v>
      </c>
    </row>
    <row r="88" spans="1:36" s="906" customFormat="1" ht="39.75" customHeight="1">
      <c r="A88" s="749"/>
      <c r="B88" s="890" t="s">
        <v>56</v>
      </c>
      <c r="C88" s="726" t="s">
        <v>60</v>
      </c>
      <c r="D88" s="730" t="s">
        <v>348</v>
      </c>
      <c r="E88" s="730"/>
      <c r="F88" s="730"/>
      <c r="G88" s="730"/>
      <c r="H88" s="730"/>
      <c r="I88" s="730" t="s">
        <v>58</v>
      </c>
      <c r="J88" s="1165" t="s">
        <v>308</v>
      </c>
      <c r="K88" s="726" t="s">
        <v>47</v>
      </c>
      <c r="L88" s="729" t="s">
        <v>5847</v>
      </c>
      <c r="M88" s="726"/>
      <c r="N88" s="730">
        <v>3</v>
      </c>
      <c r="O88" s="712" t="str">
        <f>IF(Q88="tbc","",(IFERROR(EDATE(Q88,-N88),"Invalid procurement method or date entered")))</f>
        <v/>
      </c>
      <c r="P88" s="712"/>
      <c r="Q88" s="759" t="s">
        <v>60</v>
      </c>
      <c r="R88" s="891">
        <v>1</v>
      </c>
      <c r="S88" s="891"/>
      <c r="T88" s="1276" t="s">
        <v>5848</v>
      </c>
      <c r="U88" s="2522"/>
      <c r="V88" s="891">
        <v>1</v>
      </c>
      <c r="W88" s="742">
        <v>75000</v>
      </c>
      <c r="X88" s="711" t="s">
        <v>61</v>
      </c>
      <c r="Y88" s="711"/>
      <c r="Z88" s="711" t="s">
        <v>589</v>
      </c>
      <c r="AA88" s="710" t="s">
        <v>2417</v>
      </c>
      <c r="AB88" s="726" t="s">
        <v>668</v>
      </c>
      <c r="AC88" s="730" t="s">
        <v>45</v>
      </c>
      <c r="AD88" s="762" t="s">
        <v>594</v>
      </c>
      <c r="AE88" s="1309" t="s">
        <v>154</v>
      </c>
      <c r="AF88" s="695" t="s">
        <v>70</v>
      </c>
      <c r="AG88" s="1343">
        <v>44673</v>
      </c>
      <c r="AH88" s="924"/>
      <c r="AI88" s="1376">
        <f ca="1">IFERROR(TODAY()-AG88,"N/A")</f>
        <v>635</v>
      </c>
      <c r="AJ88" s="1377" t="s">
        <v>1278</v>
      </c>
    </row>
    <row r="89" spans="1:36" s="906" customFormat="1" ht="54.75" customHeight="1">
      <c r="A89" s="749" t="s">
        <v>71</v>
      </c>
      <c r="B89" s="782" t="s">
        <v>44</v>
      </c>
      <c r="C89" s="738"/>
      <c r="D89" s="710" t="s">
        <v>32</v>
      </c>
      <c r="E89" s="794" t="s">
        <v>449</v>
      </c>
      <c r="F89" s="698" t="s">
        <v>361</v>
      </c>
      <c r="G89" s="1311" t="s">
        <v>569</v>
      </c>
      <c r="H89" s="710"/>
      <c r="I89" s="710" t="s">
        <v>47</v>
      </c>
      <c r="J89" s="709" t="s">
        <v>4492</v>
      </c>
      <c r="K89" s="710"/>
      <c r="L89" s="710">
        <v>4</v>
      </c>
      <c r="M89" s="769">
        <f>IFERROR(EDATE($N89,-3),"Invalid procurement method or date entered")</f>
        <v>45057</v>
      </c>
      <c r="N89" s="769">
        <f>IFERROR(EDATE(O89,-L89),"Invalid procurement method or date entered")</f>
        <v>45149</v>
      </c>
      <c r="O89" s="947">
        <v>45271</v>
      </c>
      <c r="P89" s="738">
        <v>12</v>
      </c>
      <c r="Q89" s="884" t="s">
        <v>50</v>
      </c>
      <c r="R89" s="742">
        <v>4096</v>
      </c>
      <c r="S89" s="742"/>
      <c r="T89" s="793"/>
      <c r="U89" s="806"/>
      <c r="V89" s="710" t="s">
        <v>45</v>
      </c>
      <c r="W89" s="796" t="s">
        <v>38</v>
      </c>
      <c r="X89" s="707" t="s">
        <v>67</v>
      </c>
      <c r="Y89" s="707"/>
      <c r="Z89" s="710" t="s">
        <v>383</v>
      </c>
      <c r="AA89" s="710" t="s">
        <v>45</v>
      </c>
      <c r="AB89" s="710" t="s">
        <v>115</v>
      </c>
      <c r="AC89" s="750" t="s">
        <v>154</v>
      </c>
      <c r="AD89" s="710" t="s">
        <v>70</v>
      </c>
      <c r="AE89" s="769" t="s">
        <v>71</v>
      </c>
      <c r="AF89" s="717" t="s">
        <v>5849</v>
      </c>
      <c r="AG89" s="723" t="s">
        <v>385</v>
      </c>
      <c r="AH89" s="1376" t="str">
        <f ca="1">IFERROR(TODAY()-AE89,"N/A")</f>
        <v>N/A</v>
      </c>
      <c r="AI89" s="908"/>
      <c r="AJ89" s="908"/>
    </row>
    <row r="90" spans="1:36" s="1642" customFormat="1" ht="12.75" customHeight="1">
      <c r="A90" s="749" t="s">
        <v>1170</v>
      </c>
      <c r="B90" s="1404" t="s">
        <v>44</v>
      </c>
      <c r="C90" s="1406" t="s">
        <v>1170</v>
      </c>
      <c r="D90" s="2253" t="s">
        <v>1367</v>
      </c>
      <c r="E90" s="794" t="s">
        <v>1341</v>
      </c>
      <c r="F90" s="1375" t="s">
        <v>361</v>
      </c>
      <c r="G90" s="703" t="s">
        <v>569</v>
      </c>
      <c r="H90" s="922"/>
      <c r="I90" s="1348" t="s">
        <v>1170</v>
      </c>
      <c r="J90" s="1429" t="s">
        <v>5850</v>
      </c>
      <c r="K90" s="1312" t="s">
        <v>5851</v>
      </c>
      <c r="L90" s="2254" t="s">
        <v>1170</v>
      </c>
      <c r="M90" s="1439" t="s">
        <v>1170</v>
      </c>
      <c r="N90" s="1161" t="s">
        <v>1170</v>
      </c>
      <c r="O90" s="792">
        <v>44403</v>
      </c>
      <c r="P90" s="733" t="s">
        <v>1170</v>
      </c>
      <c r="Q90" s="1441" t="s">
        <v>1170</v>
      </c>
      <c r="R90" s="1289">
        <v>170000</v>
      </c>
      <c r="S90" s="2370"/>
      <c r="T90" s="1271" t="s">
        <v>1170</v>
      </c>
      <c r="U90" s="2523"/>
      <c r="V90" s="1473" t="s">
        <v>1170</v>
      </c>
      <c r="W90" s="792" t="s">
        <v>1170</v>
      </c>
      <c r="X90" s="1473" t="s">
        <v>1170</v>
      </c>
      <c r="Y90" s="1473"/>
      <c r="Z90" s="1381" t="s">
        <v>4971</v>
      </c>
      <c r="AA90" s="794" t="s">
        <v>1170</v>
      </c>
      <c r="AB90" s="2255" t="s">
        <v>5852</v>
      </c>
      <c r="AC90" s="795" t="s">
        <v>1170</v>
      </c>
      <c r="AD90" s="1376" t="s">
        <v>1170</v>
      </c>
      <c r="AE90" s="2256" t="s">
        <v>1170</v>
      </c>
      <c r="AF90" s="2257" t="s">
        <v>5853</v>
      </c>
      <c r="AG90" s="2258" t="s">
        <v>1170</v>
      </c>
      <c r="AH90" s="1376" t="str">
        <f ca="1">IFERROR(TODAY()-AE90,"N/A")</f>
        <v>N/A</v>
      </c>
      <c r="AI90" s="906"/>
      <c r="AJ90" s="906"/>
    </row>
    <row r="91" spans="1:36" ht="52">
      <c r="A91" s="1119"/>
      <c r="B91" s="577" t="s">
        <v>56</v>
      </c>
      <c r="C91" s="649" t="s">
        <v>60</v>
      </c>
      <c r="D91" s="650" t="s">
        <v>1127</v>
      </c>
      <c r="E91" s="650"/>
      <c r="F91" s="650"/>
      <c r="G91" s="650"/>
      <c r="H91" s="650"/>
      <c r="I91" s="649" t="s">
        <v>47</v>
      </c>
      <c r="J91" s="2392" t="s">
        <v>5854</v>
      </c>
      <c r="K91" s="651"/>
      <c r="L91" s="650">
        <v>12</v>
      </c>
      <c r="M91" s="652">
        <f t="shared" ref="M91:M116" si="11">IF(O91="tbc","",(IFERROR(EDATE($N91,-3),"Invalid procurement method or date entered")))</f>
        <v>44348</v>
      </c>
      <c r="N91" s="652">
        <f t="shared" ref="N91:N129" si="12">IF(O91="tbc","",(IFERROR(EDATE(O91,-L91),"Invalid procurement method or date entered")))</f>
        <v>44440</v>
      </c>
      <c r="O91" s="653">
        <v>44805</v>
      </c>
      <c r="P91" s="654">
        <v>1</v>
      </c>
      <c r="Q91" s="654">
        <v>1</v>
      </c>
      <c r="R91" s="655">
        <f t="shared" ref="R91:R110" si="13">5000000/10</f>
        <v>500000</v>
      </c>
      <c r="S91" s="655"/>
      <c r="V91" s="656" t="s">
        <v>75</v>
      </c>
      <c r="W91" s="656" t="s">
        <v>310</v>
      </c>
      <c r="X91" s="656" t="s">
        <v>60</v>
      </c>
      <c r="Y91" s="656"/>
      <c r="Z91" s="657" t="s">
        <v>60</v>
      </c>
    </row>
    <row r="92" spans="1:36" ht="52">
      <c r="A92" s="1119"/>
      <c r="B92" s="577" t="s">
        <v>56</v>
      </c>
      <c r="C92" s="649" t="s">
        <v>60</v>
      </c>
      <c r="D92" s="650" t="s">
        <v>1127</v>
      </c>
      <c r="E92" s="650"/>
      <c r="F92" s="650"/>
      <c r="G92" s="650"/>
      <c r="H92" s="650"/>
      <c r="I92" s="649" t="s">
        <v>47</v>
      </c>
      <c r="J92" s="2392" t="s">
        <v>5855</v>
      </c>
      <c r="K92" s="651"/>
      <c r="L92" s="650">
        <v>12</v>
      </c>
      <c r="M92" s="652">
        <f t="shared" si="11"/>
        <v>44348</v>
      </c>
      <c r="N92" s="652">
        <f t="shared" si="12"/>
        <v>44440</v>
      </c>
      <c r="O92" s="653">
        <v>44805</v>
      </c>
      <c r="P92" s="654">
        <v>1</v>
      </c>
      <c r="Q92" s="654">
        <v>1</v>
      </c>
      <c r="R92" s="655">
        <f t="shared" si="13"/>
        <v>500000</v>
      </c>
      <c r="S92" s="655"/>
      <c r="V92" s="656" t="s">
        <v>75</v>
      </c>
      <c r="W92" s="656" t="s">
        <v>310</v>
      </c>
      <c r="X92" s="656" t="s">
        <v>60</v>
      </c>
      <c r="Y92" s="2089"/>
      <c r="Z92" s="1073" t="s">
        <v>60</v>
      </c>
    </row>
    <row r="93" spans="1:36" ht="52">
      <c r="A93" s="1119"/>
      <c r="B93" s="577" t="s">
        <v>56</v>
      </c>
      <c r="C93" s="649" t="s">
        <v>60</v>
      </c>
      <c r="D93" s="650" t="s">
        <v>1127</v>
      </c>
      <c r="E93" s="650"/>
      <c r="F93" s="650"/>
      <c r="G93" s="650"/>
      <c r="H93" s="650"/>
      <c r="I93" s="649" t="s">
        <v>47</v>
      </c>
      <c r="J93" s="2392" t="s">
        <v>5856</v>
      </c>
      <c r="K93" s="651"/>
      <c r="L93" s="650">
        <v>12</v>
      </c>
      <c r="M93" s="652">
        <f t="shared" si="11"/>
        <v>44348</v>
      </c>
      <c r="N93" s="652">
        <f t="shared" si="12"/>
        <v>44440</v>
      </c>
      <c r="O93" s="653">
        <v>44805</v>
      </c>
      <c r="P93" s="654">
        <v>1</v>
      </c>
      <c r="Q93" s="654">
        <v>1</v>
      </c>
      <c r="R93" s="655">
        <f t="shared" si="13"/>
        <v>500000</v>
      </c>
      <c r="S93" s="655"/>
      <c r="V93" s="656" t="s">
        <v>75</v>
      </c>
      <c r="W93" s="656" t="s">
        <v>310</v>
      </c>
      <c r="X93" s="656" t="s">
        <v>60</v>
      </c>
      <c r="Y93" s="2089"/>
      <c r="Z93" s="1073" t="s">
        <v>60</v>
      </c>
    </row>
    <row r="94" spans="1:36" ht="52">
      <c r="A94" s="1119"/>
      <c r="B94" s="577" t="s">
        <v>56</v>
      </c>
      <c r="C94" s="649" t="s">
        <v>60</v>
      </c>
      <c r="D94" s="650" t="s">
        <v>1127</v>
      </c>
      <c r="E94" s="650"/>
      <c r="F94" s="650"/>
      <c r="G94" s="650"/>
      <c r="H94" s="650"/>
      <c r="I94" s="649" t="s">
        <v>47</v>
      </c>
      <c r="J94" s="2392" t="s">
        <v>5857</v>
      </c>
      <c r="K94" s="651"/>
      <c r="L94" s="650">
        <v>12</v>
      </c>
      <c r="M94" s="652">
        <f t="shared" si="11"/>
        <v>44348</v>
      </c>
      <c r="N94" s="652">
        <f t="shared" si="12"/>
        <v>44440</v>
      </c>
      <c r="O94" s="653">
        <v>44805</v>
      </c>
      <c r="P94" s="654">
        <v>1</v>
      </c>
      <c r="Q94" s="654">
        <v>1</v>
      </c>
      <c r="R94" s="655">
        <f t="shared" si="13"/>
        <v>500000</v>
      </c>
      <c r="S94" s="655"/>
      <c r="V94" s="656" t="s">
        <v>75</v>
      </c>
      <c r="W94" s="656" t="s">
        <v>310</v>
      </c>
      <c r="X94" s="656" t="s">
        <v>60</v>
      </c>
      <c r="Y94" s="2089"/>
      <c r="Z94" s="1073" t="s">
        <v>60</v>
      </c>
    </row>
    <row r="95" spans="1:36" ht="52">
      <c r="A95" s="1119"/>
      <c r="B95" s="577" t="s">
        <v>56</v>
      </c>
      <c r="C95" s="649" t="s">
        <v>60</v>
      </c>
      <c r="D95" s="650" t="s">
        <v>1127</v>
      </c>
      <c r="E95" s="650"/>
      <c r="F95" s="650"/>
      <c r="G95" s="650"/>
      <c r="H95" s="650"/>
      <c r="I95" s="649" t="s">
        <v>47</v>
      </c>
      <c r="J95" s="2392" t="s">
        <v>5858</v>
      </c>
      <c r="K95" s="651"/>
      <c r="L95" s="650">
        <v>12</v>
      </c>
      <c r="M95" s="652">
        <f t="shared" si="11"/>
        <v>44348</v>
      </c>
      <c r="N95" s="652">
        <f t="shared" si="12"/>
        <v>44440</v>
      </c>
      <c r="O95" s="653">
        <v>44805</v>
      </c>
      <c r="P95" s="654">
        <v>1</v>
      </c>
      <c r="Q95" s="654">
        <v>1</v>
      </c>
      <c r="R95" s="655">
        <f t="shared" si="13"/>
        <v>500000</v>
      </c>
      <c r="S95" s="655"/>
      <c r="V95" s="656" t="s">
        <v>75</v>
      </c>
      <c r="W95" s="656" t="s">
        <v>310</v>
      </c>
      <c r="X95" s="656" t="s">
        <v>60</v>
      </c>
      <c r="Y95" s="656"/>
      <c r="Z95" s="657" t="s">
        <v>60</v>
      </c>
    </row>
    <row r="96" spans="1:36" ht="52">
      <c r="A96" s="1119"/>
      <c r="B96" s="577" t="s">
        <v>56</v>
      </c>
      <c r="C96" s="649" t="s">
        <v>60</v>
      </c>
      <c r="D96" s="650" t="s">
        <v>1127</v>
      </c>
      <c r="E96" s="650"/>
      <c r="F96" s="650"/>
      <c r="G96" s="650"/>
      <c r="H96" s="650"/>
      <c r="I96" s="649" t="s">
        <v>47</v>
      </c>
      <c r="J96" s="2392" t="s">
        <v>5859</v>
      </c>
      <c r="K96" s="651"/>
      <c r="L96" s="650">
        <v>12</v>
      </c>
      <c r="M96" s="652">
        <f t="shared" si="11"/>
        <v>44348</v>
      </c>
      <c r="N96" s="652">
        <f t="shared" si="12"/>
        <v>44440</v>
      </c>
      <c r="O96" s="653">
        <v>44805</v>
      </c>
      <c r="P96" s="654">
        <v>1</v>
      </c>
      <c r="Q96" s="654">
        <v>1</v>
      </c>
      <c r="R96" s="655">
        <f t="shared" si="13"/>
        <v>500000</v>
      </c>
      <c r="S96" s="655"/>
      <c r="V96" s="656" t="s">
        <v>75</v>
      </c>
      <c r="W96" s="656" t="s">
        <v>310</v>
      </c>
      <c r="X96" s="2089" t="s">
        <v>60</v>
      </c>
      <c r="Y96" s="2089"/>
      <c r="Z96" s="657" t="s">
        <v>60</v>
      </c>
    </row>
    <row r="97" spans="1:36" ht="52">
      <c r="A97" s="1119"/>
      <c r="B97" s="577" t="s">
        <v>56</v>
      </c>
      <c r="C97" s="649" t="s">
        <v>60</v>
      </c>
      <c r="D97" s="650" t="s">
        <v>1127</v>
      </c>
      <c r="E97" s="650"/>
      <c r="F97" s="650"/>
      <c r="G97" s="650"/>
      <c r="H97" s="650"/>
      <c r="I97" s="649" t="s">
        <v>47</v>
      </c>
      <c r="J97" s="2392" t="s">
        <v>5860</v>
      </c>
      <c r="K97" s="651"/>
      <c r="L97" s="650">
        <v>12</v>
      </c>
      <c r="M97" s="652">
        <f t="shared" si="11"/>
        <v>44348</v>
      </c>
      <c r="N97" s="652">
        <f t="shared" si="12"/>
        <v>44440</v>
      </c>
      <c r="O97" s="653">
        <v>44805</v>
      </c>
      <c r="P97" s="654">
        <v>1</v>
      </c>
      <c r="Q97" s="654">
        <v>1</v>
      </c>
      <c r="R97" s="655">
        <f t="shared" si="13"/>
        <v>500000</v>
      </c>
      <c r="S97" s="655"/>
      <c r="V97" s="656" t="s">
        <v>75</v>
      </c>
      <c r="W97" s="656" t="s">
        <v>310</v>
      </c>
      <c r="X97" s="656" t="s">
        <v>60</v>
      </c>
      <c r="Y97" s="656"/>
      <c r="Z97" s="657" t="s">
        <v>60</v>
      </c>
    </row>
    <row r="98" spans="1:36" ht="52">
      <c r="A98" s="1119"/>
      <c r="B98" s="577" t="s">
        <v>56</v>
      </c>
      <c r="C98" s="649" t="s">
        <v>60</v>
      </c>
      <c r="D98" s="650" t="s">
        <v>1127</v>
      </c>
      <c r="E98" s="650"/>
      <c r="F98" s="650"/>
      <c r="G98" s="650"/>
      <c r="H98" s="650"/>
      <c r="I98" s="649" t="s">
        <v>47</v>
      </c>
      <c r="J98" s="2392" t="s">
        <v>5861</v>
      </c>
      <c r="K98" s="651"/>
      <c r="L98" s="650">
        <v>12</v>
      </c>
      <c r="M98" s="652">
        <f t="shared" si="11"/>
        <v>44348</v>
      </c>
      <c r="N98" s="652">
        <f t="shared" si="12"/>
        <v>44440</v>
      </c>
      <c r="O98" s="653">
        <v>44805</v>
      </c>
      <c r="P98" s="654">
        <v>1</v>
      </c>
      <c r="Q98" s="654">
        <v>1</v>
      </c>
      <c r="R98" s="655">
        <f t="shared" si="13"/>
        <v>500000</v>
      </c>
      <c r="S98" s="655"/>
      <c r="V98" s="656" t="s">
        <v>75</v>
      </c>
      <c r="W98" s="656" t="s">
        <v>310</v>
      </c>
      <c r="X98" s="656" t="s">
        <v>60</v>
      </c>
      <c r="Y98" s="656"/>
      <c r="Z98" s="657" t="s">
        <v>60</v>
      </c>
    </row>
    <row r="99" spans="1:36" ht="52">
      <c r="A99" s="1119"/>
      <c r="B99" s="577" t="s">
        <v>56</v>
      </c>
      <c r="C99" s="649" t="s">
        <v>60</v>
      </c>
      <c r="D99" s="650" t="s">
        <v>1127</v>
      </c>
      <c r="E99" s="650"/>
      <c r="F99" s="650"/>
      <c r="G99" s="650"/>
      <c r="H99" s="650"/>
      <c r="I99" s="649" t="s">
        <v>47</v>
      </c>
      <c r="J99" s="2392" t="s">
        <v>5862</v>
      </c>
      <c r="K99" s="651"/>
      <c r="L99" s="650">
        <v>12</v>
      </c>
      <c r="M99" s="652">
        <f t="shared" si="11"/>
        <v>44348</v>
      </c>
      <c r="N99" s="652">
        <f t="shared" si="12"/>
        <v>44440</v>
      </c>
      <c r="O99" s="653">
        <v>44805</v>
      </c>
      <c r="P99" s="654">
        <v>1</v>
      </c>
      <c r="Q99" s="654">
        <v>1</v>
      </c>
      <c r="R99" s="655">
        <f t="shared" si="13"/>
        <v>500000</v>
      </c>
      <c r="S99" s="655"/>
      <c r="V99" s="656" t="s">
        <v>75</v>
      </c>
      <c r="W99" s="656" t="s">
        <v>310</v>
      </c>
      <c r="X99" s="656" t="s">
        <v>60</v>
      </c>
      <c r="Y99" s="656"/>
      <c r="Z99" s="657" t="s">
        <v>60</v>
      </c>
    </row>
    <row r="100" spans="1:36" ht="52">
      <c r="A100" s="1119"/>
      <c r="B100" s="577" t="s">
        <v>56</v>
      </c>
      <c r="C100" s="649" t="s">
        <v>60</v>
      </c>
      <c r="D100" s="650" t="s">
        <v>1127</v>
      </c>
      <c r="E100" s="650"/>
      <c r="F100" s="650"/>
      <c r="G100" s="650"/>
      <c r="H100" s="650"/>
      <c r="I100" s="649" t="s">
        <v>47</v>
      </c>
      <c r="J100" s="2392" t="s">
        <v>5863</v>
      </c>
      <c r="K100" s="651"/>
      <c r="L100" s="650">
        <v>12</v>
      </c>
      <c r="M100" s="652">
        <f t="shared" si="11"/>
        <v>44348</v>
      </c>
      <c r="N100" s="652">
        <f t="shared" si="12"/>
        <v>44440</v>
      </c>
      <c r="O100" s="653">
        <v>44805</v>
      </c>
      <c r="P100" s="654">
        <v>1</v>
      </c>
      <c r="Q100" s="654">
        <v>1</v>
      </c>
      <c r="R100" s="655">
        <f t="shared" si="13"/>
        <v>500000</v>
      </c>
      <c r="S100" s="655"/>
      <c r="V100" s="656" t="s">
        <v>75</v>
      </c>
      <c r="W100" s="656" t="s">
        <v>310</v>
      </c>
      <c r="X100" s="656" t="s">
        <v>60</v>
      </c>
      <c r="Y100" s="656"/>
      <c r="Z100" s="657" t="s">
        <v>60</v>
      </c>
    </row>
    <row r="101" spans="1:36" ht="52">
      <c r="A101" s="1119"/>
      <c r="B101" s="577" t="s">
        <v>56</v>
      </c>
      <c r="C101" s="1953" t="s">
        <v>60</v>
      </c>
      <c r="D101" s="1960" t="s">
        <v>1127</v>
      </c>
      <c r="E101" s="1960"/>
      <c r="F101" s="1960"/>
      <c r="G101" s="1960"/>
      <c r="H101" s="1960"/>
      <c r="I101" s="1953" t="s">
        <v>47</v>
      </c>
      <c r="J101" s="2393" t="s">
        <v>5864</v>
      </c>
      <c r="K101" s="2002"/>
      <c r="L101" s="1960">
        <v>12</v>
      </c>
      <c r="M101" s="2016">
        <f t="shared" si="11"/>
        <v>44348</v>
      </c>
      <c r="N101" s="2016">
        <f t="shared" si="12"/>
        <v>44440</v>
      </c>
      <c r="O101" s="2029">
        <v>44805</v>
      </c>
      <c r="P101" s="2038">
        <v>1</v>
      </c>
      <c r="Q101" s="2038">
        <v>1</v>
      </c>
      <c r="R101" s="2060">
        <f t="shared" si="13"/>
        <v>500000</v>
      </c>
      <c r="S101" s="2060"/>
      <c r="V101" s="2071" t="s">
        <v>75</v>
      </c>
      <c r="W101" s="2071" t="s">
        <v>310</v>
      </c>
      <c r="X101" s="2071" t="s">
        <v>60</v>
      </c>
      <c r="Y101" s="2071"/>
      <c r="Z101" s="2099" t="s">
        <v>60</v>
      </c>
    </row>
    <row r="102" spans="1:36" ht="52">
      <c r="A102" s="1119"/>
      <c r="B102" s="577" t="s">
        <v>56</v>
      </c>
      <c r="C102" s="649" t="s">
        <v>60</v>
      </c>
      <c r="D102" s="650" t="s">
        <v>1127</v>
      </c>
      <c r="E102" s="650"/>
      <c r="F102" s="650"/>
      <c r="G102" s="650"/>
      <c r="H102" s="650"/>
      <c r="I102" s="649" t="s">
        <v>47</v>
      </c>
      <c r="J102" s="2392" t="s">
        <v>5865</v>
      </c>
      <c r="K102" s="651"/>
      <c r="L102" s="650">
        <v>12</v>
      </c>
      <c r="M102" s="652">
        <f t="shared" si="11"/>
        <v>44348</v>
      </c>
      <c r="N102" s="652">
        <f t="shared" si="12"/>
        <v>44440</v>
      </c>
      <c r="O102" s="653">
        <v>44805</v>
      </c>
      <c r="P102" s="654">
        <v>1</v>
      </c>
      <c r="Q102" s="654">
        <v>1</v>
      </c>
      <c r="R102" s="655">
        <f t="shared" si="13"/>
        <v>500000</v>
      </c>
      <c r="S102" s="655"/>
      <c r="V102" s="656" t="s">
        <v>75</v>
      </c>
      <c r="W102" s="656" t="s">
        <v>310</v>
      </c>
      <c r="X102" s="656" t="s">
        <v>60</v>
      </c>
      <c r="Y102" s="656"/>
      <c r="Z102" s="657" t="s">
        <v>60</v>
      </c>
    </row>
    <row r="103" spans="1:36" ht="52">
      <c r="A103" s="1119"/>
      <c r="B103" s="577" t="s">
        <v>56</v>
      </c>
      <c r="C103" s="649" t="s">
        <v>60</v>
      </c>
      <c r="D103" s="650" t="s">
        <v>1127</v>
      </c>
      <c r="E103" s="650"/>
      <c r="F103" s="650"/>
      <c r="G103" s="650"/>
      <c r="H103" s="650"/>
      <c r="I103" s="649" t="s">
        <v>47</v>
      </c>
      <c r="J103" s="2392" t="s">
        <v>5866</v>
      </c>
      <c r="K103" s="651"/>
      <c r="L103" s="650">
        <v>12</v>
      </c>
      <c r="M103" s="652">
        <f t="shared" si="11"/>
        <v>44348</v>
      </c>
      <c r="N103" s="652">
        <f t="shared" si="12"/>
        <v>44440</v>
      </c>
      <c r="O103" s="653">
        <v>44805</v>
      </c>
      <c r="P103" s="654">
        <v>1</v>
      </c>
      <c r="Q103" s="654">
        <v>1</v>
      </c>
      <c r="R103" s="655">
        <f t="shared" si="13"/>
        <v>500000</v>
      </c>
      <c r="S103" s="655"/>
      <c r="V103" s="656" t="s">
        <v>75</v>
      </c>
      <c r="W103" s="656" t="s">
        <v>310</v>
      </c>
      <c r="X103" s="656" t="s">
        <v>60</v>
      </c>
      <c r="Y103" s="656"/>
      <c r="Z103" s="657" t="s">
        <v>60</v>
      </c>
    </row>
    <row r="104" spans="1:36" ht="52">
      <c r="A104" s="1119"/>
      <c r="B104" s="577" t="s">
        <v>56</v>
      </c>
      <c r="C104" s="649" t="s">
        <v>60</v>
      </c>
      <c r="D104" s="650" t="s">
        <v>1127</v>
      </c>
      <c r="E104" s="650"/>
      <c r="F104" s="650"/>
      <c r="G104" s="650"/>
      <c r="H104" s="650"/>
      <c r="I104" s="649" t="s">
        <v>47</v>
      </c>
      <c r="J104" s="2392" t="s">
        <v>5867</v>
      </c>
      <c r="K104" s="651"/>
      <c r="L104" s="650">
        <v>12</v>
      </c>
      <c r="M104" s="652">
        <f t="shared" si="11"/>
        <v>44348</v>
      </c>
      <c r="N104" s="652">
        <f t="shared" si="12"/>
        <v>44440</v>
      </c>
      <c r="O104" s="653">
        <v>44805</v>
      </c>
      <c r="P104" s="654">
        <v>1</v>
      </c>
      <c r="Q104" s="654">
        <v>1</v>
      </c>
      <c r="R104" s="655">
        <f t="shared" si="13"/>
        <v>500000</v>
      </c>
      <c r="S104" s="655"/>
      <c r="V104" s="656" t="s">
        <v>75</v>
      </c>
      <c r="W104" s="656" t="s">
        <v>310</v>
      </c>
      <c r="X104" s="656" t="s">
        <v>60</v>
      </c>
      <c r="Y104" s="656"/>
      <c r="Z104" s="657" t="s">
        <v>60</v>
      </c>
    </row>
    <row r="105" spans="1:36" ht="52">
      <c r="A105" s="1119"/>
      <c r="B105" s="577" t="s">
        <v>56</v>
      </c>
      <c r="C105" s="649" t="s">
        <v>60</v>
      </c>
      <c r="D105" s="650" t="s">
        <v>1127</v>
      </c>
      <c r="E105" s="650"/>
      <c r="F105" s="650"/>
      <c r="G105" s="650"/>
      <c r="H105" s="650"/>
      <c r="I105" s="649" t="s">
        <v>47</v>
      </c>
      <c r="J105" s="2392" t="s">
        <v>5868</v>
      </c>
      <c r="K105" s="651"/>
      <c r="L105" s="650">
        <v>12</v>
      </c>
      <c r="M105" s="652">
        <f t="shared" si="11"/>
        <v>44348</v>
      </c>
      <c r="N105" s="652">
        <f t="shared" si="12"/>
        <v>44440</v>
      </c>
      <c r="O105" s="653">
        <v>44805</v>
      </c>
      <c r="P105" s="654">
        <v>1</v>
      </c>
      <c r="Q105" s="654">
        <v>1</v>
      </c>
      <c r="R105" s="655">
        <f t="shared" si="13"/>
        <v>500000</v>
      </c>
      <c r="S105" s="655"/>
      <c r="V105" s="656" t="s">
        <v>75</v>
      </c>
      <c r="W105" s="656" t="s">
        <v>310</v>
      </c>
      <c r="X105" s="656" t="s">
        <v>60</v>
      </c>
      <c r="Y105" s="656"/>
      <c r="Z105" s="657" t="s">
        <v>60</v>
      </c>
    </row>
    <row r="106" spans="1:36" ht="52">
      <c r="A106" s="1119"/>
      <c r="B106" s="577" t="s">
        <v>56</v>
      </c>
      <c r="C106" s="649" t="s">
        <v>60</v>
      </c>
      <c r="D106" s="650" t="s">
        <v>1127</v>
      </c>
      <c r="E106" s="650"/>
      <c r="F106" s="650"/>
      <c r="G106" s="650"/>
      <c r="H106" s="650"/>
      <c r="I106" s="649" t="s">
        <v>47</v>
      </c>
      <c r="J106" s="2392" t="s">
        <v>5869</v>
      </c>
      <c r="K106" s="651"/>
      <c r="L106" s="650">
        <v>12</v>
      </c>
      <c r="M106" s="652">
        <f t="shared" si="11"/>
        <v>44348</v>
      </c>
      <c r="N106" s="652">
        <f t="shared" si="12"/>
        <v>44440</v>
      </c>
      <c r="O106" s="653">
        <v>44805</v>
      </c>
      <c r="P106" s="654">
        <v>1</v>
      </c>
      <c r="Q106" s="654">
        <v>1</v>
      </c>
      <c r="R106" s="655">
        <f t="shared" si="13"/>
        <v>500000</v>
      </c>
      <c r="S106" s="655"/>
      <c r="V106" s="656" t="s">
        <v>75</v>
      </c>
      <c r="W106" s="656" t="s">
        <v>310</v>
      </c>
      <c r="X106" s="656" t="s">
        <v>60</v>
      </c>
      <c r="Y106" s="656"/>
      <c r="Z106" s="657" t="s">
        <v>60</v>
      </c>
    </row>
    <row r="107" spans="1:36" ht="52">
      <c r="A107" s="1119"/>
      <c r="B107" s="577" t="s">
        <v>56</v>
      </c>
      <c r="C107" s="649" t="s">
        <v>60</v>
      </c>
      <c r="D107" s="650" t="s">
        <v>1127</v>
      </c>
      <c r="E107" s="650"/>
      <c r="F107" s="650"/>
      <c r="G107" s="650"/>
      <c r="H107" s="650"/>
      <c r="I107" s="649" t="s">
        <v>47</v>
      </c>
      <c r="J107" s="2392" t="s">
        <v>5870</v>
      </c>
      <c r="K107" s="651"/>
      <c r="L107" s="650">
        <v>12</v>
      </c>
      <c r="M107" s="652">
        <f t="shared" si="11"/>
        <v>44348</v>
      </c>
      <c r="N107" s="652">
        <f t="shared" si="12"/>
        <v>44440</v>
      </c>
      <c r="O107" s="653">
        <v>44805</v>
      </c>
      <c r="P107" s="654">
        <v>1</v>
      </c>
      <c r="Q107" s="654">
        <v>1</v>
      </c>
      <c r="R107" s="655">
        <f t="shared" si="13"/>
        <v>500000</v>
      </c>
      <c r="S107" s="655"/>
      <c r="V107" s="656" t="s">
        <v>75</v>
      </c>
      <c r="W107" s="656" t="s">
        <v>310</v>
      </c>
      <c r="X107" s="656" t="s">
        <v>60</v>
      </c>
      <c r="Y107" s="656"/>
      <c r="Z107" s="657" t="s">
        <v>60</v>
      </c>
    </row>
    <row r="108" spans="1:36" ht="52">
      <c r="A108" s="1119"/>
      <c r="B108" s="577" t="s">
        <v>56</v>
      </c>
      <c r="C108" s="649" t="s">
        <v>60</v>
      </c>
      <c r="D108" s="650" t="s">
        <v>1127</v>
      </c>
      <c r="E108" s="650"/>
      <c r="F108" s="650"/>
      <c r="G108" s="650"/>
      <c r="H108" s="650"/>
      <c r="I108" s="649" t="s">
        <v>47</v>
      </c>
      <c r="J108" s="2392" t="s">
        <v>5871</v>
      </c>
      <c r="K108" s="651"/>
      <c r="L108" s="650">
        <v>12</v>
      </c>
      <c r="M108" s="652">
        <f t="shared" si="11"/>
        <v>44348</v>
      </c>
      <c r="N108" s="652">
        <f t="shared" si="12"/>
        <v>44440</v>
      </c>
      <c r="O108" s="653">
        <v>44805</v>
      </c>
      <c r="P108" s="654">
        <v>1</v>
      </c>
      <c r="Q108" s="654">
        <v>1</v>
      </c>
      <c r="R108" s="655">
        <f t="shared" si="13"/>
        <v>500000</v>
      </c>
      <c r="S108" s="655"/>
      <c r="V108" s="656" t="s">
        <v>75</v>
      </c>
      <c r="W108" s="656" t="s">
        <v>310</v>
      </c>
      <c r="X108" s="656" t="s">
        <v>60</v>
      </c>
      <c r="Y108" s="656"/>
      <c r="Z108" s="657" t="s">
        <v>60</v>
      </c>
    </row>
    <row r="109" spans="1:36" ht="52">
      <c r="A109" s="1119"/>
      <c r="B109" s="577" t="s">
        <v>56</v>
      </c>
      <c r="C109" s="649" t="s">
        <v>60</v>
      </c>
      <c r="D109" s="650" t="s">
        <v>1127</v>
      </c>
      <c r="E109" s="650"/>
      <c r="F109" s="650"/>
      <c r="G109" s="650"/>
      <c r="H109" s="650"/>
      <c r="I109" s="649" t="s">
        <v>47</v>
      </c>
      <c r="J109" s="2392" t="s">
        <v>5872</v>
      </c>
      <c r="K109" s="651"/>
      <c r="L109" s="650">
        <v>12</v>
      </c>
      <c r="M109" s="652">
        <f t="shared" si="11"/>
        <v>44348</v>
      </c>
      <c r="N109" s="652">
        <f t="shared" si="12"/>
        <v>44440</v>
      </c>
      <c r="O109" s="653">
        <v>44805</v>
      </c>
      <c r="P109" s="654">
        <v>1</v>
      </c>
      <c r="Q109" s="654">
        <v>1</v>
      </c>
      <c r="R109" s="655">
        <f t="shared" si="13"/>
        <v>500000</v>
      </c>
      <c r="S109" s="655"/>
      <c r="V109" s="656" t="s">
        <v>75</v>
      </c>
      <c r="W109" s="656" t="s">
        <v>310</v>
      </c>
      <c r="X109" s="656" t="s">
        <v>60</v>
      </c>
      <c r="Y109" s="656"/>
      <c r="Z109" s="657" t="s">
        <v>60</v>
      </c>
    </row>
    <row r="110" spans="1:36" ht="52">
      <c r="A110" s="1119"/>
      <c r="B110" s="577" t="s">
        <v>56</v>
      </c>
      <c r="C110" s="649" t="s">
        <v>60</v>
      </c>
      <c r="D110" s="650" t="s">
        <v>1127</v>
      </c>
      <c r="E110" s="650"/>
      <c r="F110" s="650"/>
      <c r="G110" s="650"/>
      <c r="H110" s="650"/>
      <c r="I110" s="649" t="s">
        <v>47</v>
      </c>
      <c r="J110" s="2392" t="s">
        <v>5873</v>
      </c>
      <c r="K110" s="651"/>
      <c r="L110" s="650">
        <v>12</v>
      </c>
      <c r="M110" s="652">
        <f t="shared" si="11"/>
        <v>44348</v>
      </c>
      <c r="N110" s="652">
        <f t="shared" si="12"/>
        <v>44440</v>
      </c>
      <c r="O110" s="653">
        <v>44805</v>
      </c>
      <c r="P110" s="654">
        <v>1</v>
      </c>
      <c r="Q110" s="654">
        <v>1</v>
      </c>
      <c r="R110" s="655">
        <f t="shared" si="13"/>
        <v>500000</v>
      </c>
      <c r="S110" s="655"/>
      <c r="V110" s="656" t="s">
        <v>75</v>
      </c>
      <c r="W110" s="656" t="s">
        <v>310</v>
      </c>
      <c r="X110" s="656" t="s">
        <v>60</v>
      </c>
      <c r="Y110" s="656"/>
      <c r="Z110" s="657" t="s">
        <v>60</v>
      </c>
    </row>
    <row r="111" spans="1:36" s="906" customFormat="1" ht="52">
      <c r="A111" s="1199"/>
      <c r="B111" s="960" t="s">
        <v>56</v>
      </c>
      <c r="C111" s="649" t="s">
        <v>60</v>
      </c>
      <c r="D111" s="1677" t="s">
        <v>1127</v>
      </c>
      <c r="E111" s="1677"/>
      <c r="F111" s="1677"/>
      <c r="G111" s="1677"/>
      <c r="H111" s="650"/>
      <c r="I111" s="649" t="s">
        <v>47</v>
      </c>
      <c r="J111" s="2392" t="s">
        <v>5874</v>
      </c>
      <c r="K111" s="651"/>
      <c r="L111" s="650">
        <v>12</v>
      </c>
      <c r="M111" s="652">
        <f t="shared" si="11"/>
        <v>44713</v>
      </c>
      <c r="N111" s="652">
        <f t="shared" si="12"/>
        <v>44805</v>
      </c>
      <c r="O111" s="653">
        <v>45170</v>
      </c>
      <c r="P111" s="1769">
        <v>1</v>
      </c>
      <c r="Q111" s="1777">
        <v>1</v>
      </c>
      <c r="R111" s="1806">
        <f t="shared" ref="R111:R116" si="14">(5000000/10)*1.0109</f>
        <v>505449.99999999994</v>
      </c>
      <c r="S111" s="1806"/>
      <c r="T111" s="120"/>
      <c r="U111" s="336"/>
      <c r="V111" s="1834" t="s">
        <v>75</v>
      </c>
      <c r="W111" s="656" t="s">
        <v>310</v>
      </c>
      <c r="X111" s="656" t="s">
        <v>60</v>
      </c>
      <c r="Y111" s="656"/>
      <c r="Z111" s="657" t="s">
        <v>60</v>
      </c>
      <c r="AA111" s="120"/>
      <c r="AB111" s="120"/>
      <c r="AC111" s="120"/>
      <c r="AD111" s="120"/>
      <c r="AE111" s="120"/>
      <c r="AF111" s="120"/>
      <c r="AG111" s="336"/>
      <c r="AH111"/>
      <c r="AI111"/>
      <c r="AJ111"/>
    </row>
    <row r="112" spans="1:36" s="906" customFormat="1" ht="52">
      <c r="A112" s="1199"/>
      <c r="B112" s="960" t="s">
        <v>56</v>
      </c>
      <c r="C112" s="1670" t="s">
        <v>60</v>
      </c>
      <c r="D112" s="1684" t="s">
        <v>1127</v>
      </c>
      <c r="E112" s="1684"/>
      <c r="F112" s="1684"/>
      <c r="G112" s="1684"/>
      <c r="H112" s="1684"/>
      <c r="I112" s="1670" t="s">
        <v>47</v>
      </c>
      <c r="J112" s="2394" t="s">
        <v>5875</v>
      </c>
      <c r="K112" s="1711"/>
      <c r="L112" s="650">
        <v>12</v>
      </c>
      <c r="M112" s="1746">
        <f t="shared" si="11"/>
        <v>44713</v>
      </c>
      <c r="N112" s="652">
        <f t="shared" si="12"/>
        <v>44805</v>
      </c>
      <c r="O112" s="2027">
        <v>45170</v>
      </c>
      <c r="P112" s="2033">
        <v>1</v>
      </c>
      <c r="Q112" s="1777">
        <v>1</v>
      </c>
      <c r="R112" s="1806">
        <f t="shared" si="14"/>
        <v>505449.99999999994</v>
      </c>
      <c r="S112" s="2371"/>
      <c r="T112" s="330"/>
      <c r="U112" s="330"/>
      <c r="V112" s="1836" t="s">
        <v>75</v>
      </c>
      <c r="W112" s="1836" t="s">
        <v>310</v>
      </c>
      <c r="X112" s="1836" t="s">
        <v>60</v>
      </c>
      <c r="Y112" s="1836"/>
      <c r="Z112" s="1859" t="s">
        <v>60</v>
      </c>
      <c r="AA112" s="120"/>
      <c r="AB112" s="330"/>
      <c r="AC112" s="330"/>
      <c r="AD112" s="330"/>
      <c r="AE112" s="120"/>
      <c r="AF112" s="120"/>
      <c r="AG112" s="330"/>
      <c r="AH112"/>
      <c r="AI112"/>
      <c r="AJ112"/>
    </row>
    <row r="113" spans="1:36" s="906" customFormat="1" ht="52">
      <c r="A113" s="1199"/>
      <c r="B113" s="960" t="s">
        <v>56</v>
      </c>
      <c r="C113" s="649" t="s">
        <v>60</v>
      </c>
      <c r="D113" s="1677" t="s">
        <v>1127</v>
      </c>
      <c r="E113" s="1677"/>
      <c r="F113" s="1677"/>
      <c r="G113" s="1677"/>
      <c r="H113" s="650"/>
      <c r="I113" s="649" t="s">
        <v>47</v>
      </c>
      <c r="J113" s="2392" t="s">
        <v>5876</v>
      </c>
      <c r="K113" s="651"/>
      <c r="L113" s="650">
        <v>12</v>
      </c>
      <c r="M113" s="652">
        <f t="shared" si="11"/>
        <v>44713</v>
      </c>
      <c r="N113" s="652">
        <f t="shared" si="12"/>
        <v>44805</v>
      </c>
      <c r="O113" s="653">
        <v>45170</v>
      </c>
      <c r="P113" s="1769">
        <v>1</v>
      </c>
      <c r="Q113" s="1777">
        <v>1</v>
      </c>
      <c r="R113" s="1806">
        <f t="shared" si="14"/>
        <v>505449.99999999994</v>
      </c>
      <c r="S113" s="1806"/>
      <c r="T113" s="120"/>
      <c r="U113" s="336"/>
      <c r="V113" s="1834" t="s">
        <v>75</v>
      </c>
      <c r="W113" s="656" t="s">
        <v>310</v>
      </c>
      <c r="X113" s="656" t="s">
        <v>60</v>
      </c>
      <c r="Y113" s="656"/>
      <c r="Z113" s="657" t="s">
        <v>60</v>
      </c>
      <c r="AA113" s="120"/>
      <c r="AB113" s="120"/>
      <c r="AC113" s="120"/>
      <c r="AD113" s="120"/>
      <c r="AE113" s="186"/>
      <c r="AF113" s="120"/>
      <c r="AG113" s="336"/>
      <c r="AH113"/>
      <c r="AI113"/>
      <c r="AJ113"/>
    </row>
    <row r="114" spans="1:36" s="906" customFormat="1" ht="52">
      <c r="A114" s="1199"/>
      <c r="B114" s="960" t="s">
        <v>56</v>
      </c>
      <c r="C114" s="649" t="s">
        <v>60</v>
      </c>
      <c r="D114" s="1677" t="s">
        <v>1127</v>
      </c>
      <c r="E114" s="1677"/>
      <c r="F114" s="1677"/>
      <c r="G114" s="1677"/>
      <c r="H114" s="650"/>
      <c r="I114" s="649" t="s">
        <v>47</v>
      </c>
      <c r="J114" s="2392" t="s">
        <v>5877</v>
      </c>
      <c r="K114" s="651"/>
      <c r="L114" s="650">
        <v>12</v>
      </c>
      <c r="M114" s="652">
        <f t="shared" si="11"/>
        <v>44713</v>
      </c>
      <c r="N114" s="652">
        <f t="shared" si="12"/>
        <v>44805</v>
      </c>
      <c r="O114" s="653">
        <v>45170</v>
      </c>
      <c r="P114" s="1769">
        <v>1</v>
      </c>
      <c r="Q114" s="1777">
        <v>1</v>
      </c>
      <c r="R114" s="1806">
        <f t="shared" si="14"/>
        <v>505449.99999999994</v>
      </c>
      <c r="S114" s="1806"/>
      <c r="T114" s="120"/>
      <c r="U114" s="120"/>
      <c r="V114" s="656" t="s">
        <v>75</v>
      </c>
      <c r="W114" s="656" t="s">
        <v>310</v>
      </c>
      <c r="X114" s="656" t="s">
        <v>60</v>
      </c>
      <c r="Y114" s="656"/>
      <c r="Z114" s="657" t="s">
        <v>60</v>
      </c>
      <c r="AA114" s="120"/>
      <c r="AB114" s="120"/>
      <c r="AC114" s="120"/>
      <c r="AD114" s="120"/>
      <c r="AE114" s="120"/>
      <c r="AF114" s="120"/>
      <c r="AG114" s="336"/>
      <c r="AH114"/>
      <c r="AI114"/>
      <c r="AJ114"/>
    </row>
    <row r="115" spans="1:36" s="906" customFormat="1" ht="52">
      <c r="A115" s="1199"/>
      <c r="B115" s="960" t="s">
        <v>56</v>
      </c>
      <c r="C115" s="649" t="s">
        <v>60</v>
      </c>
      <c r="D115" s="1677" t="s">
        <v>1127</v>
      </c>
      <c r="E115" s="1677"/>
      <c r="F115" s="1677"/>
      <c r="G115" s="1677"/>
      <c r="H115" s="650"/>
      <c r="I115" s="649" t="s">
        <v>47</v>
      </c>
      <c r="J115" s="2392" t="s">
        <v>5878</v>
      </c>
      <c r="K115" s="651"/>
      <c r="L115" s="650">
        <v>12</v>
      </c>
      <c r="M115" s="652">
        <f t="shared" si="11"/>
        <v>44713</v>
      </c>
      <c r="N115" s="652">
        <f t="shared" si="12"/>
        <v>44805</v>
      </c>
      <c r="O115" s="653">
        <v>45170</v>
      </c>
      <c r="P115" s="1769">
        <v>1</v>
      </c>
      <c r="Q115" s="1777">
        <v>1</v>
      </c>
      <c r="R115" s="1806">
        <f t="shared" si="14"/>
        <v>505449.99999999994</v>
      </c>
      <c r="S115" s="1806"/>
      <c r="T115" s="120"/>
      <c r="U115" s="336"/>
      <c r="V115" s="1834" t="s">
        <v>75</v>
      </c>
      <c r="W115" s="656" t="s">
        <v>310</v>
      </c>
      <c r="X115" s="656" t="s">
        <v>60</v>
      </c>
      <c r="Y115" s="656"/>
      <c r="Z115" s="657" t="s">
        <v>60</v>
      </c>
      <c r="AA115" s="120"/>
      <c r="AB115" s="120"/>
      <c r="AC115" s="120"/>
      <c r="AD115" s="120"/>
      <c r="AE115" s="120"/>
      <c r="AF115" s="120"/>
      <c r="AG115" s="336"/>
      <c r="AH115"/>
      <c r="AI115"/>
      <c r="AJ115"/>
    </row>
    <row r="116" spans="1:36" s="906" customFormat="1" ht="52">
      <c r="A116" s="1199"/>
      <c r="B116" s="960" t="s">
        <v>56</v>
      </c>
      <c r="C116" s="649" t="s">
        <v>60</v>
      </c>
      <c r="D116" s="1677" t="s">
        <v>1127</v>
      </c>
      <c r="E116" s="1677"/>
      <c r="F116" s="1677"/>
      <c r="G116" s="1677"/>
      <c r="H116" s="650"/>
      <c r="I116" s="649" t="s">
        <v>47</v>
      </c>
      <c r="J116" s="2392" t="s">
        <v>5879</v>
      </c>
      <c r="K116" s="651"/>
      <c r="L116" s="650">
        <v>12</v>
      </c>
      <c r="M116" s="652">
        <f t="shared" si="11"/>
        <v>44713</v>
      </c>
      <c r="N116" s="652">
        <f t="shared" si="12"/>
        <v>44805</v>
      </c>
      <c r="O116" s="653">
        <v>45170</v>
      </c>
      <c r="P116" s="1769">
        <v>1</v>
      </c>
      <c r="Q116" s="1777">
        <v>1</v>
      </c>
      <c r="R116" s="1806">
        <f t="shared" si="14"/>
        <v>505449.99999999994</v>
      </c>
      <c r="S116" s="1806"/>
      <c r="T116"/>
      <c r="U116"/>
      <c r="V116" s="1834" t="s">
        <v>75</v>
      </c>
      <c r="W116" s="656" t="s">
        <v>310</v>
      </c>
      <c r="X116" s="656" t="s">
        <v>60</v>
      </c>
      <c r="Y116" s="656"/>
      <c r="Z116" s="657" t="s">
        <v>60</v>
      </c>
      <c r="AA116" s="120"/>
      <c r="AB116" s="120"/>
      <c r="AC116" s="120"/>
      <c r="AD116" s="120"/>
      <c r="AE116" s="120"/>
      <c r="AF116" s="120"/>
      <c r="AG116" s="336"/>
      <c r="AH116"/>
      <c r="AI116"/>
      <c r="AJ116"/>
    </row>
    <row r="117" spans="1:36" s="906" customFormat="1" ht="65">
      <c r="A117" s="749"/>
      <c r="B117" s="814" t="s">
        <v>56</v>
      </c>
      <c r="C117" s="815" t="s">
        <v>60</v>
      </c>
      <c r="D117" s="819" t="s">
        <v>1025</v>
      </c>
      <c r="E117" s="819"/>
      <c r="F117" s="819"/>
      <c r="G117" s="819"/>
      <c r="H117" s="819"/>
      <c r="I117" s="815" t="s">
        <v>47</v>
      </c>
      <c r="J117" s="1604" t="s">
        <v>5880</v>
      </c>
      <c r="K117" s="815"/>
      <c r="L117" s="819">
        <v>3</v>
      </c>
      <c r="M117" s="820">
        <v>44805</v>
      </c>
      <c r="N117" s="821">
        <f t="shared" si="12"/>
        <v>44621</v>
      </c>
      <c r="O117" s="822">
        <v>44713</v>
      </c>
      <c r="P117" s="823">
        <v>1</v>
      </c>
      <c r="Q117" s="827">
        <v>1</v>
      </c>
      <c r="R117" s="742">
        <f>16000000/60</f>
        <v>266666.66666666669</v>
      </c>
      <c r="S117" s="742"/>
      <c r="T117" s="924"/>
      <c r="U117" s="926"/>
      <c r="V117" s="828" t="s">
        <v>176</v>
      </c>
      <c r="W117" s="824" t="s">
        <v>310</v>
      </c>
      <c r="X117" s="824" t="s">
        <v>60</v>
      </c>
      <c r="Y117" s="824"/>
      <c r="Z117" s="815" t="s">
        <v>940</v>
      </c>
      <c r="AA117" s="819" t="s">
        <v>60</v>
      </c>
      <c r="AB117" s="825" t="s">
        <v>115</v>
      </c>
      <c r="AC117" s="825" t="s">
        <v>69</v>
      </c>
      <c r="AD117" s="695" t="s">
        <v>38</v>
      </c>
      <c r="AE117" s="1341">
        <v>44810</v>
      </c>
      <c r="AF117" s="1300" t="s">
        <v>5881</v>
      </c>
      <c r="AG117" s="924"/>
      <c r="AH117" s="719">
        <f t="shared" ref="AH117:AH129" ca="1" si="15">IFERROR(TODAY()-AE117,"N/A")</f>
        <v>498</v>
      </c>
    </row>
    <row r="118" spans="1:36" s="906" customFormat="1" ht="65">
      <c r="A118" s="749"/>
      <c r="B118" s="814" t="s">
        <v>56</v>
      </c>
      <c r="C118" s="815" t="s">
        <v>60</v>
      </c>
      <c r="D118" s="816" t="s">
        <v>1025</v>
      </c>
      <c r="E118" s="816"/>
      <c r="F118" s="816"/>
      <c r="G118" s="816"/>
      <c r="H118" s="819"/>
      <c r="I118" s="815" t="s">
        <v>47</v>
      </c>
      <c r="J118" s="1604" t="s">
        <v>5882</v>
      </c>
      <c r="K118" s="815"/>
      <c r="L118" s="819">
        <v>3</v>
      </c>
      <c r="M118" s="820">
        <v>44805</v>
      </c>
      <c r="N118" s="821">
        <f t="shared" si="12"/>
        <v>44621</v>
      </c>
      <c r="O118" s="822">
        <v>44713</v>
      </c>
      <c r="P118" s="823">
        <v>1</v>
      </c>
      <c r="Q118" s="827">
        <v>1</v>
      </c>
      <c r="R118" s="742">
        <f>16000000/60</f>
        <v>266666.66666666669</v>
      </c>
      <c r="S118" s="742"/>
      <c r="T118" s="924"/>
      <c r="U118" s="926"/>
      <c r="V118" s="824" t="s">
        <v>176</v>
      </c>
      <c r="W118" s="824" t="s">
        <v>310</v>
      </c>
      <c r="X118" s="824" t="s">
        <v>60</v>
      </c>
      <c r="Y118" s="824"/>
      <c r="Z118" s="815" t="s">
        <v>940</v>
      </c>
      <c r="AA118" s="819" t="s">
        <v>60</v>
      </c>
      <c r="AB118" s="825" t="s">
        <v>115</v>
      </c>
      <c r="AC118" s="825" t="s">
        <v>69</v>
      </c>
      <c r="AD118" s="695" t="s">
        <v>38</v>
      </c>
      <c r="AE118" s="1341">
        <v>44810</v>
      </c>
      <c r="AF118" s="1300" t="s">
        <v>5883</v>
      </c>
      <c r="AG118" s="924"/>
      <c r="AH118" s="719">
        <f t="shared" ca="1" si="15"/>
        <v>498</v>
      </c>
    </row>
    <row r="119" spans="1:36" s="950" customFormat="1" ht="65">
      <c r="A119" s="749"/>
      <c r="B119" s="814" t="s">
        <v>56</v>
      </c>
      <c r="C119" s="815" t="s">
        <v>60</v>
      </c>
      <c r="D119" s="816" t="s">
        <v>1025</v>
      </c>
      <c r="E119" s="816"/>
      <c r="F119" s="816"/>
      <c r="G119" s="816"/>
      <c r="H119" s="819"/>
      <c r="I119" s="815" t="s">
        <v>47</v>
      </c>
      <c r="J119" s="1604" t="s">
        <v>5884</v>
      </c>
      <c r="K119" s="815"/>
      <c r="L119" s="819">
        <v>3</v>
      </c>
      <c r="M119" s="820">
        <v>44805</v>
      </c>
      <c r="N119" s="821">
        <f t="shared" si="12"/>
        <v>44621</v>
      </c>
      <c r="O119" s="822">
        <v>44713</v>
      </c>
      <c r="P119" s="823">
        <v>1</v>
      </c>
      <c r="Q119" s="827">
        <v>1</v>
      </c>
      <c r="R119" s="742">
        <f>16000000/60</f>
        <v>266666.66666666669</v>
      </c>
      <c r="S119" s="742"/>
      <c r="T119" s="924"/>
      <c r="U119" s="926"/>
      <c r="V119" s="824" t="s">
        <v>176</v>
      </c>
      <c r="W119" s="824" t="s">
        <v>310</v>
      </c>
      <c r="X119" s="824" t="s">
        <v>60</v>
      </c>
      <c r="Y119" s="824"/>
      <c r="Z119" s="815" t="s">
        <v>940</v>
      </c>
      <c r="AA119" s="819" t="s">
        <v>60</v>
      </c>
      <c r="AB119" s="825" t="s">
        <v>115</v>
      </c>
      <c r="AC119" s="825" t="s">
        <v>69</v>
      </c>
      <c r="AD119" s="695" t="s">
        <v>38</v>
      </c>
      <c r="AE119" s="1341">
        <v>44810</v>
      </c>
      <c r="AF119" s="1300" t="s">
        <v>5885</v>
      </c>
      <c r="AG119" s="924"/>
      <c r="AH119" s="719">
        <f t="shared" ca="1" si="15"/>
        <v>498</v>
      </c>
      <c r="AI119" s="906"/>
      <c r="AJ119" s="906"/>
    </row>
    <row r="120" spans="1:36" s="906" customFormat="1" ht="52">
      <c r="A120" s="749"/>
      <c r="B120" s="814" t="s">
        <v>56</v>
      </c>
      <c r="C120" s="815" t="s">
        <v>60</v>
      </c>
      <c r="D120" s="816" t="s">
        <v>1025</v>
      </c>
      <c r="E120" s="816"/>
      <c r="F120" s="816"/>
      <c r="G120" s="816"/>
      <c r="H120" s="819"/>
      <c r="I120" s="815" t="s">
        <v>47</v>
      </c>
      <c r="J120" s="1604" t="s">
        <v>5886</v>
      </c>
      <c r="K120" s="815"/>
      <c r="L120" s="819">
        <v>3</v>
      </c>
      <c r="M120" s="820">
        <v>44805</v>
      </c>
      <c r="N120" s="821">
        <f t="shared" si="12"/>
        <v>44652</v>
      </c>
      <c r="O120" s="822">
        <v>44743</v>
      </c>
      <c r="P120" s="823">
        <v>1</v>
      </c>
      <c r="Q120" s="827">
        <v>1</v>
      </c>
      <c r="R120" s="742">
        <v>1000001</v>
      </c>
      <c r="S120" s="742"/>
      <c r="T120" s="924"/>
      <c r="U120" s="926"/>
      <c r="V120" s="828" t="s">
        <v>176</v>
      </c>
      <c r="W120" s="824" t="s">
        <v>310</v>
      </c>
      <c r="X120" s="824" t="s">
        <v>60</v>
      </c>
      <c r="Y120" s="824"/>
      <c r="Z120" s="815" t="s">
        <v>5638</v>
      </c>
      <c r="AA120" s="819" t="s">
        <v>60</v>
      </c>
      <c r="AB120" s="825" t="s">
        <v>115</v>
      </c>
      <c r="AC120" s="825" t="s">
        <v>69</v>
      </c>
      <c r="AD120" s="695" t="s">
        <v>38</v>
      </c>
      <c r="AE120" s="1341">
        <v>44690</v>
      </c>
      <c r="AF120" s="1300" t="s">
        <v>5887</v>
      </c>
      <c r="AG120" s="924"/>
      <c r="AH120" s="719">
        <f t="shared" ca="1" si="15"/>
        <v>618</v>
      </c>
    </row>
    <row r="121" spans="1:36" s="906" customFormat="1" ht="52">
      <c r="A121" s="749"/>
      <c r="B121" s="814" t="s">
        <v>56</v>
      </c>
      <c r="C121" s="815" t="s">
        <v>60</v>
      </c>
      <c r="D121" s="816" t="s">
        <v>1025</v>
      </c>
      <c r="E121" s="816"/>
      <c r="F121" s="816"/>
      <c r="G121" s="816"/>
      <c r="H121" s="819"/>
      <c r="I121" s="815" t="s">
        <v>47</v>
      </c>
      <c r="J121" s="1604" t="s">
        <v>5888</v>
      </c>
      <c r="K121" s="815"/>
      <c r="L121" s="819">
        <v>3</v>
      </c>
      <c r="M121" s="820">
        <v>44805</v>
      </c>
      <c r="N121" s="821">
        <f t="shared" si="12"/>
        <v>44652</v>
      </c>
      <c r="O121" s="822">
        <v>44743</v>
      </c>
      <c r="P121" s="823">
        <v>1</v>
      </c>
      <c r="Q121" s="827">
        <v>1</v>
      </c>
      <c r="R121" s="742">
        <v>450000</v>
      </c>
      <c r="S121" s="742"/>
      <c r="T121" s="924"/>
      <c r="U121" s="926"/>
      <c r="V121" s="828" t="s">
        <v>176</v>
      </c>
      <c r="W121" s="824" t="s">
        <v>310</v>
      </c>
      <c r="X121" s="824" t="s">
        <v>60</v>
      </c>
      <c r="Y121" s="824"/>
      <c r="Z121" s="815" t="s">
        <v>5638</v>
      </c>
      <c r="AA121" s="819" t="s">
        <v>60</v>
      </c>
      <c r="AB121" s="825" t="s">
        <v>115</v>
      </c>
      <c r="AC121" s="825" t="s">
        <v>154</v>
      </c>
      <c r="AD121" s="695" t="s">
        <v>38</v>
      </c>
      <c r="AE121" s="1341">
        <v>44690</v>
      </c>
      <c r="AF121" s="1300" t="s">
        <v>5889</v>
      </c>
      <c r="AG121" s="924"/>
      <c r="AH121" s="719">
        <f t="shared" ca="1" si="15"/>
        <v>618</v>
      </c>
      <c r="AI121" s="908"/>
      <c r="AJ121" s="908"/>
    </row>
    <row r="122" spans="1:36" s="906" customFormat="1" ht="52">
      <c r="A122" s="749"/>
      <c r="B122" s="814" t="s">
        <v>56</v>
      </c>
      <c r="C122" s="815" t="s">
        <v>60</v>
      </c>
      <c r="D122" s="816" t="s">
        <v>1025</v>
      </c>
      <c r="E122" s="816"/>
      <c r="F122" s="816"/>
      <c r="G122" s="816"/>
      <c r="H122" s="819"/>
      <c r="I122" s="815" t="s">
        <v>47</v>
      </c>
      <c r="J122" s="1604" t="s">
        <v>5890</v>
      </c>
      <c r="K122" s="815"/>
      <c r="L122" s="819">
        <v>3</v>
      </c>
      <c r="M122" s="820">
        <v>44805</v>
      </c>
      <c r="N122" s="821">
        <f t="shared" si="12"/>
        <v>44652</v>
      </c>
      <c r="O122" s="1761">
        <v>44743</v>
      </c>
      <c r="P122" s="1786">
        <v>1</v>
      </c>
      <c r="Q122" s="827">
        <v>1</v>
      </c>
      <c r="R122" s="742">
        <v>450000</v>
      </c>
      <c r="S122" s="742"/>
      <c r="T122" s="924"/>
      <c r="U122" s="926"/>
      <c r="V122" s="828" t="s">
        <v>176</v>
      </c>
      <c r="W122" s="824" t="s">
        <v>310</v>
      </c>
      <c r="X122" s="824" t="s">
        <v>60</v>
      </c>
      <c r="Y122" s="824"/>
      <c r="Z122" s="815" t="s">
        <v>5638</v>
      </c>
      <c r="AA122" s="819" t="s">
        <v>60</v>
      </c>
      <c r="AB122" s="825" t="s">
        <v>115</v>
      </c>
      <c r="AC122" s="825" t="s">
        <v>154</v>
      </c>
      <c r="AD122" s="695" t="s">
        <v>38</v>
      </c>
      <c r="AE122" s="1341">
        <v>44690</v>
      </c>
      <c r="AF122" s="1300" t="s">
        <v>5891</v>
      </c>
      <c r="AG122" s="924"/>
      <c r="AH122" s="719">
        <f t="shared" ca="1" si="15"/>
        <v>618</v>
      </c>
    </row>
    <row r="123" spans="1:36" s="906" customFormat="1" ht="52">
      <c r="A123" s="749"/>
      <c r="B123" s="814" t="s">
        <v>56</v>
      </c>
      <c r="C123" s="815" t="s">
        <v>60</v>
      </c>
      <c r="D123" s="816" t="s">
        <v>1025</v>
      </c>
      <c r="E123" s="816"/>
      <c r="F123" s="816"/>
      <c r="G123" s="816"/>
      <c r="H123" s="819"/>
      <c r="I123" s="815" t="s">
        <v>47</v>
      </c>
      <c r="J123" s="1604" t="s">
        <v>5892</v>
      </c>
      <c r="K123" s="815"/>
      <c r="L123" s="819">
        <v>3</v>
      </c>
      <c r="M123" s="820">
        <v>44805</v>
      </c>
      <c r="N123" s="821">
        <f t="shared" si="12"/>
        <v>44652</v>
      </c>
      <c r="O123" s="822">
        <v>44743</v>
      </c>
      <c r="P123" s="823">
        <v>1</v>
      </c>
      <c r="Q123" s="827">
        <v>1</v>
      </c>
      <c r="R123" s="742">
        <v>450000</v>
      </c>
      <c r="S123" s="742"/>
      <c r="T123" s="924"/>
      <c r="U123" s="926"/>
      <c r="V123" s="828" t="s">
        <v>176</v>
      </c>
      <c r="W123" s="824" t="s">
        <v>310</v>
      </c>
      <c r="X123" s="824" t="s">
        <v>60</v>
      </c>
      <c r="Y123" s="824"/>
      <c r="Z123" s="815" t="s">
        <v>5638</v>
      </c>
      <c r="AA123" s="819" t="s">
        <v>60</v>
      </c>
      <c r="AB123" s="825" t="s">
        <v>115</v>
      </c>
      <c r="AC123" s="825" t="s">
        <v>154</v>
      </c>
      <c r="AD123" s="695" t="s">
        <v>38</v>
      </c>
      <c r="AE123" s="1341">
        <v>44690</v>
      </c>
      <c r="AF123" s="1300" t="s">
        <v>5893</v>
      </c>
      <c r="AG123" s="924"/>
      <c r="AH123" s="719">
        <f t="shared" ca="1" si="15"/>
        <v>618</v>
      </c>
    </row>
    <row r="124" spans="1:36" s="906" customFormat="1" ht="52">
      <c r="A124" s="749"/>
      <c r="B124" s="814" t="s">
        <v>56</v>
      </c>
      <c r="C124" s="815" t="s">
        <v>60</v>
      </c>
      <c r="D124" s="816" t="s">
        <v>1025</v>
      </c>
      <c r="E124" s="816"/>
      <c r="F124" s="816"/>
      <c r="G124" s="816"/>
      <c r="H124" s="819"/>
      <c r="I124" s="815" t="s">
        <v>47</v>
      </c>
      <c r="J124" s="1604" t="s">
        <v>5894</v>
      </c>
      <c r="K124" s="1671"/>
      <c r="L124" s="1685">
        <v>3</v>
      </c>
      <c r="M124" s="1747">
        <v>44805</v>
      </c>
      <c r="N124" s="1751">
        <f t="shared" si="12"/>
        <v>44652</v>
      </c>
      <c r="O124" s="1761">
        <v>44743</v>
      </c>
      <c r="P124" s="1786">
        <v>1</v>
      </c>
      <c r="Q124" s="2050">
        <v>1</v>
      </c>
      <c r="R124" s="930">
        <v>450000</v>
      </c>
      <c r="S124" s="930"/>
      <c r="T124" s="924"/>
      <c r="U124" s="926"/>
      <c r="V124" s="2073" t="s">
        <v>176</v>
      </c>
      <c r="W124" s="1837" t="s">
        <v>310</v>
      </c>
      <c r="X124" s="2091" t="s">
        <v>60</v>
      </c>
      <c r="Y124" s="2359"/>
      <c r="Z124" s="2101" t="s">
        <v>5638</v>
      </c>
      <c r="AA124" s="1366" t="s">
        <v>60</v>
      </c>
      <c r="AB124" s="1874" t="s">
        <v>115</v>
      </c>
      <c r="AC124" s="1874" t="s">
        <v>154</v>
      </c>
      <c r="AD124" s="782" t="s">
        <v>38</v>
      </c>
      <c r="AE124" s="1341">
        <v>44690</v>
      </c>
      <c r="AF124" s="1300" t="s">
        <v>5895</v>
      </c>
      <c r="AG124" s="924"/>
      <c r="AH124" s="719">
        <f t="shared" ca="1" si="15"/>
        <v>618</v>
      </c>
    </row>
    <row r="125" spans="1:36" s="906" customFormat="1" ht="52">
      <c r="A125" s="749"/>
      <c r="B125" s="814" t="s">
        <v>56</v>
      </c>
      <c r="C125" s="815" t="s">
        <v>60</v>
      </c>
      <c r="D125" s="816" t="s">
        <v>1025</v>
      </c>
      <c r="E125" s="816"/>
      <c r="F125" s="816"/>
      <c r="G125" s="816"/>
      <c r="H125" s="819"/>
      <c r="I125" s="815" t="s">
        <v>47</v>
      </c>
      <c r="J125" s="1604" t="s">
        <v>5896</v>
      </c>
      <c r="K125" s="815"/>
      <c r="L125" s="819">
        <v>3</v>
      </c>
      <c r="M125" s="820">
        <f>IF(O125="tbc","",(IFERROR(EDATE($N125,-3),"Invalid procurement method or date entered")))</f>
        <v>44927</v>
      </c>
      <c r="N125" s="821">
        <f t="shared" si="12"/>
        <v>45017</v>
      </c>
      <c r="O125" s="2025">
        <v>45108</v>
      </c>
      <c r="P125" s="827">
        <v>1</v>
      </c>
      <c r="Q125" s="827">
        <v>1</v>
      </c>
      <c r="R125" s="742">
        <v>1000001</v>
      </c>
      <c r="S125" s="742"/>
      <c r="T125" s="924"/>
      <c r="U125" s="926"/>
      <c r="V125" s="828" t="s">
        <v>176</v>
      </c>
      <c r="W125" s="824" t="s">
        <v>310</v>
      </c>
      <c r="X125" s="824" t="s">
        <v>60</v>
      </c>
      <c r="Y125" s="2084"/>
      <c r="Z125" s="1153" t="s">
        <v>5638</v>
      </c>
      <c r="AA125" s="1366" t="s">
        <v>60</v>
      </c>
      <c r="AB125" s="1370" t="s">
        <v>115</v>
      </c>
      <c r="AC125" s="825" t="s">
        <v>69</v>
      </c>
      <c r="AD125" s="752" t="s">
        <v>38</v>
      </c>
      <c r="AE125" s="1341">
        <v>44690</v>
      </c>
      <c r="AF125" s="1300" t="s">
        <v>5897</v>
      </c>
      <c r="AG125" s="924"/>
      <c r="AH125" s="737">
        <f t="shared" ca="1" si="15"/>
        <v>618</v>
      </c>
    </row>
    <row r="126" spans="1:36" s="906" customFormat="1" ht="52">
      <c r="A126" s="749"/>
      <c r="B126" s="814" t="s">
        <v>56</v>
      </c>
      <c r="C126" s="815" t="s">
        <v>60</v>
      </c>
      <c r="D126" s="816" t="s">
        <v>1025</v>
      </c>
      <c r="E126" s="816"/>
      <c r="F126" s="816"/>
      <c r="G126" s="816"/>
      <c r="H126" s="819"/>
      <c r="I126" s="815" t="s">
        <v>47</v>
      </c>
      <c r="J126" s="1604" t="s">
        <v>5898</v>
      </c>
      <c r="K126" s="815"/>
      <c r="L126" s="819">
        <v>3</v>
      </c>
      <c r="M126" s="820">
        <f>IF(O126="tbc","",(IFERROR(EDATE($N126,-3),"Invalid procurement method or date entered")))</f>
        <v>44927</v>
      </c>
      <c r="N126" s="821">
        <f t="shared" si="12"/>
        <v>45017</v>
      </c>
      <c r="O126" s="822">
        <v>45108</v>
      </c>
      <c r="P126" s="823">
        <v>1</v>
      </c>
      <c r="Q126" s="827">
        <v>1</v>
      </c>
      <c r="R126" s="742">
        <v>450000</v>
      </c>
      <c r="S126" s="742"/>
      <c r="T126" s="924"/>
      <c r="U126" s="926"/>
      <c r="V126" s="824" t="s">
        <v>176</v>
      </c>
      <c r="W126" s="824" t="s">
        <v>310</v>
      </c>
      <c r="X126" s="824" t="s">
        <v>60</v>
      </c>
      <c r="Y126" s="824"/>
      <c r="Z126" s="815" t="s">
        <v>5638</v>
      </c>
      <c r="AA126" s="819" t="s">
        <v>60</v>
      </c>
      <c r="AB126" s="825" t="s">
        <v>115</v>
      </c>
      <c r="AC126" s="825" t="s">
        <v>154</v>
      </c>
      <c r="AD126" s="695" t="s">
        <v>38</v>
      </c>
      <c r="AE126" s="1341">
        <v>44690</v>
      </c>
      <c r="AF126" s="1300" t="s">
        <v>5899</v>
      </c>
      <c r="AG126" s="924"/>
      <c r="AH126" s="737">
        <f t="shared" ca="1" si="15"/>
        <v>618</v>
      </c>
    </row>
    <row r="127" spans="1:36" s="906" customFormat="1" ht="52">
      <c r="A127" s="749"/>
      <c r="B127" s="814" t="s">
        <v>56</v>
      </c>
      <c r="C127" s="815" t="s">
        <v>60</v>
      </c>
      <c r="D127" s="816" t="s">
        <v>1025</v>
      </c>
      <c r="E127" s="816"/>
      <c r="F127" s="816"/>
      <c r="G127" s="816"/>
      <c r="H127" s="819"/>
      <c r="I127" s="815" t="s">
        <v>47</v>
      </c>
      <c r="J127" s="1604" t="s">
        <v>5900</v>
      </c>
      <c r="K127" s="815"/>
      <c r="L127" s="819">
        <v>3</v>
      </c>
      <c r="M127" s="820">
        <f>IF(O127="tbc","",(IFERROR(EDATE($N127,-3),"Invalid procurement method or date entered")))</f>
        <v>44927</v>
      </c>
      <c r="N127" s="821">
        <f t="shared" si="12"/>
        <v>45017</v>
      </c>
      <c r="O127" s="822">
        <v>45108</v>
      </c>
      <c r="P127" s="823">
        <v>1</v>
      </c>
      <c r="Q127" s="827">
        <v>1</v>
      </c>
      <c r="R127" s="742">
        <v>450000</v>
      </c>
      <c r="S127" s="742"/>
      <c r="T127" s="924"/>
      <c r="U127" s="926"/>
      <c r="V127" s="828" t="s">
        <v>176</v>
      </c>
      <c r="W127" s="824" t="s">
        <v>310</v>
      </c>
      <c r="X127" s="824" t="s">
        <v>60</v>
      </c>
      <c r="Y127" s="2091"/>
      <c r="Z127" s="2096" t="s">
        <v>5638</v>
      </c>
      <c r="AA127" s="1366" t="s">
        <v>60</v>
      </c>
      <c r="AB127" s="1509" t="s">
        <v>115</v>
      </c>
      <c r="AC127" s="825" t="s">
        <v>154</v>
      </c>
      <c r="AD127" s="695" t="s">
        <v>38</v>
      </c>
      <c r="AE127" s="1341">
        <v>44690</v>
      </c>
      <c r="AF127" s="1300" t="s">
        <v>5901</v>
      </c>
      <c r="AG127" s="924"/>
      <c r="AH127" s="737">
        <f t="shared" ca="1" si="15"/>
        <v>618</v>
      </c>
    </row>
    <row r="128" spans="1:36" s="906" customFormat="1" ht="52">
      <c r="A128" s="749"/>
      <c r="B128" s="814" t="s">
        <v>56</v>
      </c>
      <c r="C128" s="815" t="s">
        <v>60</v>
      </c>
      <c r="D128" s="816" t="s">
        <v>1025</v>
      </c>
      <c r="E128" s="816"/>
      <c r="F128" s="816"/>
      <c r="G128" s="816"/>
      <c r="H128" s="819"/>
      <c r="I128" s="815" t="s">
        <v>47</v>
      </c>
      <c r="J128" s="1604" t="s">
        <v>5902</v>
      </c>
      <c r="K128" s="815"/>
      <c r="L128" s="819">
        <v>3</v>
      </c>
      <c r="M128" s="820">
        <f>IF(O128="tbc","",(IFERROR(EDATE($N128,-3),"Invalid procurement method or date entered")))</f>
        <v>44927</v>
      </c>
      <c r="N128" s="821">
        <f t="shared" si="12"/>
        <v>45017</v>
      </c>
      <c r="O128" s="822">
        <v>45108</v>
      </c>
      <c r="P128" s="2032">
        <v>1</v>
      </c>
      <c r="Q128" s="827">
        <v>1</v>
      </c>
      <c r="R128" s="742">
        <v>450000</v>
      </c>
      <c r="S128" s="742"/>
      <c r="T128" s="924"/>
      <c r="U128" s="926"/>
      <c r="V128" s="828" t="s">
        <v>176</v>
      </c>
      <c r="W128" s="824" t="s">
        <v>310</v>
      </c>
      <c r="X128" s="824" t="s">
        <v>60</v>
      </c>
      <c r="Y128" s="2084"/>
      <c r="Z128" s="1153" t="s">
        <v>5638</v>
      </c>
      <c r="AA128" s="1366" t="s">
        <v>60</v>
      </c>
      <c r="AB128" s="1370" t="s">
        <v>115</v>
      </c>
      <c r="AC128" s="825" t="s">
        <v>154</v>
      </c>
      <c r="AD128" s="752" t="s">
        <v>38</v>
      </c>
      <c r="AE128" s="1341">
        <v>44690</v>
      </c>
      <c r="AF128" s="1300" t="s">
        <v>5903</v>
      </c>
      <c r="AG128" s="924"/>
      <c r="AH128" s="737">
        <f t="shared" ca="1" si="15"/>
        <v>618</v>
      </c>
    </row>
    <row r="129" spans="1:36" s="906" customFormat="1" ht="52">
      <c r="A129" s="749"/>
      <c r="B129" s="814" t="s">
        <v>56</v>
      </c>
      <c r="C129" s="815" t="s">
        <v>60</v>
      </c>
      <c r="D129" s="816" t="s">
        <v>1025</v>
      </c>
      <c r="E129" s="816"/>
      <c r="F129" s="816"/>
      <c r="G129" s="816"/>
      <c r="H129" s="819"/>
      <c r="I129" s="815" t="s">
        <v>47</v>
      </c>
      <c r="J129" s="1604" t="s">
        <v>5904</v>
      </c>
      <c r="K129" s="815"/>
      <c r="L129" s="819">
        <v>3</v>
      </c>
      <c r="M129" s="820">
        <f>IF(O129="tbc","",(IFERROR(EDATE($N129,-3),"Invalid procurement method or date entered")))</f>
        <v>44927</v>
      </c>
      <c r="N129" s="821">
        <f t="shared" si="12"/>
        <v>45017</v>
      </c>
      <c r="O129" s="822">
        <v>45108</v>
      </c>
      <c r="P129" s="823">
        <v>1</v>
      </c>
      <c r="Q129" s="827">
        <v>1</v>
      </c>
      <c r="R129" s="742">
        <v>450000</v>
      </c>
      <c r="S129" s="742"/>
      <c r="T129" s="924"/>
      <c r="U129" s="926"/>
      <c r="V129" s="828" t="s">
        <v>176</v>
      </c>
      <c r="W129" s="824" t="s">
        <v>310</v>
      </c>
      <c r="X129" s="824" t="s">
        <v>60</v>
      </c>
      <c r="Y129" s="824"/>
      <c r="Z129" s="815" t="s">
        <v>5638</v>
      </c>
      <c r="AA129" s="819" t="s">
        <v>60</v>
      </c>
      <c r="AB129" s="825" t="s">
        <v>115</v>
      </c>
      <c r="AC129" s="825" t="s">
        <v>154</v>
      </c>
      <c r="AD129" s="695" t="s">
        <v>38</v>
      </c>
      <c r="AE129" s="1341">
        <v>44690</v>
      </c>
      <c r="AF129" s="1300" t="s">
        <v>5905</v>
      </c>
      <c r="AG129" s="924"/>
      <c r="AH129" s="737">
        <f t="shared" ca="1" si="15"/>
        <v>618</v>
      </c>
    </row>
    <row r="130" spans="1:36" s="906" customFormat="1" ht="39">
      <c r="A130" s="749" t="s">
        <v>71</v>
      </c>
      <c r="B130" s="737" t="s">
        <v>44</v>
      </c>
      <c r="C130" s="786" t="s">
        <v>2735</v>
      </c>
      <c r="D130" s="739" t="s">
        <v>32</v>
      </c>
      <c r="E130" s="794" t="s">
        <v>449</v>
      </c>
      <c r="F130" s="739" t="s">
        <v>361</v>
      </c>
      <c r="G130" s="2192" t="s">
        <v>569</v>
      </c>
      <c r="H130" s="801"/>
      <c r="I130" s="695" t="s">
        <v>34</v>
      </c>
      <c r="J130" s="748" t="s">
        <v>2284</v>
      </c>
      <c r="K130" s="801" t="s">
        <v>5906</v>
      </c>
      <c r="L130" s="784">
        <v>9</v>
      </c>
      <c r="M130" s="769">
        <f>IFERROR(EDATE($N130,-3),"Invalid procurement method or date entered")</f>
        <v>44835</v>
      </c>
      <c r="N130" s="1247">
        <f>IFERROR(EDATE(O130,-L130),"Invalid procurement method or date entered")</f>
        <v>44927</v>
      </c>
      <c r="O130" s="1518">
        <v>45200</v>
      </c>
      <c r="P130" s="1519">
        <v>60</v>
      </c>
      <c r="Q130" s="751" t="s">
        <v>5907</v>
      </c>
      <c r="R130" s="742">
        <v>7500</v>
      </c>
      <c r="S130" s="929"/>
      <c r="T130" s="793">
        <v>1500</v>
      </c>
      <c r="U130" s="806"/>
      <c r="V130" s="789" t="s">
        <v>130</v>
      </c>
      <c r="W130" s="1430" t="s">
        <v>38</v>
      </c>
      <c r="X130" s="1508" t="s">
        <v>67</v>
      </c>
      <c r="Y130" s="1508"/>
      <c r="Z130" s="801" t="s">
        <v>5908</v>
      </c>
      <c r="AA130" s="710" t="s">
        <v>1334</v>
      </c>
      <c r="AB130" s="784" t="s">
        <v>40</v>
      </c>
      <c r="AC130" s="784" t="s">
        <v>154</v>
      </c>
      <c r="AD130" s="784" t="s">
        <v>70</v>
      </c>
      <c r="AE130" s="847">
        <v>44980</v>
      </c>
      <c r="AF130" s="1520" t="s">
        <v>5909</v>
      </c>
      <c r="AG130" s="723" t="s">
        <v>145</v>
      </c>
      <c r="AH130" s="1376">
        <f ca="1">IFERROR(TODAY()-AE130,"N/A")</f>
        <v>328</v>
      </c>
      <c r="AI130" s="401"/>
      <c r="AJ130" s="1"/>
    </row>
    <row r="131" spans="1:36" s="906" customFormat="1" ht="78">
      <c r="A131" s="749">
        <v>44846</v>
      </c>
      <c r="B131" s="725" t="s">
        <v>56</v>
      </c>
      <c r="C131" s="726" t="s">
        <v>60</v>
      </c>
      <c r="D131" s="727" t="s">
        <v>348</v>
      </c>
      <c r="E131" s="794" t="s">
        <v>449</v>
      </c>
      <c r="F131" s="739" t="s">
        <v>361</v>
      </c>
      <c r="G131" s="1455" t="s">
        <v>362</v>
      </c>
      <c r="H131" s="730"/>
      <c r="I131" s="726" t="s">
        <v>47</v>
      </c>
      <c r="J131" s="729" t="s">
        <v>5910</v>
      </c>
      <c r="K131" s="726"/>
      <c r="L131" s="730">
        <v>6</v>
      </c>
      <c r="M131" s="731">
        <v>44854</v>
      </c>
      <c r="N131" s="712" t="s">
        <v>60</v>
      </c>
      <c r="O131" s="759" t="s">
        <v>60</v>
      </c>
      <c r="P131" s="760" t="s">
        <v>60</v>
      </c>
      <c r="Q131" s="761" t="s">
        <v>60</v>
      </c>
      <c r="R131" s="742" t="s">
        <v>60</v>
      </c>
      <c r="S131" s="742"/>
      <c r="T131" s="924"/>
      <c r="U131" s="926"/>
      <c r="V131" s="734" t="s">
        <v>407</v>
      </c>
      <c r="W131" s="711" t="s">
        <v>589</v>
      </c>
      <c r="X131" s="711" t="s">
        <v>589</v>
      </c>
      <c r="Y131" s="711"/>
      <c r="Z131" s="730" t="s">
        <v>5911</v>
      </c>
      <c r="AA131" s="730" t="s">
        <v>1013</v>
      </c>
      <c r="AB131" s="762" t="s">
        <v>115</v>
      </c>
      <c r="AC131" s="762"/>
      <c r="AD131" s="695"/>
      <c r="AE131" s="2222">
        <v>44988</v>
      </c>
      <c r="AF131" s="1278" t="s">
        <v>5912</v>
      </c>
      <c r="AG131" s="924"/>
      <c r="AH131" s="1376">
        <f ca="1">IFERROR(TODAY()-AE131,"N/A")</f>
        <v>320</v>
      </c>
    </row>
    <row r="132" spans="1:36" s="906" customFormat="1" ht="208">
      <c r="A132" s="749"/>
      <c r="B132" s="725" t="s">
        <v>56</v>
      </c>
      <c r="C132" s="726" t="s">
        <v>60</v>
      </c>
      <c r="D132" s="727" t="s">
        <v>847</v>
      </c>
      <c r="E132" s="794" t="s">
        <v>449</v>
      </c>
      <c r="F132" s="1311" t="s">
        <v>630</v>
      </c>
      <c r="G132" s="1451" t="s">
        <v>1319</v>
      </c>
      <c r="H132" s="730"/>
      <c r="I132" s="726" t="s">
        <v>47</v>
      </c>
      <c r="J132" s="729" t="s">
        <v>5913</v>
      </c>
      <c r="K132" s="726"/>
      <c r="L132" s="730">
        <v>1</v>
      </c>
      <c r="M132" s="731">
        <v>44835</v>
      </c>
      <c r="N132" s="712" t="s">
        <v>60</v>
      </c>
      <c r="O132" s="759" t="s">
        <v>60</v>
      </c>
      <c r="P132" s="760" t="s">
        <v>60</v>
      </c>
      <c r="Q132" s="761" t="s">
        <v>60</v>
      </c>
      <c r="R132" s="2220">
        <v>30000</v>
      </c>
      <c r="S132" s="2220"/>
      <c r="T132" s="1162"/>
      <c r="U132" s="2356"/>
      <c r="V132" s="734" t="s">
        <v>176</v>
      </c>
      <c r="W132" s="711" t="s">
        <v>589</v>
      </c>
      <c r="X132" s="711" t="s">
        <v>589</v>
      </c>
      <c r="Y132" s="711"/>
      <c r="Z132" s="726" t="s">
        <v>1044</v>
      </c>
      <c r="AA132" s="730" t="s">
        <v>60</v>
      </c>
      <c r="AB132" s="762" t="s">
        <v>594</v>
      </c>
      <c r="AC132" s="762" t="s">
        <v>154</v>
      </c>
      <c r="AD132" s="695" t="s">
        <v>70</v>
      </c>
      <c r="AE132" s="2222">
        <v>44985</v>
      </c>
      <c r="AF132" s="1290" t="s">
        <v>5914</v>
      </c>
      <c r="AG132" s="1162"/>
      <c r="AH132" s="1376">
        <f ca="1">IFERROR(TODAY()-AE132,"N/A")</f>
        <v>323</v>
      </c>
    </row>
    <row r="133" spans="1:36" s="906" customFormat="1" ht="39">
      <c r="A133" s="749"/>
      <c r="B133" s="737" t="s">
        <v>44</v>
      </c>
      <c r="C133" s="707"/>
      <c r="D133" s="739" t="s">
        <v>32</v>
      </c>
      <c r="E133" s="794" t="s">
        <v>449</v>
      </c>
      <c r="F133" s="739" t="s">
        <v>361</v>
      </c>
      <c r="G133" s="2192" t="s">
        <v>569</v>
      </c>
      <c r="H133" s="710"/>
      <c r="I133" s="738" t="s">
        <v>34</v>
      </c>
      <c r="J133" s="709" t="s">
        <v>610</v>
      </c>
      <c r="K133" s="710" t="s">
        <v>5915</v>
      </c>
      <c r="L133" s="710">
        <v>2</v>
      </c>
      <c r="M133" s="769">
        <f>IFERROR(EDATE($N133,-3),"Invalid procurement method or date entered")</f>
        <v>44866</v>
      </c>
      <c r="N133" s="769">
        <f>IFERROR(EDATE(O133,-L133),"Invalid procurement method or date entered")</f>
        <v>44958</v>
      </c>
      <c r="O133" s="947">
        <v>45017</v>
      </c>
      <c r="P133" s="740">
        <v>36</v>
      </c>
      <c r="Q133" s="719" t="s">
        <v>5784</v>
      </c>
      <c r="R133" s="742">
        <v>130000</v>
      </c>
      <c r="S133" s="742"/>
      <c r="T133" s="850">
        <v>43000</v>
      </c>
      <c r="U133" s="1936"/>
      <c r="V133" s="708" t="s">
        <v>130</v>
      </c>
      <c r="W133" s="836" t="s">
        <v>612</v>
      </c>
      <c r="X133" s="848" t="s">
        <v>71</v>
      </c>
      <c r="Y133" s="848"/>
      <c r="Z133" s="710" t="s">
        <v>614</v>
      </c>
      <c r="AA133" s="710" t="s">
        <v>1445</v>
      </c>
      <c r="AB133" s="710" t="s">
        <v>40</v>
      </c>
      <c r="AC133" s="710" t="s">
        <v>69</v>
      </c>
      <c r="AD133" s="710" t="s">
        <v>38</v>
      </c>
      <c r="AE133" s="2222">
        <v>45000</v>
      </c>
      <c r="AF133" s="1373" t="s">
        <v>5916</v>
      </c>
      <c r="AG133" s="741" t="s">
        <v>96</v>
      </c>
      <c r="AH133" s="1376">
        <f ca="1">IFERROR(TODAY()-AE133,"N/A")</f>
        <v>308</v>
      </c>
    </row>
    <row r="134" spans="1:36" s="906" customFormat="1" ht="104">
      <c r="A134" s="1166">
        <v>44578</v>
      </c>
      <c r="B134" s="1407" t="s">
        <v>44</v>
      </c>
      <c r="C134" s="1277" t="s">
        <v>45</v>
      </c>
      <c r="D134" s="1311" t="s">
        <v>32</v>
      </c>
      <c r="E134" s="1385" t="s">
        <v>449</v>
      </c>
      <c r="F134" s="1311" t="s">
        <v>361</v>
      </c>
      <c r="G134" s="1455" t="s">
        <v>569</v>
      </c>
      <c r="H134" s="698"/>
      <c r="I134" s="698" t="s">
        <v>268</v>
      </c>
      <c r="J134" s="1449" t="s">
        <v>5917</v>
      </c>
      <c r="K134" s="698" t="s">
        <v>1030</v>
      </c>
      <c r="L134" s="698"/>
      <c r="M134" s="1457"/>
      <c r="N134" s="1461"/>
      <c r="O134" s="1459"/>
      <c r="P134" s="698"/>
      <c r="Q134" s="698"/>
      <c r="R134" s="930"/>
      <c r="S134" s="930"/>
      <c r="T134" s="1477">
        <v>97010.7</v>
      </c>
      <c r="U134" s="1477"/>
      <c r="V134" s="1460"/>
      <c r="W134" s="1158"/>
      <c r="X134" s="1158"/>
      <c r="Y134" s="1158"/>
      <c r="Z134" s="698" t="s">
        <v>1667</v>
      </c>
      <c r="AA134" s="698" t="s">
        <v>3955</v>
      </c>
      <c r="AB134" s="698" t="s">
        <v>40</v>
      </c>
      <c r="AC134" s="1279"/>
      <c r="AD134" s="1279" t="s">
        <v>38</v>
      </c>
      <c r="AE134" s="2260">
        <v>44987</v>
      </c>
      <c r="AF134" s="2316" t="s">
        <v>5918</v>
      </c>
      <c r="AG134" s="698" t="s">
        <v>806</v>
      </c>
      <c r="AH134" s="1376">
        <f ca="1">IFERROR(TODAY()-AE134,"N/A")</f>
        <v>321</v>
      </c>
    </row>
    <row r="135" spans="1:36" s="906" customFormat="1" ht="104">
      <c r="A135" s="749"/>
      <c r="B135" s="725" t="s">
        <v>56</v>
      </c>
      <c r="C135" s="730" t="s">
        <v>60</v>
      </c>
      <c r="D135" s="727" t="s">
        <v>348</v>
      </c>
      <c r="E135" s="794"/>
      <c r="F135" s="727"/>
      <c r="G135" s="727"/>
      <c r="H135" s="728"/>
      <c r="I135" s="728" t="s">
        <v>47</v>
      </c>
      <c r="J135" s="1617" t="s">
        <v>5919</v>
      </c>
      <c r="K135" s="728"/>
      <c r="L135" s="730">
        <v>12</v>
      </c>
      <c r="M135" s="731">
        <f>IF(O135="tbc","",(IFERROR(EDATE($N135,-3),"Invalid procurement method or date entered")))</f>
        <v>44440</v>
      </c>
      <c r="N135" s="712">
        <f>IF(O135="tbc","",(IFERROR(EDATE(O135,-L135),"Invalid procurement method or date entered")))</f>
        <v>44531</v>
      </c>
      <c r="O135" s="712">
        <v>44896</v>
      </c>
      <c r="P135" s="813">
        <v>48</v>
      </c>
      <c r="Q135" s="2042">
        <v>48</v>
      </c>
      <c r="R135" s="742">
        <v>200000</v>
      </c>
      <c r="S135" s="742"/>
      <c r="T135" s="1286"/>
      <c r="U135" s="1929"/>
      <c r="V135" s="727" t="s">
        <v>91</v>
      </c>
      <c r="W135" s="730" t="s">
        <v>589</v>
      </c>
      <c r="X135" s="712" t="s">
        <v>60</v>
      </c>
      <c r="Y135" s="712"/>
      <c r="Z135" s="728" t="s">
        <v>4888</v>
      </c>
      <c r="AA135" s="730" t="s">
        <v>312</v>
      </c>
      <c r="AB135" s="762" t="s">
        <v>727</v>
      </c>
      <c r="AC135" s="763" t="s">
        <v>154</v>
      </c>
      <c r="AD135" s="752" t="s">
        <v>70</v>
      </c>
      <c r="AE135" s="764">
        <v>44812</v>
      </c>
      <c r="AF135" s="1293" t="s">
        <v>5920</v>
      </c>
      <c r="AG135" s="1286"/>
      <c r="AH135" s="1946"/>
    </row>
    <row r="136" spans="1:36" s="906" customFormat="1" ht="26">
      <c r="A136" s="1444" t="s">
        <v>1170</v>
      </c>
      <c r="B136" s="1633" t="s">
        <v>44</v>
      </c>
      <c r="C136" s="1632" t="s">
        <v>5921</v>
      </c>
      <c r="D136" s="1632" t="s">
        <v>1350</v>
      </c>
      <c r="E136" s="1631" t="s">
        <v>1341</v>
      </c>
      <c r="F136" s="1632" t="s">
        <v>630</v>
      </c>
      <c r="G136" s="940" t="s">
        <v>1170</v>
      </c>
      <c r="H136" s="1632"/>
      <c r="I136" s="1632" t="s">
        <v>34</v>
      </c>
      <c r="J136" s="1444" t="s">
        <v>5922</v>
      </c>
      <c r="K136" s="1632" t="s">
        <v>1170</v>
      </c>
      <c r="L136" s="1444" t="s">
        <v>1170</v>
      </c>
      <c r="M136" s="1444" t="s">
        <v>1170</v>
      </c>
      <c r="N136" s="1444" t="s">
        <v>1170</v>
      </c>
      <c r="O136" s="1637">
        <v>45017</v>
      </c>
      <c r="P136" s="1632">
        <v>36</v>
      </c>
      <c r="Q136" s="1632" t="s">
        <v>5004</v>
      </c>
      <c r="R136" s="1638">
        <v>60000</v>
      </c>
      <c r="S136" s="1638"/>
      <c r="T136" s="1447" t="s">
        <v>1170</v>
      </c>
      <c r="U136" s="2524"/>
      <c r="V136" s="1632" t="s">
        <v>4970</v>
      </c>
      <c r="W136" s="1632" t="s">
        <v>1170</v>
      </c>
      <c r="X136" s="1632" t="s">
        <v>1170</v>
      </c>
      <c r="Y136" s="1632"/>
      <c r="Z136" s="1632" t="s">
        <v>1355</v>
      </c>
      <c r="AA136" s="1632" t="s">
        <v>1170</v>
      </c>
      <c r="AB136" s="1632"/>
      <c r="AC136" s="1634" t="s">
        <v>1170</v>
      </c>
      <c r="AD136" s="1632" t="s">
        <v>1170</v>
      </c>
      <c r="AE136" s="2222" t="s">
        <v>1170</v>
      </c>
      <c r="AF136" s="2212" t="s">
        <v>5923</v>
      </c>
      <c r="AG136" s="1447" t="s">
        <v>1170</v>
      </c>
      <c r="AH136" s="1376" t="str">
        <f t="shared" ref="AH136:AH145" ca="1" si="16">IFERROR(TODAY()-AE136,"N/A")</f>
        <v>N/A</v>
      </c>
    </row>
    <row r="137" spans="1:36" s="906" customFormat="1" ht="52">
      <c r="A137" s="1166"/>
      <c r="B137" s="1407" t="s">
        <v>44</v>
      </c>
      <c r="C137" s="1277" t="s">
        <v>45</v>
      </c>
      <c r="D137" s="698" t="s">
        <v>32</v>
      </c>
      <c r="E137" s="1385" t="s">
        <v>449</v>
      </c>
      <c r="F137" s="1311" t="s">
        <v>110</v>
      </c>
      <c r="G137" s="1455" t="s">
        <v>569</v>
      </c>
      <c r="H137" s="698"/>
      <c r="I137" s="698" t="s">
        <v>47</v>
      </c>
      <c r="J137" s="1449" t="s">
        <v>5924</v>
      </c>
      <c r="K137" s="698"/>
      <c r="L137" s="698" t="e">
        <f>IF(OR(V137=#REF!,V137=#REF!,V137=#REF!,V137=#REF!,V137=#REF!,V137=#REF!,V137=#REF!,V137=#REF!),12,IF(OR(V137=#REF!,V137=#REF!,V137=#REF!,V137=#REF!,V137=#REF!,V137=#REF!,V137=#REF!),3,IF(V137=#REF!,1,IF(V137=#REF!,18,IF(OR(V137=#REF!,V137=#REF!,V137=#REF!,V137=#REF!,V137=#REF!),14,"Invalid proposed procurement method")))))</f>
        <v>#REF!</v>
      </c>
      <c r="M137" s="1457" t="str">
        <f>IFERROR(EDATE($N137,-3),"Invalid procurement method or date entered")</f>
        <v>Invalid procurement method or date entered</v>
      </c>
      <c r="N137" s="1457" t="str">
        <f>IFERROR(EDATE(O137,-L137),"Invalid procurement method or date entered")</f>
        <v>Invalid procurement method or date entered</v>
      </c>
      <c r="O137" s="1459" t="s">
        <v>45</v>
      </c>
      <c r="P137" s="697" t="s">
        <v>45</v>
      </c>
      <c r="Q137" s="697" t="s">
        <v>45</v>
      </c>
      <c r="R137" s="930">
        <v>350000</v>
      </c>
      <c r="S137" s="930"/>
      <c r="T137" s="930">
        <v>100000</v>
      </c>
      <c r="U137" s="930"/>
      <c r="V137" s="1431" t="s">
        <v>45</v>
      </c>
      <c r="W137" s="1476" t="s">
        <v>62</v>
      </c>
      <c r="X137" s="1479" t="s">
        <v>67</v>
      </c>
      <c r="Y137" s="1479"/>
      <c r="Z137" s="698" t="s">
        <v>2960</v>
      </c>
      <c r="AA137" s="698" t="s">
        <v>45</v>
      </c>
      <c r="AB137" s="698" t="s">
        <v>4996</v>
      </c>
      <c r="AC137" s="698" t="s">
        <v>87</v>
      </c>
      <c r="AD137" s="698" t="s">
        <v>70</v>
      </c>
      <c r="AE137" s="2222">
        <v>44585</v>
      </c>
      <c r="AF137" s="1453" t="s">
        <v>5925</v>
      </c>
      <c r="AG137" s="1277" t="s">
        <v>220</v>
      </c>
      <c r="AH137" s="1376">
        <f t="shared" ca="1" si="16"/>
        <v>723</v>
      </c>
    </row>
    <row r="138" spans="1:36" s="906" customFormat="1" ht="52">
      <c r="A138" s="1166"/>
      <c r="B138" s="1407" t="s">
        <v>44</v>
      </c>
      <c r="C138" s="1277" t="s">
        <v>45</v>
      </c>
      <c r="D138" s="1311" t="s">
        <v>57</v>
      </c>
      <c r="E138" s="1385" t="s">
        <v>449</v>
      </c>
      <c r="F138" s="1311" t="s">
        <v>630</v>
      </c>
      <c r="G138" s="1455" t="s">
        <v>1121</v>
      </c>
      <c r="H138" s="698"/>
      <c r="I138" s="698" t="s">
        <v>47</v>
      </c>
      <c r="J138" s="1449" t="s">
        <v>5926</v>
      </c>
      <c r="K138" s="698"/>
      <c r="L138" s="698" t="e">
        <f>IF(OR(V138=#REF!,V138=#REF!,V138=#REF!,V138=#REF!,V138=#REF!,V138=#REF!,V138=#REF!,V138=#REF!),12,IF(OR(V138=#REF!,V138=#REF!,V138=#REF!,V138=#REF!,V138=#REF!,V138=#REF!,V138=#REF!),3,IF(V138=#REF!,1,IF(V138=#REF!,18,IF(OR(V138=#REF!,V138=#REF!,V138=#REF!,V138=#REF!,V138=#REF!),14,"Invalid proposed procurement method")))))</f>
        <v>#REF!</v>
      </c>
      <c r="M138" s="1457" t="str">
        <f>IFERROR(EDATE($N138,-3),"Invalid procurement method or date entered")</f>
        <v>Invalid procurement method or date entered</v>
      </c>
      <c r="N138" s="1457" t="str">
        <f>IFERROR(EDATE(O138,-L138),"Invalid procurement method or date entered")</f>
        <v>Invalid procurement method or date entered</v>
      </c>
      <c r="O138" s="1459" t="s">
        <v>45</v>
      </c>
      <c r="P138" s="1277">
        <v>48</v>
      </c>
      <c r="Q138" s="1468" t="s">
        <v>83</v>
      </c>
      <c r="R138" s="930">
        <v>290000</v>
      </c>
      <c r="S138" s="930"/>
      <c r="T138" s="1493">
        <v>72500</v>
      </c>
      <c r="U138" s="1493"/>
      <c r="V138" s="698" t="s">
        <v>158</v>
      </c>
      <c r="W138" s="1476" t="s">
        <v>62</v>
      </c>
      <c r="X138" s="1479" t="s">
        <v>45</v>
      </c>
      <c r="Y138" s="1479"/>
      <c r="Z138" s="698" t="s">
        <v>5927</v>
      </c>
      <c r="AA138" s="698" t="s">
        <v>45</v>
      </c>
      <c r="AB138" s="698" t="s">
        <v>4996</v>
      </c>
      <c r="AC138" s="698" t="s">
        <v>69</v>
      </c>
      <c r="AD138" s="698" t="s">
        <v>70</v>
      </c>
      <c r="AE138" s="2222">
        <v>44585</v>
      </c>
      <c r="AF138" s="1453" t="s">
        <v>5928</v>
      </c>
      <c r="AG138" s="1277" t="s">
        <v>165</v>
      </c>
      <c r="AH138" s="1376">
        <f t="shared" ca="1" si="16"/>
        <v>723</v>
      </c>
    </row>
    <row r="139" spans="1:36" s="906" customFormat="1" ht="91" collapsed="1">
      <c r="A139" s="749"/>
      <c r="B139" s="737" t="s">
        <v>44</v>
      </c>
      <c r="C139" s="738"/>
      <c r="D139" s="808" t="s">
        <v>32</v>
      </c>
      <c r="E139" s="794" t="s">
        <v>449</v>
      </c>
      <c r="F139" s="808" t="s">
        <v>1067</v>
      </c>
      <c r="G139" s="781" t="s">
        <v>502</v>
      </c>
      <c r="H139" s="710"/>
      <c r="I139" s="808" t="s">
        <v>34</v>
      </c>
      <c r="J139" s="709" t="s">
        <v>616</v>
      </c>
      <c r="K139" s="710" t="s">
        <v>5929</v>
      </c>
      <c r="L139" s="710">
        <v>4</v>
      </c>
      <c r="M139" s="769">
        <f>IFERROR(EDATE($N139,-3),"Invalid procurement method or date entered")</f>
        <v>44958</v>
      </c>
      <c r="N139" s="769">
        <f>IFERROR(EDATE(O139,-L139),"Invalid procurement method or date entered")</f>
        <v>45047</v>
      </c>
      <c r="O139" s="859">
        <v>45170</v>
      </c>
      <c r="P139" s="771">
        <v>48</v>
      </c>
      <c r="Q139" s="719" t="s">
        <v>5930</v>
      </c>
      <c r="R139" s="742">
        <v>30000</v>
      </c>
      <c r="S139" s="742"/>
      <c r="T139" s="793"/>
      <c r="U139" s="806"/>
      <c r="V139" s="801" t="s">
        <v>130</v>
      </c>
      <c r="W139" s="846" t="s">
        <v>38</v>
      </c>
      <c r="X139" s="846" t="s">
        <v>67</v>
      </c>
      <c r="Y139" s="846"/>
      <c r="Z139" s="808" t="s">
        <v>1070</v>
      </c>
      <c r="AA139" s="710" t="s">
        <v>1334</v>
      </c>
      <c r="AB139" s="710" t="s">
        <v>40</v>
      </c>
      <c r="AC139" s="710"/>
      <c r="AD139" s="808" t="s">
        <v>70</v>
      </c>
      <c r="AE139" s="2222">
        <v>45005</v>
      </c>
      <c r="AF139" s="1298" t="s">
        <v>5931</v>
      </c>
      <c r="AG139" s="741" t="s">
        <v>506</v>
      </c>
      <c r="AH139" s="1376">
        <f t="shared" ca="1" si="16"/>
        <v>303</v>
      </c>
    </row>
    <row r="140" spans="1:36" s="906" customFormat="1" ht="26">
      <c r="A140" s="1445" t="s">
        <v>1170</v>
      </c>
      <c r="B140" s="1630" t="s">
        <v>44</v>
      </c>
      <c r="C140" s="1630" t="s">
        <v>5932</v>
      </c>
      <c r="D140" s="1630" t="s">
        <v>1390</v>
      </c>
      <c r="E140" s="1630" t="s">
        <v>1341</v>
      </c>
      <c r="F140" s="1630" t="s">
        <v>1067</v>
      </c>
      <c r="G140" s="1490" t="s">
        <v>862</v>
      </c>
      <c r="H140" s="1630"/>
      <c r="I140" s="1630" t="s">
        <v>34</v>
      </c>
      <c r="J140" s="1446" t="s">
        <v>5933</v>
      </c>
      <c r="K140" s="1630" t="s">
        <v>5934</v>
      </c>
      <c r="L140" s="1446" t="s">
        <v>1170</v>
      </c>
      <c r="M140" s="1446" t="s">
        <v>1170</v>
      </c>
      <c r="N140" s="1446" t="s">
        <v>1170</v>
      </c>
      <c r="O140" s="1630" t="s">
        <v>5038</v>
      </c>
      <c r="P140" s="1630">
        <v>36</v>
      </c>
      <c r="Q140" s="1630">
        <v>36</v>
      </c>
      <c r="R140" s="1639">
        <v>45000</v>
      </c>
      <c r="S140" s="1639"/>
      <c r="T140" s="1446" t="s">
        <v>1170</v>
      </c>
      <c r="U140" s="1446"/>
      <c r="V140" s="1630" t="e">
        <v>#REF!</v>
      </c>
      <c r="W140" s="1630" t="s">
        <v>1170</v>
      </c>
      <c r="X140" s="1630" t="s">
        <v>1170</v>
      </c>
      <c r="Y140" s="1630"/>
      <c r="Z140" s="1630" t="s">
        <v>5935</v>
      </c>
      <c r="AA140" s="1630" t="s">
        <v>1170</v>
      </c>
      <c r="AB140" s="1630" t="s">
        <v>5936</v>
      </c>
      <c r="AC140" s="1630" t="s">
        <v>1170</v>
      </c>
      <c r="AD140" s="1630" t="s">
        <v>1170</v>
      </c>
      <c r="AE140" s="2222" t="s">
        <v>1170</v>
      </c>
      <c r="AF140" s="2216" t="s">
        <v>5937</v>
      </c>
      <c r="AG140" s="1446" t="s">
        <v>1170</v>
      </c>
      <c r="AH140" s="1376" t="str">
        <f t="shared" ca="1" si="16"/>
        <v>N/A</v>
      </c>
    </row>
    <row r="141" spans="1:36" s="906" customFormat="1" ht="39">
      <c r="A141" s="1445" t="s">
        <v>1170</v>
      </c>
      <c r="B141" s="1630" t="s">
        <v>44</v>
      </c>
      <c r="C141" s="1630" t="s">
        <v>5938</v>
      </c>
      <c r="D141" s="1630" t="s">
        <v>4973</v>
      </c>
      <c r="E141" s="1630" t="s">
        <v>1341</v>
      </c>
      <c r="F141" s="1630" t="s">
        <v>361</v>
      </c>
      <c r="G141" s="1490" t="s">
        <v>4943</v>
      </c>
      <c r="H141" s="1630"/>
      <c r="I141" s="1630" t="s">
        <v>34</v>
      </c>
      <c r="J141" s="1446" t="s">
        <v>5939</v>
      </c>
      <c r="K141" s="1630" t="s">
        <v>5940</v>
      </c>
      <c r="L141" s="1446" t="s">
        <v>1170</v>
      </c>
      <c r="M141" s="1446" t="s">
        <v>1170</v>
      </c>
      <c r="N141" s="1446" t="s">
        <v>1170</v>
      </c>
      <c r="O141" s="1640">
        <v>45247</v>
      </c>
      <c r="P141" s="1630">
        <v>48</v>
      </c>
      <c r="Q141" s="1630" t="s">
        <v>1354</v>
      </c>
      <c r="R141" s="1639">
        <v>120000</v>
      </c>
      <c r="S141" s="1639"/>
      <c r="T141" s="1446" t="s">
        <v>1170</v>
      </c>
      <c r="U141" s="1446"/>
      <c r="V141" s="1630" t="s">
        <v>1170</v>
      </c>
      <c r="W141" s="1630" t="s">
        <v>1170</v>
      </c>
      <c r="X141" s="1630" t="s">
        <v>1170</v>
      </c>
      <c r="Y141" s="1630"/>
      <c r="Z141" s="1630" t="s">
        <v>4974</v>
      </c>
      <c r="AA141" s="1630" t="s">
        <v>1170</v>
      </c>
      <c r="AB141" s="1630" t="s">
        <v>5941</v>
      </c>
      <c r="AC141" s="1630" t="s">
        <v>1170</v>
      </c>
      <c r="AD141" s="1630" t="s">
        <v>1170</v>
      </c>
      <c r="AE141" s="2222" t="s">
        <v>1170</v>
      </c>
      <c r="AF141" s="2216" t="s">
        <v>1170</v>
      </c>
      <c r="AG141" s="1446" t="s">
        <v>1170</v>
      </c>
      <c r="AH141" s="1376" t="str">
        <f t="shared" ca="1" si="16"/>
        <v>N/A</v>
      </c>
    </row>
    <row r="142" spans="1:36" s="906" customFormat="1" ht="26">
      <c r="A142" s="1445" t="s">
        <v>1170</v>
      </c>
      <c r="B142" s="1630" t="s">
        <v>56</v>
      </c>
      <c r="C142" s="1630" t="s">
        <v>1170</v>
      </c>
      <c r="D142" s="1630" t="s">
        <v>5942</v>
      </c>
      <c r="E142" s="1630" t="s">
        <v>1341</v>
      </c>
      <c r="F142" s="1630" t="s">
        <v>1270</v>
      </c>
      <c r="G142" s="1490" t="s">
        <v>5942</v>
      </c>
      <c r="H142" s="1630"/>
      <c r="I142" s="1630" t="s">
        <v>1170</v>
      </c>
      <c r="J142" s="1446" t="s">
        <v>5943</v>
      </c>
      <c r="K142" s="1630" t="s">
        <v>1170</v>
      </c>
      <c r="L142" s="1446" t="s">
        <v>1170</v>
      </c>
      <c r="M142" s="1446" t="s">
        <v>1170</v>
      </c>
      <c r="N142" s="1446" t="s">
        <v>1170</v>
      </c>
      <c r="O142" s="1630" t="s">
        <v>1170</v>
      </c>
      <c r="P142" s="1630" t="s">
        <v>4976</v>
      </c>
      <c r="Q142" s="1630" t="s">
        <v>1170</v>
      </c>
      <c r="R142" s="1639">
        <v>6300</v>
      </c>
      <c r="S142" s="1639"/>
      <c r="T142" s="1446" t="s">
        <v>1170</v>
      </c>
      <c r="U142" s="1446"/>
      <c r="V142" s="1630" t="s">
        <v>449</v>
      </c>
      <c r="W142" s="1630" t="s">
        <v>1170</v>
      </c>
      <c r="X142" s="1630" t="s">
        <v>1170</v>
      </c>
      <c r="Y142" s="1630"/>
      <c r="Z142" s="1630" t="s">
        <v>5944</v>
      </c>
      <c r="AA142" s="1630" t="s">
        <v>1170</v>
      </c>
      <c r="AB142" s="1630" t="s">
        <v>5941</v>
      </c>
      <c r="AC142" s="1630" t="s">
        <v>1170</v>
      </c>
      <c r="AD142" s="1630" t="s">
        <v>1170</v>
      </c>
      <c r="AE142" s="2222" t="s">
        <v>1170</v>
      </c>
      <c r="AF142" s="2216" t="s">
        <v>1170</v>
      </c>
      <c r="AG142" s="1446" t="s">
        <v>1170</v>
      </c>
      <c r="AH142" s="1376" t="str">
        <f t="shared" ca="1" si="16"/>
        <v>N/A</v>
      </c>
    </row>
    <row r="143" spans="1:36" s="906" customFormat="1" ht="52">
      <c r="A143" s="1445" t="s">
        <v>1170</v>
      </c>
      <c r="B143" s="1630" t="s">
        <v>44</v>
      </c>
      <c r="C143" s="1630" t="s">
        <v>1170</v>
      </c>
      <c r="D143" s="1630" t="s">
        <v>1350</v>
      </c>
      <c r="E143" s="1630" t="s">
        <v>1341</v>
      </c>
      <c r="F143" s="1630" t="s">
        <v>630</v>
      </c>
      <c r="G143" s="1490" t="s">
        <v>1319</v>
      </c>
      <c r="H143" s="1630"/>
      <c r="I143" s="1630" t="s">
        <v>246</v>
      </c>
      <c r="J143" s="1446" t="s">
        <v>5945</v>
      </c>
      <c r="K143" s="1630" t="s">
        <v>1170</v>
      </c>
      <c r="L143" s="1446" t="s">
        <v>1170</v>
      </c>
      <c r="M143" s="1446" t="s">
        <v>1170</v>
      </c>
      <c r="N143" s="1446" t="s">
        <v>1170</v>
      </c>
      <c r="O143" s="1630" t="s">
        <v>1170</v>
      </c>
      <c r="P143" s="1630">
        <v>60</v>
      </c>
      <c r="Q143" s="1630">
        <v>60</v>
      </c>
      <c r="R143" s="1639">
        <v>700000</v>
      </c>
      <c r="S143" s="1639"/>
      <c r="T143" s="1446" t="s">
        <v>1170</v>
      </c>
      <c r="U143" s="1446"/>
      <c r="V143" s="1630" t="s">
        <v>1170</v>
      </c>
      <c r="W143" s="1630" t="s">
        <v>1170</v>
      </c>
      <c r="X143" s="1630" t="s">
        <v>1170</v>
      </c>
      <c r="Y143" s="1630"/>
      <c r="Z143" s="1630" t="s">
        <v>1355</v>
      </c>
      <c r="AA143" s="1630" t="s">
        <v>1170</v>
      </c>
      <c r="AB143" s="1630" t="s">
        <v>5941</v>
      </c>
      <c r="AC143" s="1630" t="s">
        <v>1170</v>
      </c>
      <c r="AD143" s="1630" t="s">
        <v>1170</v>
      </c>
      <c r="AE143" s="2222" t="s">
        <v>1170</v>
      </c>
      <c r="AF143" s="2216" t="s">
        <v>5946</v>
      </c>
      <c r="AG143" s="1446" t="s">
        <v>1170</v>
      </c>
      <c r="AH143" s="1376" t="str">
        <f t="shared" ca="1" si="16"/>
        <v>N/A</v>
      </c>
    </row>
    <row r="144" spans="1:36" s="906" customFormat="1" ht="39">
      <c r="A144" s="749">
        <v>44799</v>
      </c>
      <c r="B144" s="725" t="s">
        <v>56</v>
      </c>
      <c r="C144" s="726" t="s">
        <v>45</v>
      </c>
      <c r="D144" s="727" t="s">
        <v>32</v>
      </c>
      <c r="E144" s="794" t="s">
        <v>449</v>
      </c>
      <c r="F144" s="1431" t="s">
        <v>361</v>
      </c>
      <c r="G144" s="1454" t="s">
        <v>362</v>
      </c>
      <c r="H144" s="730"/>
      <c r="I144" s="710" t="s">
        <v>47</v>
      </c>
      <c r="J144" s="709" t="s">
        <v>5947</v>
      </c>
      <c r="K144" s="710" t="s">
        <v>67</v>
      </c>
      <c r="L144" s="730">
        <v>4</v>
      </c>
      <c r="M144" s="731">
        <v>44799</v>
      </c>
      <c r="N144" s="712" t="str">
        <f>IF(O144="tbc","",(IFERROR(EDATE(O144,-L144),"Invalid procurement method or date entered")))</f>
        <v/>
      </c>
      <c r="O144" s="711" t="s">
        <v>45</v>
      </c>
      <c r="P144" s="732"/>
      <c r="Q144" s="733" t="s">
        <v>45</v>
      </c>
      <c r="R144" s="742" t="s">
        <v>45</v>
      </c>
      <c r="S144" s="929"/>
      <c r="T144" s="1286"/>
      <c r="U144" s="1929"/>
      <c r="V144" s="2273" t="s">
        <v>37</v>
      </c>
      <c r="W144" s="2274" t="s">
        <v>38</v>
      </c>
      <c r="X144" s="711" t="s">
        <v>67</v>
      </c>
      <c r="Y144" s="711"/>
      <c r="Z144" s="710" t="s">
        <v>961</v>
      </c>
      <c r="AA144" s="730" t="s">
        <v>45</v>
      </c>
      <c r="AB144" s="762" t="s">
        <v>115</v>
      </c>
      <c r="AC144" s="762"/>
      <c r="AD144" s="695" t="s">
        <v>70</v>
      </c>
      <c r="AE144" s="2222">
        <v>44799</v>
      </c>
      <c r="AF144" s="1293" t="s">
        <v>5948</v>
      </c>
      <c r="AG144" s="1286"/>
      <c r="AH144" s="1376">
        <f t="shared" ca="1" si="16"/>
        <v>509</v>
      </c>
    </row>
    <row r="145" spans="1:34" s="906" customFormat="1" ht="130">
      <c r="A145" s="749">
        <v>44799</v>
      </c>
      <c r="B145" s="725" t="s">
        <v>44</v>
      </c>
      <c r="C145" s="898" t="s">
        <v>60</v>
      </c>
      <c r="D145" s="727" t="s">
        <v>57</v>
      </c>
      <c r="E145" s="794" t="s">
        <v>449</v>
      </c>
      <c r="F145" s="1311" t="s">
        <v>630</v>
      </c>
      <c r="G145" s="1455" t="s">
        <v>1121</v>
      </c>
      <c r="H145" s="730"/>
      <c r="I145" s="726" t="s">
        <v>47</v>
      </c>
      <c r="J145" s="2395" t="s">
        <v>5949</v>
      </c>
      <c r="K145" s="802"/>
      <c r="L145" s="723" t="e">
        <f>IF(OR(V145=#REF!,V145=#REF!,V145=#REF!,V145=#REF!,V145=#REF!,V145=#REF!,V145=#REF!,V145=#REF!),12,IF(OR(V145=#REF!,V145=#REF!,V145=#REF!,V145=#REF!,V145=#REF!,V145=#REF!,V145=#REF!),3,IF(V145=#REF!,1,IF(V145=#REF!,18,IF(OR(V145=#REF!,V145=#REF!,V145=#REF!,V145=#REF!,V145=#REF!),14,"Invalid proposed procurement method")))))</f>
        <v>#REF!</v>
      </c>
      <c r="M145" s="1180">
        <v>45017</v>
      </c>
      <c r="N145" s="1351" t="str">
        <f>IFERROR(EDATE(O145,-L145),"Invalid procurement method or date entered")</f>
        <v>Invalid procurement method or date entered</v>
      </c>
      <c r="O145" s="2308" t="s">
        <v>60</v>
      </c>
      <c r="P145" s="761">
        <v>12</v>
      </c>
      <c r="Q145" s="761">
        <v>12</v>
      </c>
      <c r="R145" s="742">
        <v>600000</v>
      </c>
      <c r="S145" s="929"/>
      <c r="T145" s="924"/>
      <c r="U145" s="926"/>
      <c r="V145" s="1354" t="s">
        <v>158</v>
      </c>
      <c r="W145" s="788" t="s">
        <v>310</v>
      </c>
      <c r="X145" s="788" t="s">
        <v>60</v>
      </c>
      <c r="Y145" s="788"/>
      <c r="Z145" s="726" t="s">
        <v>798</v>
      </c>
      <c r="AA145" s="730" t="s">
        <v>3955</v>
      </c>
      <c r="AB145" s="812" t="s">
        <v>40</v>
      </c>
      <c r="AC145" s="812"/>
      <c r="AD145" s="790" t="s">
        <v>70</v>
      </c>
      <c r="AE145" s="2222">
        <v>44932</v>
      </c>
      <c r="AF145" s="2312" t="s">
        <v>5950</v>
      </c>
      <c r="AG145" s="924"/>
      <c r="AH145" s="1376">
        <f t="shared" ca="1" si="16"/>
        <v>376</v>
      </c>
    </row>
    <row r="146" spans="1:34" s="906" customFormat="1" ht="39">
      <c r="A146" s="1445" t="s">
        <v>1170</v>
      </c>
      <c r="B146" s="1630" t="s">
        <v>44</v>
      </c>
      <c r="C146" s="1630" t="s">
        <v>1170</v>
      </c>
      <c r="D146" s="1630" t="s">
        <v>4985</v>
      </c>
      <c r="E146" s="1630" t="s">
        <v>1341</v>
      </c>
      <c r="F146" s="1630" t="s">
        <v>361</v>
      </c>
      <c r="G146" s="1490" t="s">
        <v>1440</v>
      </c>
      <c r="H146" s="1630" t="s">
        <v>127</v>
      </c>
      <c r="I146" s="1630" t="s">
        <v>1170</v>
      </c>
      <c r="J146" s="1446" t="s">
        <v>5951</v>
      </c>
      <c r="K146" s="1630" t="s">
        <v>5952</v>
      </c>
      <c r="L146" s="1446" t="s">
        <v>1170</v>
      </c>
      <c r="M146" s="1446" t="s">
        <v>1170</v>
      </c>
      <c r="N146" s="1446" t="s">
        <v>1170</v>
      </c>
      <c r="O146" s="1640">
        <v>45284</v>
      </c>
      <c r="P146" s="1630" t="s">
        <v>4976</v>
      </c>
      <c r="Q146" s="1630" t="s">
        <v>1170</v>
      </c>
      <c r="R146" s="1639">
        <v>206000</v>
      </c>
      <c r="S146" s="1639"/>
      <c r="T146" s="1446" t="s">
        <v>1170</v>
      </c>
      <c r="U146" s="1446"/>
      <c r="V146" s="1630" t="s">
        <v>176</v>
      </c>
      <c r="W146" s="1630" t="s">
        <v>1170</v>
      </c>
      <c r="X146" s="1630" t="s">
        <v>1170</v>
      </c>
      <c r="Y146" s="1630"/>
      <c r="Z146" s="1630" t="s">
        <v>5953</v>
      </c>
      <c r="AA146" s="1630" t="s">
        <v>1170</v>
      </c>
      <c r="AB146" s="1631" t="s">
        <v>1170</v>
      </c>
      <c r="AC146" s="1630" t="s">
        <v>1170</v>
      </c>
      <c r="AD146" s="1630" t="s">
        <v>1170</v>
      </c>
      <c r="AE146" s="1335" t="s">
        <v>1170</v>
      </c>
      <c r="AF146" s="2216" t="s">
        <v>1170</v>
      </c>
      <c r="AG146" s="1446" t="s">
        <v>1170</v>
      </c>
      <c r="AH146" s="1376" t="str">
        <f t="shared" ref="AH146:AH183" ca="1" si="17">IFERROR(TODAY()-AE146,"N/A")</f>
        <v>N/A</v>
      </c>
    </row>
    <row r="147" spans="1:34" s="906" customFormat="1" ht="52">
      <c r="A147" s="1445" t="s">
        <v>1170</v>
      </c>
      <c r="B147" s="1630" t="s">
        <v>44</v>
      </c>
      <c r="C147" s="1630" t="s">
        <v>1170</v>
      </c>
      <c r="D147" s="1630" t="s">
        <v>33</v>
      </c>
      <c r="E147" s="1630" t="s">
        <v>1341</v>
      </c>
      <c r="F147" s="1630" t="s">
        <v>361</v>
      </c>
      <c r="G147" s="1490" t="s">
        <v>569</v>
      </c>
      <c r="H147" s="1630" t="s">
        <v>33</v>
      </c>
      <c r="I147" s="1630" t="s">
        <v>1170</v>
      </c>
      <c r="J147" s="1446" t="s">
        <v>5954</v>
      </c>
      <c r="K147" s="1630" t="s">
        <v>1170</v>
      </c>
      <c r="L147" s="698" t="e">
        <f>IF(OR(V147=#REF!,V147=#REF!,V147=#REF!,V147=#REF!,V147=#REF!,V147=#REF!,V147=#REF!,V147=#REF!),12,IF(OR(V147=#REF!,V147=#REF!,V147=#REF!,V147=#REF!,V147=#REF!,V147=#REF!,V147=#REF!),3,IF(V147=#REF!,1,IF(V147=#REF!,18,IF(OR(V147=#REF!,V147=#REF!,V147=#REF!,V147=#REF!,V147=#REF!),14,"Invalid proposed procurement method")))))</f>
        <v>#REF!</v>
      </c>
      <c r="M147" s="1457" t="str">
        <f>IFERROR(EDATE($N147,-3),"Invalid procurement method or date entered")</f>
        <v>Invalid procurement method or date entered</v>
      </c>
      <c r="N147" s="1158" t="str">
        <f>IFERROR(EDATE(O147,-L147),"Invalid procurement method or date entered")</f>
        <v>Invalid procurement method or date entered</v>
      </c>
      <c r="O147" s="1640">
        <v>45017</v>
      </c>
      <c r="P147" s="1630" t="s">
        <v>4976</v>
      </c>
      <c r="Q147" s="1630" t="s">
        <v>1170</v>
      </c>
      <c r="R147" s="1639">
        <v>200000</v>
      </c>
      <c r="S147" s="1639"/>
      <c r="T147" s="1446" t="s">
        <v>1170</v>
      </c>
      <c r="U147" s="1446"/>
      <c r="V147" s="1630" t="s">
        <v>1170</v>
      </c>
      <c r="W147" s="1630" t="s">
        <v>1170</v>
      </c>
      <c r="X147" s="1630" t="s">
        <v>1170</v>
      </c>
      <c r="Y147" s="1630"/>
      <c r="Z147" s="1630" t="s">
        <v>1170</v>
      </c>
      <c r="AA147" s="1630" t="s">
        <v>1170</v>
      </c>
      <c r="AB147" s="1630" t="s">
        <v>1170</v>
      </c>
      <c r="AC147" s="1630" t="s">
        <v>1170</v>
      </c>
      <c r="AD147" s="1630" t="s">
        <v>1170</v>
      </c>
      <c r="AE147" s="2222" t="s">
        <v>1170</v>
      </c>
      <c r="AF147" s="2216" t="s">
        <v>5955</v>
      </c>
      <c r="AG147" s="1446" t="s">
        <v>1170</v>
      </c>
      <c r="AH147" s="1376" t="str">
        <f t="shared" ca="1" si="17"/>
        <v>N/A</v>
      </c>
    </row>
    <row r="148" spans="1:34" s="906" customFormat="1" ht="26">
      <c r="A148" s="1445" t="s">
        <v>1170</v>
      </c>
      <c r="B148" s="1630" t="s">
        <v>44</v>
      </c>
      <c r="C148" s="1630" t="s">
        <v>1170</v>
      </c>
      <c r="D148" s="1630" t="s">
        <v>502</v>
      </c>
      <c r="E148" s="1630" t="s">
        <v>1341</v>
      </c>
      <c r="F148" s="1630" t="s">
        <v>1067</v>
      </c>
      <c r="G148" s="1490" t="s">
        <v>502</v>
      </c>
      <c r="H148" s="1630" t="s">
        <v>33</v>
      </c>
      <c r="I148" s="1630" t="s">
        <v>47</v>
      </c>
      <c r="J148" s="1446" t="s">
        <v>5956</v>
      </c>
      <c r="K148" s="1630" t="s">
        <v>1170</v>
      </c>
      <c r="L148" s="1446" t="s">
        <v>1170</v>
      </c>
      <c r="M148" s="1446" t="s">
        <v>1170</v>
      </c>
      <c r="N148" s="1446" t="s">
        <v>1170</v>
      </c>
      <c r="O148" s="1640">
        <v>45017</v>
      </c>
      <c r="P148" s="1630" t="s">
        <v>1170</v>
      </c>
      <c r="Q148" s="1630" t="s">
        <v>1170</v>
      </c>
      <c r="R148" s="1639">
        <v>85000</v>
      </c>
      <c r="S148" s="1639"/>
      <c r="T148" s="1446" t="s">
        <v>1170</v>
      </c>
      <c r="U148" s="1446"/>
      <c r="V148" s="1630" t="s">
        <v>2458</v>
      </c>
      <c r="W148" s="1630" t="s">
        <v>1170</v>
      </c>
      <c r="X148" s="1630" t="s">
        <v>1170</v>
      </c>
      <c r="Y148" s="1630"/>
      <c r="Z148" s="1630" t="s">
        <v>4984</v>
      </c>
      <c r="AA148" s="1630" t="s">
        <v>1170</v>
      </c>
      <c r="AB148" s="1631" t="s">
        <v>1170</v>
      </c>
      <c r="AC148" s="1630" t="s">
        <v>1170</v>
      </c>
      <c r="AD148" s="1630" t="s">
        <v>1170</v>
      </c>
      <c r="AE148" s="2222" t="s">
        <v>1170</v>
      </c>
      <c r="AF148" s="2216" t="s">
        <v>1170</v>
      </c>
      <c r="AG148" s="1446" t="s">
        <v>1170</v>
      </c>
      <c r="AH148" s="1376" t="str">
        <f t="shared" ca="1" si="17"/>
        <v>N/A</v>
      </c>
    </row>
    <row r="149" spans="1:34" s="906" customFormat="1" ht="26">
      <c r="A149" s="1445" t="s">
        <v>1170</v>
      </c>
      <c r="B149" s="1630" t="s">
        <v>44</v>
      </c>
      <c r="C149" s="1630" t="s">
        <v>5957</v>
      </c>
      <c r="D149" s="1630" t="s">
        <v>5958</v>
      </c>
      <c r="E149" s="1630" t="s">
        <v>1341</v>
      </c>
      <c r="F149" s="1630" t="s">
        <v>361</v>
      </c>
      <c r="G149" s="1490" t="s">
        <v>569</v>
      </c>
      <c r="H149" s="1630" t="s">
        <v>33</v>
      </c>
      <c r="I149" s="1630" t="s">
        <v>47</v>
      </c>
      <c r="J149" s="1446" t="s">
        <v>5959</v>
      </c>
      <c r="K149" s="1630" t="s">
        <v>1170</v>
      </c>
      <c r="L149" s="698"/>
      <c r="M149" s="1457"/>
      <c r="N149" s="1158"/>
      <c r="O149" s="1640">
        <v>45017</v>
      </c>
      <c r="P149" s="1630" t="s">
        <v>4976</v>
      </c>
      <c r="Q149" s="1630" t="s">
        <v>1170</v>
      </c>
      <c r="R149" s="1639">
        <v>132500</v>
      </c>
      <c r="S149" s="1639"/>
      <c r="T149" s="1446" t="s">
        <v>1170</v>
      </c>
      <c r="U149" s="1446"/>
      <c r="V149" s="1630" t="s">
        <v>176</v>
      </c>
      <c r="W149" s="1630" t="s">
        <v>1170</v>
      </c>
      <c r="X149" s="1630" t="s">
        <v>1170</v>
      </c>
      <c r="Y149" s="1630"/>
      <c r="Z149" s="1630" t="s">
        <v>4972</v>
      </c>
      <c r="AA149" s="1630" t="s">
        <v>1170</v>
      </c>
      <c r="AB149" s="1630" t="s">
        <v>727</v>
      </c>
      <c r="AC149" s="1630" t="s">
        <v>1170</v>
      </c>
      <c r="AD149" s="1630" t="s">
        <v>1170</v>
      </c>
      <c r="AE149" s="1335" t="s">
        <v>1170</v>
      </c>
      <c r="AF149" s="2216" t="s">
        <v>5960</v>
      </c>
      <c r="AG149" s="1446" t="s">
        <v>1170</v>
      </c>
      <c r="AH149" s="1376" t="str">
        <f t="shared" ca="1" si="17"/>
        <v>N/A</v>
      </c>
    </row>
    <row r="150" spans="1:34" s="906" customFormat="1" ht="39">
      <c r="A150" s="1445" t="s">
        <v>1170</v>
      </c>
      <c r="B150" s="1630" t="s">
        <v>56</v>
      </c>
      <c r="C150" s="1630" t="s">
        <v>5961</v>
      </c>
      <c r="D150" s="1630" t="s">
        <v>4780</v>
      </c>
      <c r="E150" s="1630" t="s">
        <v>1341</v>
      </c>
      <c r="F150" s="1630" t="s">
        <v>361</v>
      </c>
      <c r="G150" s="1490" t="s">
        <v>4943</v>
      </c>
      <c r="H150" s="1630" t="s">
        <v>279</v>
      </c>
      <c r="I150" s="1630" t="s">
        <v>47</v>
      </c>
      <c r="J150" s="1446" t="s">
        <v>5962</v>
      </c>
      <c r="K150" s="1630" t="s">
        <v>5963</v>
      </c>
      <c r="L150" s="1446" t="s">
        <v>1170</v>
      </c>
      <c r="M150" s="1446" t="s">
        <v>1170</v>
      </c>
      <c r="N150" s="1446" t="s">
        <v>1170</v>
      </c>
      <c r="O150" s="1640">
        <v>45017</v>
      </c>
      <c r="P150" s="1630" t="s">
        <v>1170</v>
      </c>
      <c r="Q150" s="1630" t="s">
        <v>1170</v>
      </c>
      <c r="R150" s="1639">
        <v>225000</v>
      </c>
      <c r="S150" s="1639"/>
      <c r="T150" s="1446" t="s">
        <v>1170</v>
      </c>
      <c r="U150" s="1446"/>
      <c r="V150" s="1630" t="s">
        <v>1170</v>
      </c>
      <c r="W150" s="1630" t="s">
        <v>1170</v>
      </c>
      <c r="X150" s="1630" t="s">
        <v>1170</v>
      </c>
      <c r="Y150" s="1630"/>
      <c r="Z150" s="1630" t="s">
        <v>4977</v>
      </c>
      <c r="AA150" s="1630" t="s">
        <v>1170</v>
      </c>
      <c r="AB150" s="1631" t="s">
        <v>727</v>
      </c>
      <c r="AC150" s="1630" t="s">
        <v>1170</v>
      </c>
      <c r="AD150" s="1630" t="s">
        <v>1170</v>
      </c>
      <c r="AE150" s="2222" t="s">
        <v>1170</v>
      </c>
      <c r="AF150" s="2216" t="s">
        <v>5964</v>
      </c>
      <c r="AG150" s="1446" t="s">
        <v>1170</v>
      </c>
      <c r="AH150" s="1376" t="str">
        <f t="shared" ca="1" si="17"/>
        <v>N/A</v>
      </c>
    </row>
    <row r="151" spans="1:34" s="906" customFormat="1" ht="26">
      <c r="A151" s="1445" t="s">
        <v>1170</v>
      </c>
      <c r="B151" s="1630" t="s">
        <v>44</v>
      </c>
      <c r="C151" s="1630" t="s">
        <v>1170</v>
      </c>
      <c r="D151" s="1630" t="s">
        <v>394</v>
      </c>
      <c r="E151" s="1630" t="s">
        <v>1341</v>
      </c>
      <c r="F151" s="1630" t="s">
        <v>1103</v>
      </c>
      <c r="G151" s="1490" t="s">
        <v>4998</v>
      </c>
      <c r="H151" s="1630" t="s">
        <v>399</v>
      </c>
      <c r="I151" s="1630" t="s">
        <v>34</v>
      </c>
      <c r="J151" s="1446" t="s">
        <v>5965</v>
      </c>
      <c r="K151" s="1630" t="s">
        <v>5966</v>
      </c>
      <c r="L151" s="1446" t="s">
        <v>1170</v>
      </c>
      <c r="M151" s="1446" t="s">
        <v>1170</v>
      </c>
      <c r="N151" s="1446" t="s">
        <v>1170</v>
      </c>
      <c r="O151" s="1640">
        <v>45017</v>
      </c>
      <c r="P151" s="1630">
        <v>72</v>
      </c>
      <c r="Q151" s="1630" t="s">
        <v>5967</v>
      </c>
      <c r="R151" s="1639">
        <v>510000</v>
      </c>
      <c r="S151" s="1639"/>
      <c r="T151" s="1446" t="s">
        <v>1170</v>
      </c>
      <c r="U151" s="1446"/>
      <c r="V151" s="1630" t="s">
        <v>2458</v>
      </c>
      <c r="W151" s="1630" t="s">
        <v>1170</v>
      </c>
      <c r="X151" s="1630" t="s">
        <v>1170</v>
      </c>
      <c r="Y151" s="1630"/>
      <c r="Z151" s="1630" t="s">
        <v>5968</v>
      </c>
      <c r="AA151" s="1630" t="s">
        <v>1170</v>
      </c>
      <c r="AB151" s="1630" t="s">
        <v>34</v>
      </c>
      <c r="AC151" s="1630" t="s">
        <v>1170</v>
      </c>
      <c r="AD151" s="1630" t="s">
        <v>1170</v>
      </c>
      <c r="AE151" s="2222" t="s">
        <v>1170</v>
      </c>
      <c r="AF151" s="2216" t="s">
        <v>1170</v>
      </c>
      <c r="AG151" s="1446" t="s">
        <v>1170</v>
      </c>
      <c r="AH151" s="1376" t="str">
        <f t="shared" ca="1" si="17"/>
        <v>N/A</v>
      </c>
    </row>
    <row r="152" spans="1:34" s="906" customFormat="1" ht="39">
      <c r="A152" s="1445" t="s">
        <v>1170</v>
      </c>
      <c r="B152" s="1630" t="s">
        <v>56</v>
      </c>
      <c r="C152" s="1630" t="s">
        <v>1170</v>
      </c>
      <c r="D152" s="1630" t="s">
        <v>4780</v>
      </c>
      <c r="E152" s="1630" t="s">
        <v>1341</v>
      </c>
      <c r="F152" s="1630" t="s">
        <v>361</v>
      </c>
      <c r="G152" s="1490" t="s">
        <v>4943</v>
      </c>
      <c r="H152" s="1630" t="s">
        <v>279</v>
      </c>
      <c r="I152" s="1630" t="s">
        <v>47</v>
      </c>
      <c r="J152" s="1446" t="s">
        <v>5969</v>
      </c>
      <c r="K152" s="1630" t="s">
        <v>1170</v>
      </c>
      <c r="L152" s="1446" t="s">
        <v>1170</v>
      </c>
      <c r="M152" s="1446" t="s">
        <v>1170</v>
      </c>
      <c r="N152" s="1446" t="s">
        <v>1170</v>
      </c>
      <c r="O152" s="1640">
        <v>45017</v>
      </c>
      <c r="P152" s="1630" t="s">
        <v>1170</v>
      </c>
      <c r="Q152" s="1630" t="s">
        <v>1170</v>
      </c>
      <c r="R152" s="1639">
        <v>720000</v>
      </c>
      <c r="S152" s="1639"/>
      <c r="T152" s="1446" t="s">
        <v>1170</v>
      </c>
      <c r="U152" s="1446"/>
      <c r="V152" s="1630" t="s">
        <v>1170</v>
      </c>
      <c r="W152" s="1630" t="s">
        <v>1170</v>
      </c>
      <c r="X152" s="1630" t="s">
        <v>1170</v>
      </c>
      <c r="Y152" s="1630"/>
      <c r="Z152" s="1632" t="s">
        <v>4977</v>
      </c>
      <c r="AA152" s="1630" t="s">
        <v>1170</v>
      </c>
      <c r="AB152" s="1630" t="s">
        <v>1170</v>
      </c>
      <c r="AC152" s="1630" t="s">
        <v>1170</v>
      </c>
      <c r="AD152" s="1630" t="s">
        <v>1170</v>
      </c>
      <c r="AE152" s="2222" t="s">
        <v>1170</v>
      </c>
      <c r="AF152" s="2216" t="s">
        <v>5970</v>
      </c>
      <c r="AG152" s="1446" t="s">
        <v>1170</v>
      </c>
      <c r="AH152" s="1376" t="str">
        <f t="shared" ca="1" si="17"/>
        <v>N/A</v>
      </c>
    </row>
    <row r="153" spans="1:34" s="906" customFormat="1" ht="26">
      <c r="A153" s="1445" t="s">
        <v>1170</v>
      </c>
      <c r="B153" s="1630" t="s">
        <v>44</v>
      </c>
      <c r="C153" s="1630" t="s">
        <v>5971</v>
      </c>
      <c r="D153" s="1630" t="s">
        <v>1340</v>
      </c>
      <c r="E153" s="1630" t="s">
        <v>1341</v>
      </c>
      <c r="F153" s="1630" t="s">
        <v>1103</v>
      </c>
      <c r="G153" s="1490" t="s">
        <v>569</v>
      </c>
      <c r="H153" s="1630" t="s">
        <v>33</v>
      </c>
      <c r="I153" s="1630" t="s">
        <v>34</v>
      </c>
      <c r="J153" s="1446" t="s">
        <v>5972</v>
      </c>
      <c r="K153" s="1630" t="s">
        <v>5973</v>
      </c>
      <c r="L153" s="1446" t="s">
        <v>1170</v>
      </c>
      <c r="M153" s="1446" t="s">
        <v>1170</v>
      </c>
      <c r="N153" s="1446" t="s">
        <v>1170</v>
      </c>
      <c r="O153" s="1640">
        <v>45017</v>
      </c>
      <c r="P153" s="1630" t="s">
        <v>215</v>
      </c>
      <c r="Q153" s="1630" t="s">
        <v>1170</v>
      </c>
      <c r="R153" s="1630" t="s">
        <v>1170</v>
      </c>
      <c r="S153" s="1630"/>
      <c r="T153" s="1446" t="s">
        <v>1170</v>
      </c>
      <c r="U153" s="1446"/>
      <c r="V153" s="1630" t="s">
        <v>1170</v>
      </c>
      <c r="W153" s="1630" t="s">
        <v>1170</v>
      </c>
      <c r="X153" s="1630" t="s">
        <v>1170</v>
      </c>
      <c r="Y153" s="1630"/>
      <c r="Z153" s="1630" t="s">
        <v>1170</v>
      </c>
      <c r="AA153" s="1630" t="s">
        <v>1170</v>
      </c>
      <c r="AB153" s="1631" t="s">
        <v>1170</v>
      </c>
      <c r="AC153" s="1630" t="s">
        <v>1170</v>
      </c>
      <c r="AD153" s="1630" t="s">
        <v>1170</v>
      </c>
      <c r="AE153" s="2222" t="s">
        <v>1170</v>
      </c>
      <c r="AF153" s="2216" t="s">
        <v>1170</v>
      </c>
      <c r="AG153" s="1446" t="s">
        <v>1170</v>
      </c>
      <c r="AH153" s="1376" t="str">
        <f t="shared" ca="1" si="17"/>
        <v>N/A</v>
      </c>
    </row>
    <row r="154" spans="1:34" s="906" customFormat="1" ht="26">
      <c r="A154" s="1445" t="s">
        <v>1170</v>
      </c>
      <c r="B154" s="1630" t="s">
        <v>44</v>
      </c>
      <c r="C154" s="1630" t="s">
        <v>1170</v>
      </c>
      <c r="D154" s="1630" t="s">
        <v>502</v>
      </c>
      <c r="E154" s="1630" t="s">
        <v>1341</v>
      </c>
      <c r="F154" s="1630" t="s">
        <v>1067</v>
      </c>
      <c r="G154" s="1490" t="s">
        <v>502</v>
      </c>
      <c r="H154" s="1630" t="s">
        <v>514</v>
      </c>
      <c r="I154" s="1630" t="s">
        <v>47</v>
      </c>
      <c r="J154" s="1446" t="s">
        <v>5974</v>
      </c>
      <c r="K154" s="1630" t="s">
        <v>449</v>
      </c>
      <c r="L154" s="1446" t="s">
        <v>1170</v>
      </c>
      <c r="M154" s="1446" t="s">
        <v>1170</v>
      </c>
      <c r="N154" s="1446" t="s">
        <v>1170</v>
      </c>
      <c r="O154" s="1640">
        <v>45017</v>
      </c>
      <c r="P154" s="1630">
        <v>12</v>
      </c>
      <c r="Q154" s="1630">
        <v>12</v>
      </c>
      <c r="R154" s="1630" t="s">
        <v>1170</v>
      </c>
      <c r="S154" s="1630"/>
      <c r="T154" s="1446" t="s">
        <v>1170</v>
      </c>
      <c r="U154" s="1446"/>
      <c r="V154" s="1630" t="s">
        <v>1170</v>
      </c>
      <c r="W154" s="1630" t="s">
        <v>1170</v>
      </c>
      <c r="X154" s="1630" t="s">
        <v>1170</v>
      </c>
      <c r="Y154" s="1630"/>
      <c r="Z154" s="1630" t="s">
        <v>4984</v>
      </c>
      <c r="AA154" s="1630" t="s">
        <v>1170</v>
      </c>
      <c r="AB154" s="1630" t="s">
        <v>1170</v>
      </c>
      <c r="AC154" s="1630" t="s">
        <v>1170</v>
      </c>
      <c r="AD154" s="1630" t="s">
        <v>1170</v>
      </c>
      <c r="AE154" s="2222" t="s">
        <v>1170</v>
      </c>
      <c r="AF154" s="2216" t="s">
        <v>1170</v>
      </c>
      <c r="AG154" s="1446" t="s">
        <v>1170</v>
      </c>
      <c r="AH154" s="1376" t="str">
        <f t="shared" ca="1" si="17"/>
        <v>N/A</v>
      </c>
    </row>
    <row r="155" spans="1:34" s="906" customFormat="1" ht="26">
      <c r="A155" s="1445" t="s">
        <v>1170</v>
      </c>
      <c r="B155" s="1630" t="s">
        <v>44</v>
      </c>
      <c r="C155" s="1630" t="s">
        <v>5975</v>
      </c>
      <c r="D155" s="1630" t="s">
        <v>33</v>
      </c>
      <c r="E155" s="1630" t="s">
        <v>1341</v>
      </c>
      <c r="F155" s="1630" t="s">
        <v>361</v>
      </c>
      <c r="G155" s="1490" t="s">
        <v>569</v>
      </c>
      <c r="H155" s="1630" t="s">
        <v>33</v>
      </c>
      <c r="I155" s="1630" t="s">
        <v>47</v>
      </c>
      <c r="J155" s="1446" t="s">
        <v>5976</v>
      </c>
      <c r="K155" s="1630" t="s">
        <v>1170</v>
      </c>
      <c r="L155" s="1446" t="s">
        <v>1170</v>
      </c>
      <c r="M155" s="1446" t="s">
        <v>1170</v>
      </c>
      <c r="N155" s="1446" t="s">
        <v>1170</v>
      </c>
      <c r="O155" s="1640">
        <v>45205</v>
      </c>
      <c r="P155" s="1630">
        <v>36</v>
      </c>
      <c r="Q155" s="1630">
        <v>36</v>
      </c>
      <c r="R155" s="1639">
        <v>200000</v>
      </c>
      <c r="S155" s="1639"/>
      <c r="T155" s="1446" t="s">
        <v>1170</v>
      </c>
      <c r="U155" s="1446"/>
      <c r="V155" s="1630" t="e">
        <v>#REF!</v>
      </c>
      <c r="W155" s="1630" t="s">
        <v>1170</v>
      </c>
      <c r="X155" s="1630" t="s">
        <v>1170</v>
      </c>
      <c r="Y155" s="1630"/>
      <c r="Z155" s="1630" t="s">
        <v>4972</v>
      </c>
      <c r="AA155" s="1630" t="s">
        <v>1170</v>
      </c>
      <c r="AB155" s="1631" t="s">
        <v>727</v>
      </c>
      <c r="AC155" s="1630" t="s">
        <v>1170</v>
      </c>
      <c r="AD155" s="1630" t="s">
        <v>1170</v>
      </c>
      <c r="AE155" s="2222" t="s">
        <v>1170</v>
      </c>
      <c r="AF155" s="2216" t="s">
        <v>1170</v>
      </c>
      <c r="AG155" s="1446" t="s">
        <v>1170</v>
      </c>
      <c r="AH155" s="1376" t="str">
        <f t="shared" ca="1" si="17"/>
        <v>N/A</v>
      </c>
    </row>
    <row r="156" spans="1:34" s="906" customFormat="1" ht="39">
      <c r="A156" s="1445" t="s">
        <v>1170</v>
      </c>
      <c r="B156" s="1630" t="s">
        <v>56</v>
      </c>
      <c r="C156" s="1630" t="s">
        <v>1170</v>
      </c>
      <c r="D156" s="1630" t="s">
        <v>4780</v>
      </c>
      <c r="E156" s="1630" t="s">
        <v>1341</v>
      </c>
      <c r="F156" s="1630" t="s">
        <v>361</v>
      </c>
      <c r="G156" s="1490" t="s">
        <v>4943</v>
      </c>
      <c r="H156" s="1630" t="s">
        <v>279</v>
      </c>
      <c r="I156" s="1630" t="s">
        <v>47</v>
      </c>
      <c r="J156" s="1446" t="s">
        <v>5977</v>
      </c>
      <c r="K156" s="1630" t="s">
        <v>1170</v>
      </c>
      <c r="L156" s="1446" t="s">
        <v>1170</v>
      </c>
      <c r="M156" s="1446" t="s">
        <v>1170</v>
      </c>
      <c r="N156" s="1446" t="s">
        <v>1170</v>
      </c>
      <c r="O156" s="1640">
        <v>45231</v>
      </c>
      <c r="P156" s="1630" t="s">
        <v>1170</v>
      </c>
      <c r="Q156" s="1630" t="s">
        <v>1170</v>
      </c>
      <c r="R156" s="1630" t="s">
        <v>1170</v>
      </c>
      <c r="S156" s="1630"/>
      <c r="T156" s="1446" t="s">
        <v>1170</v>
      </c>
      <c r="U156" s="1446"/>
      <c r="V156" s="1630" t="s">
        <v>1189</v>
      </c>
      <c r="W156" s="1630" t="s">
        <v>1170</v>
      </c>
      <c r="X156" s="1630" t="s">
        <v>1170</v>
      </c>
      <c r="Y156" s="1630"/>
      <c r="Z156" s="1632" t="s">
        <v>4997</v>
      </c>
      <c r="AA156" s="1630" t="s">
        <v>1170</v>
      </c>
      <c r="AB156" s="1631" t="s">
        <v>1170</v>
      </c>
      <c r="AC156" s="1630" t="s">
        <v>1170</v>
      </c>
      <c r="AD156" s="1630" t="s">
        <v>1170</v>
      </c>
      <c r="AE156" s="2222" t="s">
        <v>1170</v>
      </c>
      <c r="AF156" s="2216" t="s">
        <v>5978</v>
      </c>
      <c r="AG156" s="1446" t="s">
        <v>1170</v>
      </c>
      <c r="AH156" s="1376" t="str">
        <f t="shared" ca="1" si="17"/>
        <v>N/A</v>
      </c>
    </row>
    <row r="157" spans="1:34" s="906" customFormat="1" ht="52">
      <c r="A157" s="1445" t="s">
        <v>1170</v>
      </c>
      <c r="B157" s="1630" t="s">
        <v>56</v>
      </c>
      <c r="C157" s="1630" t="s">
        <v>4969</v>
      </c>
      <c r="D157" s="1630" t="s">
        <v>1350</v>
      </c>
      <c r="E157" s="1630" t="s">
        <v>1341</v>
      </c>
      <c r="F157" s="1630" t="s">
        <v>630</v>
      </c>
      <c r="G157" s="1490" t="s">
        <v>1121</v>
      </c>
      <c r="H157" s="1630" t="s">
        <v>4950</v>
      </c>
      <c r="I157" s="1630" t="s">
        <v>47</v>
      </c>
      <c r="J157" s="1446" t="s">
        <v>5979</v>
      </c>
      <c r="K157" s="1630" t="s">
        <v>1170</v>
      </c>
      <c r="L157" s="1446" t="s">
        <v>1170</v>
      </c>
      <c r="M157" s="1446" t="s">
        <v>1170</v>
      </c>
      <c r="N157" s="1446" t="s">
        <v>1170</v>
      </c>
      <c r="O157" s="1640">
        <v>45252</v>
      </c>
      <c r="P157" s="1630" t="s">
        <v>1170</v>
      </c>
      <c r="Q157" s="1630">
        <v>48</v>
      </c>
      <c r="R157" s="1639">
        <v>800000</v>
      </c>
      <c r="S157" s="1639"/>
      <c r="T157" s="1446" t="s">
        <v>1170</v>
      </c>
      <c r="U157" s="1446"/>
      <c r="V157" s="1630" t="s">
        <v>4970</v>
      </c>
      <c r="W157" s="1630" t="s">
        <v>1170</v>
      </c>
      <c r="X157" s="1630" t="s">
        <v>1170</v>
      </c>
      <c r="Y157" s="1630"/>
      <c r="Z157" s="1630" t="s">
        <v>1355</v>
      </c>
      <c r="AA157" s="1630" t="s">
        <v>1170</v>
      </c>
      <c r="AB157" s="1631" t="s">
        <v>727</v>
      </c>
      <c r="AC157" s="1630" t="s">
        <v>1170</v>
      </c>
      <c r="AD157" s="1630" t="s">
        <v>1170</v>
      </c>
      <c r="AE157" s="2222">
        <v>44986</v>
      </c>
      <c r="AF157" s="2216" t="s">
        <v>5980</v>
      </c>
      <c r="AG157" s="1446" t="s">
        <v>1170</v>
      </c>
      <c r="AH157" s="1376">
        <f t="shared" ca="1" si="17"/>
        <v>322</v>
      </c>
    </row>
    <row r="158" spans="1:34" s="906" customFormat="1" ht="26">
      <c r="A158" s="1445" t="s">
        <v>1170</v>
      </c>
      <c r="B158" s="1630" t="s">
        <v>44</v>
      </c>
      <c r="C158" s="1630" t="s">
        <v>5981</v>
      </c>
      <c r="D158" s="1630" t="s">
        <v>1340</v>
      </c>
      <c r="E158" s="1630" t="s">
        <v>1341</v>
      </c>
      <c r="F158" s="1630" t="s">
        <v>1103</v>
      </c>
      <c r="G158" s="1490" t="s">
        <v>569</v>
      </c>
      <c r="H158" s="1630" t="s">
        <v>33</v>
      </c>
      <c r="I158" s="1630" t="s">
        <v>47</v>
      </c>
      <c r="J158" s="1446" t="s">
        <v>5982</v>
      </c>
      <c r="K158" s="1630" t="s">
        <v>5973</v>
      </c>
      <c r="L158" s="1446" t="s">
        <v>1170</v>
      </c>
      <c r="M158" s="1446" t="s">
        <v>1170</v>
      </c>
      <c r="N158" s="1446" t="s">
        <v>1170</v>
      </c>
      <c r="O158" s="1640">
        <v>45256</v>
      </c>
      <c r="P158" s="1630" t="s">
        <v>1170</v>
      </c>
      <c r="Q158" s="1630" t="s">
        <v>1170</v>
      </c>
      <c r="R158" s="1630" t="s">
        <v>1170</v>
      </c>
      <c r="S158" s="1630"/>
      <c r="T158" s="1446" t="s">
        <v>1170</v>
      </c>
      <c r="U158" s="1446"/>
      <c r="V158" s="1630" t="s">
        <v>1170</v>
      </c>
      <c r="W158" s="1630" t="s">
        <v>1170</v>
      </c>
      <c r="X158" s="1630" t="s">
        <v>1170</v>
      </c>
      <c r="Y158" s="1630"/>
      <c r="Z158" s="1630" t="s">
        <v>5983</v>
      </c>
      <c r="AA158" s="1630" t="s">
        <v>1170</v>
      </c>
      <c r="AB158" s="1631" t="s">
        <v>1170</v>
      </c>
      <c r="AC158" s="1630" t="s">
        <v>1170</v>
      </c>
      <c r="AD158" s="1630" t="s">
        <v>1170</v>
      </c>
      <c r="AE158" s="2222" t="s">
        <v>1170</v>
      </c>
      <c r="AF158" s="2216" t="s">
        <v>1170</v>
      </c>
      <c r="AG158" s="1446" t="s">
        <v>1170</v>
      </c>
      <c r="AH158" s="1376" t="str">
        <f t="shared" ca="1" si="17"/>
        <v>N/A</v>
      </c>
    </row>
    <row r="159" spans="1:34" s="906" customFormat="1" ht="26">
      <c r="A159" s="1445" t="s">
        <v>1170</v>
      </c>
      <c r="B159" s="1630" t="s">
        <v>44</v>
      </c>
      <c r="C159" s="1630" t="s">
        <v>1170</v>
      </c>
      <c r="D159" s="1630" t="s">
        <v>862</v>
      </c>
      <c r="E159" s="1630" t="s">
        <v>1341</v>
      </c>
      <c r="F159" s="1630" t="s">
        <v>1067</v>
      </c>
      <c r="G159" s="1490" t="s">
        <v>862</v>
      </c>
      <c r="H159" s="1630" t="s">
        <v>1837</v>
      </c>
      <c r="I159" s="1630" t="s">
        <v>47</v>
      </c>
      <c r="J159" s="1446" t="s">
        <v>5984</v>
      </c>
      <c r="K159" s="1630" t="s">
        <v>1170</v>
      </c>
      <c r="L159" s="1446" t="s">
        <v>1170</v>
      </c>
      <c r="M159" s="1446" t="s">
        <v>1170</v>
      </c>
      <c r="N159" s="1446" t="s">
        <v>1170</v>
      </c>
      <c r="O159" s="1640">
        <v>45292</v>
      </c>
      <c r="P159" s="1630" t="s">
        <v>1170</v>
      </c>
      <c r="Q159" s="1630" t="s">
        <v>1170</v>
      </c>
      <c r="R159" s="1630" t="s">
        <v>1170</v>
      </c>
      <c r="S159" s="1630"/>
      <c r="T159" s="1446" t="s">
        <v>1170</v>
      </c>
      <c r="U159" s="1446"/>
      <c r="V159" s="1630" t="s">
        <v>3325</v>
      </c>
      <c r="W159" s="1630" t="s">
        <v>1170</v>
      </c>
      <c r="X159" s="1630" t="s">
        <v>1170</v>
      </c>
      <c r="Y159" s="1630"/>
      <c r="Z159" s="1630" t="s">
        <v>1170</v>
      </c>
      <c r="AA159" s="1630" t="s">
        <v>1170</v>
      </c>
      <c r="AB159" s="1631" t="s">
        <v>1170</v>
      </c>
      <c r="AC159" s="1630" t="s">
        <v>1170</v>
      </c>
      <c r="AD159" s="1630" t="s">
        <v>1170</v>
      </c>
      <c r="AE159" s="2222" t="s">
        <v>1170</v>
      </c>
      <c r="AF159" s="2216" t="s">
        <v>1170</v>
      </c>
      <c r="AG159" s="1446" t="s">
        <v>1170</v>
      </c>
      <c r="AH159" s="1376" t="str">
        <f t="shared" ca="1" si="17"/>
        <v>N/A</v>
      </c>
    </row>
    <row r="160" spans="1:34" s="906" customFormat="1" ht="52">
      <c r="A160" s="1445" t="s">
        <v>1170</v>
      </c>
      <c r="B160" s="1630" t="s">
        <v>44</v>
      </c>
      <c r="C160" s="1630" t="s">
        <v>5985</v>
      </c>
      <c r="D160" s="1630" t="s">
        <v>1365</v>
      </c>
      <c r="E160" s="1630" t="s">
        <v>1341</v>
      </c>
      <c r="F160" s="1630" t="s">
        <v>1270</v>
      </c>
      <c r="G160" s="1490" t="s">
        <v>1366</v>
      </c>
      <c r="H160" s="1630" t="s">
        <v>4949</v>
      </c>
      <c r="I160" s="1630" t="s">
        <v>246</v>
      </c>
      <c r="J160" s="1446" t="s">
        <v>5986</v>
      </c>
      <c r="K160" s="1630" t="s">
        <v>1170</v>
      </c>
      <c r="L160" s="1446" t="s">
        <v>1170</v>
      </c>
      <c r="M160" s="1446" t="s">
        <v>1170</v>
      </c>
      <c r="N160" s="1446" t="s">
        <v>1170</v>
      </c>
      <c r="O160" s="1640">
        <v>45383</v>
      </c>
      <c r="P160" s="1630" t="s">
        <v>1170</v>
      </c>
      <c r="Q160" s="1630" t="s">
        <v>5987</v>
      </c>
      <c r="R160" s="1639">
        <v>70000</v>
      </c>
      <c r="S160" s="1639"/>
      <c r="T160" s="1446" t="s">
        <v>1170</v>
      </c>
      <c r="U160" s="1446"/>
      <c r="V160" s="1630" t="e">
        <v>#REF!</v>
      </c>
      <c r="W160" s="1630" t="s">
        <v>1170</v>
      </c>
      <c r="X160" s="1630" t="s">
        <v>1170</v>
      </c>
      <c r="Y160" s="1630"/>
      <c r="Z160" s="1630" t="s">
        <v>1371</v>
      </c>
      <c r="AA160" s="1630" t="s">
        <v>1170</v>
      </c>
      <c r="AB160" s="1630" t="s">
        <v>727</v>
      </c>
      <c r="AC160" s="1630" t="s">
        <v>1170</v>
      </c>
      <c r="AD160" s="1630" t="s">
        <v>1170</v>
      </c>
      <c r="AE160" s="2222" t="s">
        <v>1170</v>
      </c>
      <c r="AF160" s="2216" t="s">
        <v>5988</v>
      </c>
      <c r="AG160" s="1446" t="s">
        <v>1170</v>
      </c>
      <c r="AH160" s="1376" t="str">
        <f t="shared" ca="1" si="17"/>
        <v>N/A</v>
      </c>
    </row>
    <row r="161" spans="1:36" s="906" customFormat="1" ht="39">
      <c r="A161" s="1445" t="s">
        <v>1170</v>
      </c>
      <c r="B161" s="1630" t="s">
        <v>56</v>
      </c>
      <c r="C161" s="1630" t="s">
        <v>5989</v>
      </c>
      <c r="D161" s="1630" t="s">
        <v>4780</v>
      </c>
      <c r="E161" s="1630" t="s">
        <v>1341</v>
      </c>
      <c r="F161" s="1630" t="s">
        <v>361</v>
      </c>
      <c r="G161" s="1490" t="s">
        <v>4943</v>
      </c>
      <c r="H161" s="1630" t="s">
        <v>4622</v>
      </c>
      <c r="I161" s="1630" t="s">
        <v>47</v>
      </c>
      <c r="J161" s="1446" t="s">
        <v>5990</v>
      </c>
      <c r="K161" s="1630" t="s">
        <v>5991</v>
      </c>
      <c r="L161" s="1446" t="s">
        <v>1170</v>
      </c>
      <c r="M161" s="1446" t="s">
        <v>1170</v>
      </c>
      <c r="N161" s="1446" t="s">
        <v>1170</v>
      </c>
      <c r="O161" s="1640">
        <v>45383</v>
      </c>
      <c r="P161" s="1630" t="s">
        <v>1170</v>
      </c>
      <c r="Q161" s="1630" t="s">
        <v>1170</v>
      </c>
      <c r="R161" s="1630" t="s">
        <v>1170</v>
      </c>
      <c r="S161" s="1630"/>
      <c r="T161" s="1446" t="s">
        <v>1170</v>
      </c>
      <c r="U161" s="1446"/>
      <c r="V161" s="1630" t="e">
        <v>#REF!</v>
      </c>
      <c r="W161" s="1630" t="s">
        <v>1170</v>
      </c>
      <c r="X161" s="1630" t="s">
        <v>1170</v>
      </c>
      <c r="Y161" s="1630"/>
      <c r="Z161" s="1630" t="s">
        <v>4977</v>
      </c>
      <c r="AA161" s="1630" t="s">
        <v>1170</v>
      </c>
      <c r="AB161" s="1630" t="s">
        <v>727</v>
      </c>
      <c r="AC161" s="1630" t="s">
        <v>1170</v>
      </c>
      <c r="AD161" s="1630" t="s">
        <v>1170</v>
      </c>
      <c r="AE161" s="2222" t="s">
        <v>1170</v>
      </c>
      <c r="AF161" s="2216" t="s">
        <v>5992</v>
      </c>
      <c r="AG161" s="1446" t="s">
        <v>1170</v>
      </c>
      <c r="AH161" s="1376" t="str">
        <f t="shared" ca="1" si="17"/>
        <v>N/A</v>
      </c>
    </row>
    <row r="162" spans="1:36" s="906" customFormat="1" ht="52">
      <c r="A162" s="1445" t="s">
        <v>1170</v>
      </c>
      <c r="B162" s="1630" t="s">
        <v>56</v>
      </c>
      <c r="C162" s="1630" t="s">
        <v>5993</v>
      </c>
      <c r="D162" s="1630" t="s">
        <v>1365</v>
      </c>
      <c r="E162" s="1630" t="s">
        <v>1341</v>
      </c>
      <c r="F162" s="1630" t="s">
        <v>1270</v>
      </c>
      <c r="G162" s="1490" t="s">
        <v>1366</v>
      </c>
      <c r="H162" s="1630" t="s">
        <v>279</v>
      </c>
      <c r="I162" s="1630" t="s">
        <v>246</v>
      </c>
      <c r="J162" s="1446" t="s">
        <v>5994</v>
      </c>
      <c r="K162" s="1630" t="s">
        <v>5995</v>
      </c>
      <c r="L162" s="1446" t="s">
        <v>1170</v>
      </c>
      <c r="M162" s="1446" t="s">
        <v>1170</v>
      </c>
      <c r="N162" s="1446" t="s">
        <v>1170</v>
      </c>
      <c r="O162" s="1640">
        <v>45383</v>
      </c>
      <c r="P162" s="1630">
        <v>48</v>
      </c>
      <c r="Q162" s="1630" t="s">
        <v>1170</v>
      </c>
      <c r="R162" s="1630" t="s">
        <v>553</v>
      </c>
      <c r="S162" s="1630"/>
      <c r="T162" s="1446" t="s">
        <v>1170</v>
      </c>
      <c r="U162" s="1446"/>
      <c r="V162" s="1630" t="e">
        <v>#REF!</v>
      </c>
      <c r="W162" s="1630" t="s">
        <v>1170</v>
      </c>
      <c r="X162" s="1630" t="s">
        <v>1170</v>
      </c>
      <c r="Y162" s="1630"/>
      <c r="Z162" s="1630" t="s">
        <v>5996</v>
      </c>
      <c r="AA162" s="1630" t="s">
        <v>1170</v>
      </c>
      <c r="AB162" s="1630" t="s">
        <v>727</v>
      </c>
      <c r="AC162" s="1630" t="s">
        <v>1170</v>
      </c>
      <c r="AD162" s="1630" t="s">
        <v>1170</v>
      </c>
      <c r="AE162" s="2222" t="s">
        <v>1170</v>
      </c>
      <c r="AF162" s="2216" t="s">
        <v>1170</v>
      </c>
      <c r="AG162" s="1446" t="s">
        <v>1170</v>
      </c>
      <c r="AH162" s="1376" t="str">
        <f t="shared" ca="1" si="17"/>
        <v>N/A</v>
      </c>
    </row>
    <row r="163" spans="1:36" s="906" customFormat="1" ht="26">
      <c r="A163" s="1445" t="s">
        <v>1170</v>
      </c>
      <c r="B163" s="1630" t="s">
        <v>44</v>
      </c>
      <c r="C163" s="1630" t="s">
        <v>5997</v>
      </c>
      <c r="D163" s="1630" t="s">
        <v>502</v>
      </c>
      <c r="E163" s="1630" t="s">
        <v>1341</v>
      </c>
      <c r="F163" s="1630" t="s">
        <v>1067</v>
      </c>
      <c r="G163" s="1490" t="s">
        <v>569</v>
      </c>
      <c r="H163" s="1630" t="s">
        <v>33</v>
      </c>
      <c r="I163" s="1630" t="s">
        <v>246</v>
      </c>
      <c r="J163" s="1446" t="s">
        <v>5998</v>
      </c>
      <c r="K163" s="1630" t="s">
        <v>1170</v>
      </c>
      <c r="L163" s="1446" t="s">
        <v>1170</v>
      </c>
      <c r="M163" s="1446" t="s">
        <v>1170</v>
      </c>
      <c r="N163" s="1446" t="s">
        <v>1170</v>
      </c>
      <c r="O163" s="1640">
        <v>45748</v>
      </c>
      <c r="P163" s="1630">
        <v>60</v>
      </c>
      <c r="Q163" s="1630">
        <v>60</v>
      </c>
      <c r="R163" s="1639">
        <v>61000</v>
      </c>
      <c r="S163" s="1639"/>
      <c r="T163" s="1446" t="s">
        <v>1170</v>
      </c>
      <c r="U163" s="1446"/>
      <c r="V163" s="1630" t="s">
        <v>1170</v>
      </c>
      <c r="W163" s="1630" t="s">
        <v>1170</v>
      </c>
      <c r="X163" s="1630" t="s">
        <v>1170</v>
      </c>
      <c r="Y163" s="1630"/>
      <c r="Z163" s="1630" t="s">
        <v>4984</v>
      </c>
      <c r="AA163" s="1630" t="s">
        <v>1170</v>
      </c>
      <c r="AB163" s="1630" t="s">
        <v>727</v>
      </c>
      <c r="AC163" s="1630" t="s">
        <v>1170</v>
      </c>
      <c r="AD163" s="1630" t="s">
        <v>1170</v>
      </c>
      <c r="AE163" s="2222" t="s">
        <v>1170</v>
      </c>
      <c r="AF163" s="2216" t="s">
        <v>1170</v>
      </c>
      <c r="AG163" s="1446" t="s">
        <v>1170</v>
      </c>
      <c r="AH163" s="1376" t="str">
        <f t="shared" ca="1" si="17"/>
        <v>N/A</v>
      </c>
    </row>
    <row r="164" spans="1:36" s="906" customFormat="1" ht="39">
      <c r="A164" s="1445" t="s">
        <v>1170</v>
      </c>
      <c r="B164" s="1630" t="s">
        <v>44</v>
      </c>
      <c r="C164" s="1630" t="s">
        <v>1170</v>
      </c>
      <c r="D164" s="1630" t="s">
        <v>4985</v>
      </c>
      <c r="E164" s="1630" t="s">
        <v>1341</v>
      </c>
      <c r="F164" s="1630" t="s">
        <v>361</v>
      </c>
      <c r="G164" s="1490" t="s">
        <v>1440</v>
      </c>
      <c r="H164" s="1630" t="s">
        <v>127</v>
      </c>
      <c r="I164" s="1630" t="s">
        <v>1170</v>
      </c>
      <c r="J164" s="1446" t="s">
        <v>5999</v>
      </c>
      <c r="K164" s="1630" t="s">
        <v>6000</v>
      </c>
      <c r="L164" s="1446" t="s">
        <v>1170</v>
      </c>
      <c r="M164" s="1446" t="s">
        <v>1170</v>
      </c>
      <c r="N164" s="1446" t="s">
        <v>1170</v>
      </c>
      <c r="O164" s="1630" t="s">
        <v>1170</v>
      </c>
      <c r="P164" s="1630" t="s">
        <v>4976</v>
      </c>
      <c r="Q164" s="1630" t="s">
        <v>1170</v>
      </c>
      <c r="R164" s="1630" t="s">
        <v>1170</v>
      </c>
      <c r="S164" s="1630"/>
      <c r="T164" s="1446" t="s">
        <v>1170</v>
      </c>
      <c r="U164" s="1446"/>
      <c r="V164" s="1630" t="s">
        <v>1170</v>
      </c>
      <c r="W164" s="1630" t="s">
        <v>1170</v>
      </c>
      <c r="X164" s="1630" t="s">
        <v>1170</v>
      </c>
      <c r="Y164" s="1630"/>
      <c r="Z164" s="1630" t="s">
        <v>6001</v>
      </c>
      <c r="AA164" s="1630" t="s">
        <v>1170</v>
      </c>
      <c r="AB164" s="1630" t="s">
        <v>1170</v>
      </c>
      <c r="AC164" s="1630" t="s">
        <v>1170</v>
      </c>
      <c r="AD164" s="1630" t="s">
        <v>1170</v>
      </c>
      <c r="AE164" s="2222" t="s">
        <v>1170</v>
      </c>
      <c r="AF164" s="2216" t="s">
        <v>1170</v>
      </c>
      <c r="AG164" s="1446" t="s">
        <v>1170</v>
      </c>
      <c r="AH164" s="1376" t="str">
        <f t="shared" ca="1" si="17"/>
        <v>N/A</v>
      </c>
    </row>
    <row r="165" spans="1:36" s="906" customFormat="1" ht="28.4" customHeight="1">
      <c r="A165" s="1445" t="s">
        <v>1170</v>
      </c>
      <c r="B165" s="1630" t="s">
        <v>44</v>
      </c>
      <c r="C165" s="1630" t="s">
        <v>1170</v>
      </c>
      <c r="D165" s="1630" t="s">
        <v>4985</v>
      </c>
      <c r="E165" s="1630" t="s">
        <v>1341</v>
      </c>
      <c r="F165" s="1630" t="s">
        <v>361</v>
      </c>
      <c r="G165" s="1490" t="s">
        <v>569</v>
      </c>
      <c r="H165" s="1630" t="s">
        <v>33</v>
      </c>
      <c r="I165" s="1630" t="s">
        <v>1170</v>
      </c>
      <c r="J165" s="1446" t="s">
        <v>6002</v>
      </c>
      <c r="K165" s="1630" t="s">
        <v>5025</v>
      </c>
      <c r="L165" s="1446" t="s">
        <v>1170</v>
      </c>
      <c r="M165" s="1446" t="s">
        <v>1170</v>
      </c>
      <c r="N165" s="1446" t="s">
        <v>1170</v>
      </c>
      <c r="O165" s="1630" t="s">
        <v>1170</v>
      </c>
      <c r="P165" s="1630" t="s">
        <v>4976</v>
      </c>
      <c r="Q165" s="1630" t="s">
        <v>1170</v>
      </c>
      <c r="R165" s="1630" t="s">
        <v>1170</v>
      </c>
      <c r="S165" s="1630"/>
      <c r="T165" s="1446" t="s">
        <v>1170</v>
      </c>
      <c r="U165" s="1446"/>
      <c r="V165" s="1630" t="e">
        <v>#REF!</v>
      </c>
      <c r="W165" s="1630" t="s">
        <v>1170</v>
      </c>
      <c r="X165" s="1630" t="s">
        <v>1170</v>
      </c>
      <c r="Y165" s="1630"/>
      <c r="Z165" s="1630" t="s">
        <v>4987</v>
      </c>
      <c r="AA165" s="1630" t="s">
        <v>1170</v>
      </c>
      <c r="AB165" s="1631" t="s">
        <v>4976</v>
      </c>
      <c r="AC165" s="1630" t="s">
        <v>1170</v>
      </c>
      <c r="AD165" s="1630" t="s">
        <v>1170</v>
      </c>
      <c r="AE165" s="2222" t="s">
        <v>1170</v>
      </c>
      <c r="AF165" s="2216" t="s">
        <v>1170</v>
      </c>
      <c r="AG165" s="1446" t="s">
        <v>1170</v>
      </c>
      <c r="AH165" s="1376" t="str">
        <f t="shared" ca="1" si="17"/>
        <v>N/A</v>
      </c>
    </row>
    <row r="166" spans="1:36" s="906" customFormat="1" ht="26">
      <c r="A166" s="1445" t="s">
        <v>1170</v>
      </c>
      <c r="B166" s="1630" t="s">
        <v>44</v>
      </c>
      <c r="C166" s="1630" t="s">
        <v>1170</v>
      </c>
      <c r="D166" s="1630" t="s">
        <v>502</v>
      </c>
      <c r="E166" s="1630" t="s">
        <v>1341</v>
      </c>
      <c r="F166" s="1630" t="s">
        <v>1067</v>
      </c>
      <c r="G166" s="1490" t="s">
        <v>502</v>
      </c>
      <c r="H166" s="1630" t="s">
        <v>514</v>
      </c>
      <c r="I166" s="1630" t="s">
        <v>1170</v>
      </c>
      <c r="J166" s="1446" t="s">
        <v>6003</v>
      </c>
      <c r="K166" s="1630" t="s">
        <v>1170</v>
      </c>
      <c r="L166" s="1446" t="s">
        <v>1170</v>
      </c>
      <c r="M166" s="1446" t="s">
        <v>1170</v>
      </c>
      <c r="N166" s="1446" t="s">
        <v>1170</v>
      </c>
      <c r="O166" s="1630" t="s">
        <v>1170</v>
      </c>
      <c r="P166" s="1630" t="s">
        <v>4976</v>
      </c>
      <c r="Q166" s="1630" t="s">
        <v>1170</v>
      </c>
      <c r="R166" s="1630" t="s">
        <v>1170</v>
      </c>
      <c r="S166" s="1630"/>
      <c r="T166" s="1446" t="s">
        <v>1170</v>
      </c>
      <c r="U166" s="1446"/>
      <c r="V166" s="1630" t="s">
        <v>1170</v>
      </c>
      <c r="W166" s="1630" t="s">
        <v>1170</v>
      </c>
      <c r="X166" s="1630" t="s">
        <v>1170</v>
      </c>
      <c r="Y166" s="1630"/>
      <c r="Z166" s="1630" t="s">
        <v>4984</v>
      </c>
      <c r="AA166" s="1630" t="s">
        <v>1170</v>
      </c>
      <c r="AB166" s="1630" t="s">
        <v>1170</v>
      </c>
      <c r="AC166" s="1630" t="s">
        <v>1170</v>
      </c>
      <c r="AD166" s="1630" t="s">
        <v>1170</v>
      </c>
      <c r="AE166" s="2222" t="s">
        <v>1170</v>
      </c>
      <c r="AF166" s="2216" t="s">
        <v>1170</v>
      </c>
      <c r="AG166" s="1446" t="s">
        <v>1170</v>
      </c>
      <c r="AH166" s="1376" t="str">
        <f t="shared" ca="1" si="17"/>
        <v>N/A</v>
      </c>
    </row>
    <row r="167" spans="1:36" s="906" customFormat="1" ht="52">
      <c r="A167" s="1445" t="s">
        <v>1170</v>
      </c>
      <c r="B167" s="1630" t="s">
        <v>44</v>
      </c>
      <c r="C167" s="1630" t="s">
        <v>6004</v>
      </c>
      <c r="D167" s="1630" t="s">
        <v>1350</v>
      </c>
      <c r="E167" s="1630" t="s">
        <v>1341</v>
      </c>
      <c r="F167" s="1630" t="s">
        <v>630</v>
      </c>
      <c r="G167" s="1490" t="s">
        <v>1319</v>
      </c>
      <c r="H167" s="1630" t="s">
        <v>4950</v>
      </c>
      <c r="I167" s="1630" t="s">
        <v>246</v>
      </c>
      <c r="J167" s="1446" t="s">
        <v>6005</v>
      </c>
      <c r="K167" s="1630" t="s">
        <v>1170</v>
      </c>
      <c r="L167" s="1446" t="s">
        <v>1170</v>
      </c>
      <c r="M167" s="1446" t="s">
        <v>1170</v>
      </c>
      <c r="N167" s="1446" t="s">
        <v>1170</v>
      </c>
      <c r="O167" s="1630" t="s">
        <v>1170</v>
      </c>
      <c r="P167" s="1630">
        <v>60</v>
      </c>
      <c r="Q167" s="1630">
        <v>60</v>
      </c>
      <c r="R167" s="1639">
        <v>139000</v>
      </c>
      <c r="S167" s="1639"/>
      <c r="T167" s="1446" t="s">
        <v>1170</v>
      </c>
      <c r="U167" s="1446"/>
      <c r="V167" s="1630" t="e">
        <v>#REF!</v>
      </c>
      <c r="W167" s="1630" t="s">
        <v>1170</v>
      </c>
      <c r="X167" s="1630" t="s">
        <v>1170</v>
      </c>
      <c r="Y167" s="1630"/>
      <c r="Z167" s="1630" t="s">
        <v>1355</v>
      </c>
      <c r="AA167" s="1630" t="s">
        <v>1170</v>
      </c>
      <c r="AB167" s="1630" t="s">
        <v>1170</v>
      </c>
      <c r="AC167" s="1630" t="s">
        <v>1170</v>
      </c>
      <c r="AD167" s="1630" t="s">
        <v>1170</v>
      </c>
      <c r="AE167" s="2222" t="s">
        <v>1170</v>
      </c>
      <c r="AF167" s="2216" t="s">
        <v>1170</v>
      </c>
      <c r="AG167" s="1446" t="s">
        <v>1170</v>
      </c>
      <c r="AH167" s="1376" t="str">
        <f t="shared" ca="1" si="17"/>
        <v>N/A</v>
      </c>
    </row>
    <row r="168" spans="1:36" s="906" customFormat="1" ht="26">
      <c r="A168" s="1445" t="s">
        <v>1170</v>
      </c>
      <c r="B168" s="1630" t="s">
        <v>44</v>
      </c>
      <c r="C168" s="1630" t="s">
        <v>1170</v>
      </c>
      <c r="D168" s="1630" t="s">
        <v>502</v>
      </c>
      <c r="E168" s="1630" t="s">
        <v>1341</v>
      </c>
      <c r="F168" s="1630" t="s">
        <v>1067</v>
      </c>
      <c r="G168" s="1490" t="s">
        <v>502</v>
      </c>
      <c r="H168" s="1630" t="s">
        <v>514</v>
      </c>
      <c r="I168" s="1630" t="s">
        <v>1170</v>
      </c>
      <c r="J168" s="1446" t="s">
        <v>6006</v>
      </c>
      <c r="K168" s="1630" t="s">
        <v>1170</v>
      </c>
      <c r="L168" s="1446" t="s">
        <v>1170</v>
      </c>
      <c r="M168" s="1446" t="s">
        <v>1170</v>
      </c>
      <c r="N168" s="1446" t="s">
        <v>1170</v>
      </c>
      <c r="O168" s="1630" t="s">
        <v>1170</v>
      </c>
      <c r="P168" s="1630" t="s">
        <v>1170</v>
      </c>
      <c r="Q168" s="1630" t="s">
        <v>1170</v>
      </c>
      <c r="R168" s="1639">
        <v>400000</v>
      </c>
      <c r="S168" s="1639"/>
      <c r="T168" s="1446" t="s">
        <v>1170</v>
      </c>
      <c r="U168" s="1446"/>
      <c r="V168" s="1630" t="s">
        <v>1170</v>
      </c>
      <c r="W168" s="1630" t="s">
        <v>1170</v>
      </c>
      <c r="X168" s="1630" t="s">
        <v>1170</v>
      </c>
      <c r="Y168" s="1630"/>
      <c r="Z168" s="1630" t="s">
        <v>4984</v>
      </c>
      <c r="AA168" s="1630" t="s">
        <v>1170</v>
      </c>
      <c r="AB168" s="1630" t="s">
        <v>1170</v>
      </c>
      <c r="AC168" s="1630" t="s">
        <v>1170</v>
      </c>
      <c r="AD168" s="1630" t="s">
        <v>1170</v>
      </c>
      <c r="AE168" s="2222" t="s">
        <v>1170</v>
      </c>
      <c r="AF168" s="2216" t="s">
        <v>1170</v>
      </c>
      <c r="AG168" s="1446" t="s">
        <v>1170</v>
      </c>
      <c r="AH168" s="1376" t="str">
        <f t="shared" ca="1" si="17"/>
        <v>N/A</v>
      </c>
    </row>
    <row r="169" spans="1:36" s="906" customFormat="1" ht="39">
      <c r="A169" s="1445" t="s">
        <v>1170</v>
      </c>
      <c r="B169" s="1630" t="s">
        <v>44</v>
      </c>
      <c r="C169" s="1630" t="s">
        <v>5997</v>
      </c>
      <c r="D169" s="1630" t="s">
        <v>4985</v>
      </c>
      <c r="E169" s="1630" t="s">
        <v>1341</v>
      </c>
      <c r="F169" s="1630" t="s">
        <v>361</v>
      </c>
      <c r="G169" s="1490" t="s">
        <v>1440</v>
      </c>
      <c r="H169" s="1630" t="s">
        <v>127</v>
      </c>
      <c r="I169" s="1630" t="s">
        <v>1170</v>
      </c>
      <c r="J169" s="1446" t="s">
        <v>6007</v>
      </c>
      <c r="K169" s="1630" t="s">
        <v>1170</v>
      </c>
      <c r="L169" s="1446" t="s">
        <v>1170</v>
      </c>
      <c r="M169" s="1446" t="s">
        <v>1170</v>
      </c>
      <c r="N169" s="1446" t="s">
        <v>1170</v>
      </c>
      <c r="O169" s="1630" t="s">
        <v>1170</v>
      </c>
      <c r="P169" s="1630" t="s">
        <v>4976</v>
      </c>
      <c r="Q169" s="1630" t="s">
        <v>1170</v>
      </c>
      <c r="R169" s="1630" t="s">
        <v>1170</v>
      </c>
      <c r="S169" s="1630"/>
      <c r="T169" s="1446" t="s">
        <v>1170</v>
      </c>
      <c r="U169" s="1446"/>
      <c r="V169" s="1630" t="e">
        <v>#REF!</v>
      </c>
      <c r="W169" s="1630" t="s">
        <v>1170</v>
      </c>
      <c r="X169" s="1630" t="s">
        <v>1170</v>
      </c>
      <c r="Y169" s="1630"/>
      <c r="Z169" s="1630" t="s">
        <v>5017</v>
      </c>
      <c r="AA169" s="1630" t="s">
        <v>1170</v>
      </c>
      <c r="AB169" s="1630" t="s">
        <v>1170</v>
      </c>
      <c r="AC169" s="1630" t="s">
        <v>1170</v>
      </c>
      <c r="AD169" s="1630" t="s">
        <v>1170</v>
      </c>
      <c r="AE169" s="2222" t="s">
        <v>1170</v>
      </c>
      <c r="AF169" s="2216" t="s">
        <v>1170</v>
      </c>
      <c r="AG169" s="1446" t="s">
        <v>1170</v>
      </c>
      <c r="AH169" s="1376" t="str">
        <f t="shared" ca="1" si="17"/>
        <v>N/A</v>
      </c>
    </row>
    <row r="170" spans="1:36" s="906" customFormat="1" ht="26">
      <c r="A170" s="1445" t="s">
        <v>1170</v>
      </c>
      <c r="B170" s="1630" t="s">
        <v>44</v>
      </c>
      <c r="C170" s="1630" t="s">
        <v>1170</v>
      </c>
      <c r="D170" s="1630" t="s">
        <v>862</v>
      </c>
      <c r="E170" s="1630" t="s">
        <v>1341</v>
      </c>
      <c r="F170" s="1630" t="s">
        <v>1067</v>
      </c>
      <c r="G170" s="1490" t="s">
        <v>862</v>
      </c>
      <c r="H170" s="1630" t="s">
        <v>1837</v>
      </c>
      <c r="I170" s="1630" t="s">
        <v>246</v>
      </c>
      <c r="J170" s="1446" t="s">
        <v>6008</v>
      </c>
      <c r="K170" s="1630" t="s">
        <v>1170</v>
      </c>
      <c r="L170" s="1446" t="s">
        <v>1170</v>
      </c>
      <c r="M170" s="1446" t="s">
        <v>1170</v>
      </c>
      <c r="N170" s="1446" t="s">
        <v>1170</v>
      </c>
      <c r="O170" s="1640">
        <v>45748</v>
      </c>
      <c r="P170" s="1630" t="s">
        <v>1170</v>
      </c>
      <c r="Q170" s="1630" t="s">
        <v>1170</v>
      </c>
      <c r="R170" s="1630" t="s">
        <v>1170</v>
      </c>
      <c r="S170" s="1630"/>
      <c r="T170" s="1446" t="s">
        <v>1170</v>
      </c>
      <c r="U170" s="1446"/>
      <c r="V170" s="1630" t="s">
        <v>1189</v>
      </c>
      <c r="W170" s="1630" t="s">
        <v>1170</v>
      </c>
      <c r="X170" s="1630" t="s">
        <v>1170</v>
      </c>
      <c r="Y170" s="1630"/>
      <c r="Z170" s="1630" t="s">
        <v>1170</v>
      </c>
      <c r="AA170" s="1630" t="s">
        <v>1170</v>
      </c>
      <c r="AB170" s="1631" t="s">
        <v>1170</v>
      </c>
      <c r="AC170" s="1630" t="s">
        <v>1170</v>
      </c>
      <c r="AD170" s="1630" t="s">
        <v>1170</v>
      </c>
      <c r="AE170" s="2222" t="s">
        <v>1170</v>
      </c>
      <c r="AF170" s="2216" t="s">
        <v>1170</v>
      </c>
      <c r="AG170" s="1446" t="s">
        <v>1170</v>
      </c>
      <c r="AH170" s="1376" t="str">
        <f t="shared" ca="1" si="17"/>
        <v>N/A</v>
      </c>
    </row>
    <row r="171" spans="1:36" s="906" customFormat="1" ht="52">
      <c r="A171" s="1445" t="s">
        <v>1170</v>
      </c>
      <c r="B171" s="1630" t="s">
        <v>44</v>
      </c>
      <c r="C171" s="1630" t="s">
        <v>6009</v>
      </c>
      <c r="D171" s="1630" t="s">
        <v>1350</v>
      </c>
      <c r="E171" s="1630" t="s">
        <v>1341</v>
      </c>
      <c r="F171" s="1630" t="s">
        <v>630</v>
      </c>
      <c r="G171" s="1490" t="s">
        <v>1319</v>
      </c>
      <c r="H171" s="1630" t="s">
        <v>4950</v>
      </c>
      <c r="I171" s="1630" t="s">
        <v>246</v>
      </c>
      <c r="J171" s="1446" t="s">
        <v>6010</v>
      </c>
      <c r="K171" s="1630" t="s">
        <v>1170</v>
      </c>
      <c r="L171" s="1446" t="s">
        <v>1170</v>
      </c>
      <c r="M171" s="1446" t="s">
        <v>1170</v>
      </c>
      <c r="N171" s="1446" t="s">
        <v>1170</v>
      </c>
      <c r="O171" s="1630" t="s">
        <v>1170</v>
      </c>
      <c r="P171" s="1630">
        <v>60</v>
      </c>
      <c r="Q171" s="1630">
        <v>60</v>
      </c>
      <c r="R171" s="1639">
        <v>80829</v>
      </c>
      <c r="S171" s="1639"/>
      <c r="T171" s="1446" t="s">
        <v>1170</v>
      </c>
      <c r="U171" s="1446"/>
      <c r="V171" s="1630" t="s">
        <v>4970</v>
      </c>
      <c r="W171" s="1630" t="s">
        <v>1170</v>
      </c>
      <c r="X171" s="1630" t="s">
        <v>1170</v>
      </c>
      <c r="Y171" s="1630"/>
      <c r="Z171" s="1630" t="s">
        <v>1355</v>
      </c>
      <c r="AA171" s="1630" t="s">
        <v>1170</v>
      </c>
      <c r="AB171" s="1630" t="s">
        <v>1170</v>
      </c>
      <c r="AC171" s="1630" t="s">
        <v>1170</v>
      </c>
      <c r="AD171" s="1630" t="s">
        <v>1170</v>
      </c>
      <c r="AE171" s="2222" t="s">
        <v>1170</v>
      </c>
      <c r="AF171" s="2216" t="s">
        <v>1170</v>
      </c>
      <c r="AG171" s="1446" t="s">
        <v>1170</v>
      </c>
      <c r="AH171" s="1376" t="str">
        <f t="shared" ca="1" si="17"/>
        <v>N/A</v>
      </c>
    </row>
    <row r="172" spans="1:36" s="901" customFormat="1" ht="39">
      <c r="A172" s="1445" t="s">
        <v>1170</v>
      </c>
      <c r="B172" s="1630" t="s">
        <v>44</v>
      </c>
      <c r="C172" s="1630" t="s">
        <v>1170</v>
      </c>
      <c r="D172" s="1630" t="s">
        <v>5958</v>
      </c>
      <c r="E172" s="1630" t="s">
        <v>1341</v>
      </c>
      <c r="F172" s="1630" t="s">
        <v>1373</v>
      </c>
      <c r="G172" s="1490" t="s">
        <v>890</v>
      </c>
      <c r="H172" s="1630" t="s">
        <v>4622</v>
      </c>
      <c r="I172" s="1630" t="s">
        <v>1170</v>
      </c>
      <c r="J172" s="1446" t="s">
        <v>6011</v>
      </c>
      <c r="K172" s="1630" t="s">
        <v>1170</v>
      </c>
      <c r="L172" s="1446" t="s">
        <v>1170</v>
      </c>
      <c r="M172" s="1446" t="s">
        <v>1170</v>
      </c>
      <c r="N172" s="1446" t="s">
        <v>1170</v>
      </c>
      <c r="O172" s="1630" t="s">
        <v>45</v>
      </c>
      <c r="P172" s="1630" t="s">
        <v>45</v>
      </c>
      <c r="Q172" s="1630" t="s">
        <v>45</v>
      </c>
      <c r="R172" s="1630" t="s">
        <v>1170</v>
      </c>
      <c r="S172" s="1630"/>
      <c r="T172" s="1446" t="s">
        <v>1170</v>
      </c>
      <c r="U172" s="1446"/>
      <c r="V172" s="1630" t="s">
        <v>45</v>
      </c>
      <c r="W172" s="1632" t="s">
        <v>1170</v>
      </c>
      <c r="X172" s="1632" t="s">
        <v>1170</v>
      </c>
      <c r="Y172" s="1630"/>
      <c r="Z172" s="1630" t="s">
        <v>4975</v>
      </c>
      <c r="AA172" s="1632" t="s">
        <v>1170</v>
      </c>
      <c r="AB172" s="1630" t="s">
        <v>45</v>
      </c>
      <c r="AC172" s="1630" t="s">
        <v>1170</v>
      </c>
      <c r="AD172" s="1630" t="s">
        <v>1170</v>
      </c>
      <c r="AE172" s="2222" t="s">
        <v>1170</v>
      </c>
      <c r="AF172" s="2216" t="s">
        <v>1170</v>
      </c>
      <c r="AG172" s="1446" t="s">
        <v>1170</v>
      </c>
      <c r="AH172" s="1376" t="str">
        <f t="shared" ca="1" si="17"/>
        <v>N/A</v>
      </c>
      <c r="AI172" s="906"/>
      <c r="AJ172" s="906"/>
    </row>
    <row r="173" spans="1:36" s="906" customFormat="1" ht="39">
      <c r="A173" s="1445" t="s">
        <v>1170</v>
      </c>
      <c r="B173" s="1630" t="s">
        <v>56</v>
      </c>
      <c r="C173" s="1630" t="s">
        <v>1170</v>
      </c>
      <c r="D173" s="1630" t="s">
        <v>4780</v>
      </c>
      <c r="E173" s="1630" t="s">
        <v>1341</v>
      </c>
      <c r="F173" s="1630" t="s">
        <v>361</v>
      </c>
      <c r="G173" s="1490" t="s">
        <v>4943</v>
      </c>
      <c r="H173" s="1630" t="s">
        <v>279</v>
      </c>
      <c r="I173" s="1630" t="s">
        <v>246</v>
      </c>
      <c r="J173" s="1446" t="s">
        <v>6012</v>
      </c>
      <c r="K173" s="1630" t="s">
        <v>1170</v>
      </c>
      <c r="L173" s="1446" t="s">
        <v>1170</v>
      </c>
      <c r="M173" s="1446" t="s">
        <v>1170</v>
      </c>
      <c r="N173" s="1446" t="s">
        <v>1170</v>
      </c>
      <c r="O173" s="1630" t="s">
        <v>45</v>
      </c>
      <c r="P173" s="1630" t="s">
        <v>1170</v>
      </c>
      <c r="Q173" s="1630" t="s">
        <v>1170</v>
      </c>
      <c r="R173" s="1630" t="s">
        <v>1170</v>
      </c>
      <c r="S173" s="1630"/>
      <c r="T173" s="1446" t="s">
        <v>1170</v>
      </c>
      <c r="U173" s="1446"/>
      <c r="V173" s="1630" t="s">
        <v>1170</v>
      </c>
      <c r="W173" s="1630" t="s">
        <v>1170</v>
      </c>
      <c r="X173" s="1630" t="s">
        <v>1170</v>
      </c>
      <c r="Y173" s="1630"/>
      <c r="Z173" s="1630" t="s">
        <v>4977</v>
      </c>
      <c r="AA173" s="1630" t="s">
        <v>1170</v>
      </c>
      <c r="AB173" s="1630" t="s">
        <v>1170</v>
      </c>
      <c r="AC173" s="1630" t="s">
        <v>1170</v>
      </c>
      <c r="AD173" s="1630" t="s">
        <v>1170</v>
      </c>
      <c r="AE173" s="2222" t="s">
        <v>1170</v>
      </c>
      <c r="AF173" s="2216" t="s">
        <v>1170</v>
      </c>
      <c r="AG173" s="1446" t="s">
        <v>1170</v>
      </c>
      <c r="AH173" s="1376" t="str">
        <f t="shared" ca="1" si="17"/>
        <v>N/A</v>
      </c>
    </row>
    <row r="174" spans="1:36" s="906" customFormat="1" ht="39">
      <c r="A174" s="1566">
        <v>44974</v>
      </c>
      <c r="B174" s="1571" t="s">
        <v>44</v>
      </c>
      <c r="C174" s="1571" t="s">
        <v>45</v>
      </c>
      <c r="D174" s="1630" t="s">
        <v>1169</v>
      </c>
      <c r="E174" s="1571" t="s">
        <v>1168</v>
      </c>
      <c r="F174" s="1571" t="s">
        <v>361</v>
      </c>
      <c r="G174" s="1490" t="s">
        <v>1440</v>
      </c>
      <c r="H174" s="1630" t="s">
        <v>127</v>
      </c>
      <c r="I174" s="1571" t="s">
        <v>1170</v>
      </c>
      <c r="J174" s="1446" t="s">
        <v>1171</v>
      </c>
      <c r="K174" s="1571" t="s">
        <v>1172</v>
      </c>
      <c r="L174" s="1567" t="s">
        <v>1170</v>
      </c>
      <c r="M174" s="1567" t="s">
        <v>1170</v>
      </c>
      <c r="N174" s="1567" t="s">
        <v>1170</v>
      </c>
      <c r="O174" s="1573">
        <v>45383</v>
      </c>
      <c r="P174" s="1572">
        <v>36</v>
      </c>
      <c r="Q174" s="1571" t="s">
        <v>602</v>
      </c>
      <c r="R174" s="1574">
        <v>24000</v>
      </c>
      <c r="S174" s="1574"/>
      <c r="T174" s="1567" t="s">
        <v>1170</v>
      </c>
      <c r="U174" s="1567"/>
      <c r="V174" s="1572" t="s">
        <v>130</v>
      </c>
      <c r="W174" s="1571" t="s">
        <v>1170</v>
      </c>
      <c r="X174" s="1571" t="s">
        <v>1170</v>
      </c>
      <c r="Y174" s="1571"/>
      <c r="Z174" s="1572" t="s">
        <v>1174</v>
      </c>
      <c r="AA174" s="1571" t="s">
        <v>1170</v>
      </c>
      <c r="AB174" s="1571" t="s">
        <v>1170</v>
      </c>
      <c r="AC174" s="1571" t="s">
        <v>1170</v>
      </c>
      <c r="AD174" s="1571" t="s">
        <v>1170</v>
      </c>
      <c r="AE174" s="2222">
        <v>44896</v>
      </c>
      <c r="AF174" s="2216" t="s">
        <v>6013</v>
      </c>
      <c r="AG174" s="1567" t="s">
        <v>1170</v>
      </c>
      <c r="AH174" s="1376">
        <f t="shared" ca="1" si="17"/>
        <v>412</v>
      </c>
    </row>
    <row r="175" spans="1:36" s="906" customFormat="1" ht="78">
      <c r="A175" s="1566">
        <v>44974</v>
      </c>
      <c r="B175" s="1571" t="s">
        <v>44</v>
      </c>
      <c r="C175" s="1571" t="s">
        <v>45</v>
      </c>
      <c r="D175" s="1630" t="s">
        <v>1178</v>
      </c>
      <c r="E175" s="1571" t="s">
        <v>1168</v>
      </c>
      <c r="F175" s="1571" t="s">
        <v>361</v>
      </c>
      <c r="G175" s="1490" t="s">
        <v>569</v>
      </c>
      <c r="H175" s="1630" t="s">
        <v>33</v>
      </c>
      <c r="I175" s="1571" t="s">
        <v>1170</v>
      </c>
      <c r="J175" s="1446" t="s">
        <v>6014</v>
      </c>
      <c r="K175" s="1571" t="s">
        <v>2097</v>
      </c>
      <c r="L175" s="1567" t="s">
        <v>1170</v>
      </c>
      <c r="M175" s="1567" t="s">
        <v>1170</v>
      </c>
      <c r="N175" s="1567" t="s">
        <v>1170</v>
      </c>
      <c r="O175" s="1573">
        <v>45095</v>
      </c>
      <c r="P175" s="1572" t="s">
        <v>4966</v>
      </c>
      <c r="Q175" s="1571" t="s">
        <v>589</v>
      </c>
      <c r="R175" s="1574">
        <v>80000</v>
      </c>
      <c r="S175" s="1574"/>
      <c r="T175" s="1567" t="s">
        <v>1170</v>
      </c>
      <c r="U175" s="1567"/>
      <c r="V175" s="1572" t="s">
        <v>45</v>
      </c>
      <c r="W175" s="1571" t="s">
        <v>1170</v>
      </c>
      <c r="X175" s="1571" t="s">
        <v>1170</v>
      </c>
      <c r="Y175" s="1571"/>
      <c r="Z175" s="1572" t="s">
        <v>1190</v>
      </c>
      <c r="AA175" s="1571" t="s">
        <v>1170</v>
      </c>
      <c r="AB175" s="1571" t="s">
        <v>1170</v>
      </c>
      <c r="AC175" s="1571" t="s">
        <v>1170</v>
      </c>
      <c r="AD175" s="1571" t="s">
        <v>1170</v>
      </c>
      <c r="AE175" s="2222">
        <v>44883</v>
      </c>
      <c r="AF175" s="2216" t="s">
        <v>6015</v>
      </c>
      <c r="AG175" s="1567" t="s">
        <v>1170</v>
      </c>
      <c r="AH175" s="1376">
        <f t="shared" ca="1" si="17"/>
        <v>425</v>
      </c>
    </row>
    <row r="176" spans="1:36" s="906" customFormat="1" ht="39">
      <c r="A176" s="1566">
        <v>44974</v>
      </c>
      <c r="B176" s="1571" t="s">
        <v>56</v>
      </c>
      <c r="C176" s="1571" t="s">
        <v>45</v>
      </c>
      <c r="D176" s="1630" t="s">
        <v>1254</v>
      </c>
      <c r="E176" s="1571" t="s">
        <v>1168</v>
      </c>
      <c r="F176" s="1571" t="s">
        <v>361</v>
      </c>
      <c r="G176" s="1490" t="s">
        <v>4943</v>
      </c>
      <c r="H176" s="1630" t="s">
        <v>279</v>
      </c>
      <c r="I176" s="1571" t="s">
        <v>1170</v>
      </c>
      <c r="J176" s="1567" t="s">
        <v>3905</v>
      </c>
      <c r="K176" s="1571" t="s">
        <v>3906</v>
      </c>
      <c r="L176" s="1567" t="s">
        <v>1170</v>
      </c>
      <c r="M176" s="1567" t="s">
        <v>1170</v>
      </c>
      <c r="N176" s="1567" t="s">
        <v>1170</v>
      </c>
      <c r="O176" s="1573">
        <v>45748</v>
      </c>
      <c r="P176" s="1572">
        <v>48</v>
      </c>
      <c r="Q176" s="1571">
        <v>4</v>
      </c>
      <c r="R176" s="1574">
        <v>145000</v>
      </c>
      <c r="S176" s="1574"/>
      <c r="T176" s="1567" t="s">
        <v>1170</v>
      </c>
      <c r="U176" s="1567"/>
      <c r="V176" s="1572" t="s">
        <v>45</v>
      </c>
      <c r="W176" s="1571" t="s">
        <v>1170</v>
      </c>
      <c r="X176" s="1571" t="s">
        <v>1170</v>
      </c>
      <c r="Y176" s="1571"/>
      <c r="Z176" s="1572" t="s">
        <v>1201</v>
      </c>
      <c r="AA176" s="1571" t="s">
        <v>1170</v>
      </c>
      <c r="AB176" s="1571" t="s">
        <v>1170</v>
      </c>
      <c r="AC176" s="1571" t="s">
        <v>1170</v>
      </c>
      <c r="AD176" s="1571" t="s">
        <v>1170</v>
      </c>
      <c r="AE176" s="2222">
        <v>44260</v>
      </c>
      <c r="AF176" s="2216" t="s">
        <v>3908</v>
      </c>
      <c r="AG176" s="1567" t="s">
        <v>1170</v>
      </c>
      <c r="AH176" s="1376">
        <f t="shared" ca="1" si="17"/>
        <v>1048</v>
      </c>
    </row>
    <row r="177" spans="1:36" s="906" customFormat="1" ht="52">
      <c r="A177" s="1566">
        <v>44974</v>
      </c>
      <c r="B177" s="1571" t="s">
        <v>44</v>
      </c>
      <c r="C177" s="1571" t="s">
        <v>45</v>
      </c>
      <c r="D177" s="1630" t="s">
        <v>1506</v>
      </c>
      <c r="E177" s="1571" t="s">
        <v>1168</v>
      </c>
      <c r="F177" s="1571" t="s">
        <v>1103</v>
      </c>
      <c r="G177" s="1490" t="s">
        <v>1406</v>
      </c>
      <c r="H177" s="1630" t="s">
        <v>33</v>
      </c>
      <c r="I177" s="1571" t="s">
        <v>1170</v>
      </c>
      <c r="J177" s="1567" t="s">
        <v>2439</v>
      </c>
      <c r="K177" s="1571" t="s">
        <v>1508</v>
      </c>
      <c r="L177" s="1567" t="s">
        <v>1170</v>
      </c>
      <c r="M177" s="1567" t="s">
        <v>1170</v>
      </c>
      <c r="N177" s="1567" t="s">
        <v>1170</v>
      </c>
      <c r="O177" s="1573">
        <v>44985</v>
      </c>
      <c r="P177" s="1572">
        <v>60</v>
      </c>
      <c r="Q177" s="1571" t="s">
        <v>6016</v>
      </c>
      <c r="R177" s="1574">
        <v>85000</v>
      </c>
      <c r="S177" s="1574"/>
      <c r="T177" s="1567" t="s">
        <v>1170</v>
      </c>
      <c r="U177" s="1567"/>
      <c r="V177" s="1572" t="s">
        <v>45</v>
      </c>
      <c r="W177" s="1571" t="s">
        <v>1170</v>
      </c>
      <c r="X177" s="1571" t="s">
        <v>1170</v>
      </c>
      <c r="Y177" s="1571"/>
      <c r="Z177" s="1572" t="s">
        <v>4968</v>
      </c>
      <c r="AA177" s="1571" t="s">
        <v>1170</v>
      </c>
      <c r="AB177" s="1571" t="s">
        <v>1170</v>
      </c>
      <c r="AC177" s="1571" t="s">
        <v>1170</v>
      </c>
      <c r="AD177" s="1571" t="s">
        <v>1170</v>
      </c>
      <c r="AE177" s="2222">
        <v>44960</v>
      </c>
      <c r="AF177" s="2216" t="s">
        <v>6017</v>
      </c>
      <c r="AG177" s="1567" t="s">
        <v>1170</v>
      </c>
      <c r="AH177" s="1376">
        <f t="shared" ca="1" si="17"/>
        <v>348</v>
      </c>
    </row>
    <row r="178" spans="1:36" s="906" customFormat="1" ht="58">
      <c r="A178" s="1566">
        <v>44974</v>
      </c>
      <c r="B178" s="1571" t="s">
        <v>56</v>
      </c>
      <c r="C178" s="1571" t="s">
        <v>45</v>
      </c>
      <c r="D178" s="1630" t="s">
        <v>1254</v>
      </c>
      <c r="E178" s="1571" t="s">
        <v>1168</v>
      </c>
      <c r="F178" s="1571" t="s">
        <v>630</v>
      </c>
      <c r="G178" s="1490" t="s">
        <v>1319</v>
      </c>
      <c r="H178" s="2382" t="s">
        <v>4946</v>
      </c>
      <c r="I178" s="1571" t="s">
        <v>1170</v>
      </c>
      <c r="J178" s="1567" t="s">
        <v>6018</v>
      </c>
      <c r="K178" s="1571" t="s">
        <v>589</v>
      </c>
      <c r="L178" s="1567" t="s">
        <v>1170</v>
      </c>
      <c r="M178" s="1567" t="s">
        <v>1170</v>
      </c>
      <c r="N178" s="1567" t="s">
        <v>1170</v>
      </c>
      <c r="O178" s="1572" t="s">
        <v>45</v>
      </c>
      <c r="P178" s="1575" t="s">
        <v>45</v>
      </c>
      <c r="Q178" s="1571" t="s">
        <v>45</v>
      </c>
      <c r="R178" s="1641">
        <v>160000</v>
      </c>
      <c r="S178" s="1641"/>
      <c r="T178" s="1567" t="s">
        <v>1170</v>
      </c>
      <c r="U178" s="1567"/>
      <c r="V178" s="1572" t="s">
        <v>45</v>
      </c>
      <c r="W178" s="1571" t="s">
        <v>1170</v>
      </c>
      <c r="X178" s="1571" t="s">
        <v>1170</v>
      </c>
      <c r="Y178" s="1571"/>
      <c r="Z178" s="1571" t="s">
        <v>1257</v>
      </c>
      <c r="AA178" s="1571" t="s">
        <v>1170</v>
      </c>
      <c r="AB178" s="1571" t="s">
        <v>1170</v>
      </c>
      <c r="AC178" s="1571" t="s">
        <v>1170</v>
      </c>
      <c r="AD178" s="1571" t="s">
        <v>1170</v>
      </c>
      <c r="AE178" s="2222">
        <v>44750</v>
      </c>
      <c r="AF178" s="2216" t="s">
        <v>6019</v>
      </c>
      <c r="AG178" s="1567" t="s">
        <v>1170</v>
      </c>
      <c r="AH178" s="1376">
        <f t="shared" ca="1" si="17"/>
        <v>558</v>
      </c>
    </row>
    <row r="179" spans="1:36" s="906" customFormat="1" ht="39">
      <c r="A179" s="1566">
        <v>44974</v>
      </c>
      <c r="B179" s="1571" t="s">
        <v>44</v>
      </c>
      <c r="C179" s="1571" t="s">
        <v>45</v>
      </c>
      <c r="D179" s="1630" t="s">
        <v>1254</v>
      </c>
      <c r="E179" s="1571" t="s">
        <v>1168</v>
      </c>
      <c r="F179" s="1569" t="s">
        <v>361</v>
      </c>
      <c r="G179" s="2189" t="s">
        <v>362</v>
      </c>
      <c r="H179" s="1630" t="s">
        <v>4949</v>
      </c>
      <c r="I179" s="1571" t="s">
        <v>1170</v>
      </c>
      <c r="J179" s="1567" t="s">
        <v>6020</v>
      </c>
      <c r="K179" s="1571" t="s">
        <v>6021</v>
      </c>
      <c r="L179" s="1567" t="s">
        <v>1170</v>
      </c>
      <c r="M179" s="1567" t="s">
        <v>1170</v>
      </c>
      <c r="N179" s="1567" t="s">
        <v>1170</v>
      </c>
      <c r="O179" s="1573">
        <v>45369</v>
      </c>
      <c r="P179" s="1572">
        <v>48</v>
      </c>
      <c r="Q179" s="1571">
        <v>4</v>
      </c>
      <c r="R179" s="1574">
        <v>200000</v>
      </c>
      <c r="S179" s="1574"/>
      <c r="T179" s="1567" t="s">
        <v>1170</v>
      </c>
      <c r="U179" s="1567"/>
      <c r="V179" s="1572" t="s">
        <v>45</v>
      </c>
      <c r="W179" s="1571" t="s">
        <v>1170</v>
      </c>
      <c r="X179" s="1571" t="s">
        <v>1170</v>
      </c>
      <c r="Y179" s="1571"/>
      <c r="Z179" s="1572" t="s">
        <v>1201</v>
      </c>
      <c r="AA179" s="1571" t="s">
        <v>1170</v>
      </c>
      <c r="AB179" s="1571" t="s">
        <v>1170</v>
      </c>
      <c r="AC179" s="1571" t="s">
        <v>1170</v>
      </c>
      <c r="AD179" s="1571" t="s">
        <v>1170</v>
      </c>
      <c r="AE179" s="2222">
        <v>44972</v>
      </c>
      <c r="AF179" s="2216" t="s">
        <v>6022</v>
      </c>
      <c r="AG179" s="1567" t="s">
        <v>1170</v>
      </c>
      <c r="AH179" s="1376">
        <f t="shared" ca="1" si="17"/>
        <v>336</v>
      </c>
    </row>
    <row r="180" spans="1:36" s="906" customFormat="1" ht="39">
      <c r="A180" s="1564">
        <v>44974</v>
      </c>
      <c r="B180" s="1654" t="s">
        <v>56</v>
      </c>
      <c r="C180" s="1655" t="s">
        <v>45</v>
      </c>
      <c r="D180" s="1633" t="s">
        <v>1254</v>
      </c>
      <c r="E180" s="1653" t="s">
        <v>1168</v>
      </c>
      <c r="F180" s="1569" t="s">
        <v>361</v>
      </c>
      <c r="G180" s="2189" t="s">
        <v>362</v>
      </c>
      <c r="H180" s="1630" t="s">
        <v>279</v>
      </c>
      <c r="I180" s="1655" t="s">
        <v>1170</v>
      </c>
      <c r="J180" s="2196" t="s">
        <v>4444</v>
      </c>
      <c r="K180" s="1655" t="s">
        <v>2985</v>
      </c>
      <c r="L180" s="2196" t="s">
        <v>1170</v>
      </c>
      <c r="M180" s="2196" t="s">
        <v>1170</v>
      </c>
      <c r="N180" s="2196" t="s">
        <v>1170</v>
      </c>
      <c r="O180" s="1568">
        <v>45251</v>
      </c>
      <c r="P180" s="1842">
        <v>24</v>
      </c>
      <c r="Q180" s="1653" t="s">
        <v>1345</v>
      </c>
      <c r="R180" s="2300">
        <v>480000</v>
      </c>
      <c r="S180" s="2300"/>
      <c r="T180" s="2205" t="s">
        <v>1170</v>
      </c>
      <c r="U180" s="2525"/>
      <c r="V180" s="1569" t="s">
        <v>45</v>
      </c>
      <c r="W180" s="1655" t="s">
        <v>1170</v>
      </c>
      <c r="X180" s="1655" t="s">
        <v>1170</v>
      </c>
      <c r="Y180" s="1655"/>
      <c r="Z180" s="1655" t="s">
        <v>2583</v>
      </c>
      <c r="AA180" s="1655" t="s">
        <v>1170</v>
      </c>
      <c r="AB180" s="1655" t="s">
        <v>1170</v>
      </c>
      <c r="AC180" s="1655" t="s">
        <v>1170</v>
      </c>
      <c r="AD180" s="1655" t="s">
        <v>1170</v>
      </c>
      <c r="AE180" s="2222">
        <v>44986</v>
      </c>
      <c r="AF180" s="2212" t="s">
        <v>6023</v>
      </c>
      <c r="AG180" s="2205" t="s">
        <v>1170</v>
      </c>
      <c r="AH180" s="1376">
        <f t="shared" ca="1" si="17"/>
        <v>322</v>
      </c>
    </row>
    <row r="181" spans="1:36" s="901" customFormat="1" ht="26">
      <c r="A181" s="1566">
        <v>44974</v>
      </c>
      <c r="B181" s="1571" t="s">
        <v>44</v>
      </c>
      <c r="C181" s="1571" t="s">
        <v>45</v>
      </c>
      <c r="D181" s="1630" t="s">
        <v>1506</v>
      </c>
      <c r="E181" s="1571" t="s">
        <v>1168</v>
      </c>
      <c r="F181" s="1569" t="s">
        <v>361</v>
      </c>
      <c r="G181" s="1490" t="s">
        <v>1406</v>
      </c>
      <c r="H181" s="1630" t="s">
        <v>33</v>
      </c>
      <c r="I181" s="1571" t="s">
        <v>1170</v>
      </c>
      <c r="J181" s="1567" t="s">
        <v>1507</v>
      </c>
      <c r="K181" s="1571" t="s">
        <v>1508</v>
      </c>
      <c r="L181" s="1567" t="s">
        <v>1170</v>
      </c>
      <c r="M181" s="1567" t="s">
        <v>1170</v>
      </c>
      <c r="N181" s="1567" t="s">
        <v>1170</v>
      </c>
      <c r="O181" s="1573">
        <v>45070</v>
      </c>
      <c r="P181" s="1572" t="s">
        <v>4966</v>
      </c>
      <c r="Q181" s="1572" t="s">
        <v>589</v>
      </c>
      <c r="R181" s="1572" t="s">
        <v>4502</v>
      </c>
      <c r="S181" s="1572"/>
      <c r="T181" s="1567" t="s">
        <v>1170</v>
      </c>
      <c r="U181" s="1567"/>
      <c r="V181" s="1572" t="s">
        <v>45</v>
      </c>
      <c r="W181" s="1655" t="s">
        <v>1170</v>
      </c>
      <c r="X181" s="1655" t="s">
        <v>1170</v>
      </c>
      <c r="Y181" s="1571"/>
      <c r="Z181" s="1572" t="s">
        <v>4968</v>
      </c>
      <c r="AA181" s="1655" t="s">
        <v>1170</v>
      </c>
      <c r="AB181" s="1571" t="s">
        <v>1170</v>
      </c>
      <c r="AC181" s="1571" t="s">
        <v>1170</v>
      </c>
      <c r="AD181" s="1571" t="s">
        <v>1170</v>
      </c>
      <c r="AE181" s="2222">
        <v>44741</v>
      </c>
      <c r="AF181" s="2216" t="s">
        <v>1511</v>
      </c>
      <c r="AG181" s="1567" t="s">
        <v>1170</v>
      </c>
      <c r="AH181" s="1376">
        <f t="shared" ca="1" si="17"/>
        <v>567</v>
      </c>
      <c r="AI181" s="906"/>
      <c r="AJ181" s="906"/>
    </row>
    <row r="182" spans="1:36" s="906" customFormat="1" ht="52">
      <c r="A182" s="1566">
        <v>44974</v>
      </c>
      <c r="B182" s="1571" t="s">
        <v>56</v>
      </c>
      <c r="C182" s="1571" t="s">
        <v>45</v>
      </c>
      <c r="D182" s="1630" t="s">
        <v>1254</v>
      </c>
      <c r="E182" s="1571" t="s">
        <v>1168</v>
      </c>
      <c r="F182" s="1569" t="s">
        <v>630</v>
      </c>
      <c r="G182" s="2189" t="s">
        <v>1121</v>
      </c>
      <c r="H182" s="2382" t="s">
        <v>4950</v>
      </c>
      <c r="I182" s="1571" t="s">
        <v>1170</v>
      </c>
      <c r="J182" s="1567" t="s">
        <v>6024</v>
      </c>
      <c r="K182" s="1571" t="s">
        <v>6025</v>
      </c>
      <c r="L182" s="1567" t="s">
        <v>1170</v>
      </c>
      <c r="M182" s="1567" t="s">
        <v>1170</v>
      </c>
      <c r="N182" s="1567" t="s">
        <v>1170</v>
      </c>
      <c r="O182" s="1573">
        <v>45017</v>
      </c>
      <c r="P182" s="1572" t="s">
        <v>4966</v>
      </c>
      <c r="Q182" s="1571" t="s">
        <v>589</v>
      </c>
      <c r="R182" s="1572" t="s">
        <v>1230</v>
      </c>
      <c r="S182" s="1572"/>
      <c r="T182" s="1567" t="s">
        <v>1170</v>
      </c>
      <c r="U182" s="1567"/>
      <c r="V182" s="1572" t="s">
        <v>45</v>
      </c>
      <c r="W182" s="1571" t="s">
        <v>1170</v>
      </c>
      <c r="X182" s="1571" t="s">
        <v>1170</v>
      </c>
      <c r="Y182" s="1571"/>
      <c r="Z182" s="1572" t="s">
        <v>2583</v>
      </c>
      <c r="AA182" s="1571" t="s">
        <v>1170</v>
      </c>
      <c r="AB182" s="1571" t="s">
        <v>1170</v>
      </c>
      <c r="AC182" s="1571" t="s">
        <v>1170</v>
      </c>
      <c r="AD182" s="1571" t="s">
        <v>1170</v>
      </c>
      <c r="AE182" s="2222">
        <v>44392</v>
      </c>
      <c r="AF182" s="2216" t="s">
        <v>6026</v>
      </c>
      <c r="AG182" s="1567" t="s">
        <v>1170</v>
      </c>
      <c r="AH182" s="1376">
        <f t="shared" ca="1" si="17"/>
        <v>916</v>
      </c>
    </row>
    <row r="183" spans="1:36" s="906" customFormat="1" ht="52">
      <c r="A183" s="1566">
        <v>44974</v>
      </c>
      <c r="B183" s="1571" t="s">
        <v>44</v>
      </c>
      <c r="C183" s="1571" t="s">
        <v>45</v>
      </c>
      <c r="D183" s="1630" t="s">
        <v>1254</v>
      </c>
      <c r="E183" s="1571" t="s">
        <v>1168</v>
      </c>
      <c r="F183" s="1569" t="s">
        <v>630</v>
      </c>
      <c r="G183" s="2189" t="s">
        <v>1121</v>
      </c>
      <c r="H183" s="2382" t="s">
        <v>4950</v>
      </c>
      <c r="I183" s="1571" t="s">
        <v>1170</v>
      </c>
      <c r="J183" s="1567" t="s">
        <v>6027</v>
      </c>
      <c r="K183" s="1571" t="s">
        <v>6028</v>
      </c>
      <c r="L183" s="1567" t="s">
        <v>1170</v>
      </c>
      <c r="M183" s="1567" t="s">
        <v>1170</v>
      </c>
      <c r="N183" s="1567" t="s">
        <v>1170</v>
      </c>
      <c r="O183" s="1572" t="s">
        <v>45</v>
      </c>
      <c r="P183" s="1572" t="s">
        <v>45</v>
      </c>
      <c r="Q183" s="1572" t="s">
        <v>589</v>
      </c>
      <c r="R183" s="1572" t="s">
        <v>1230</v>
      </c>
      <c r="S183" s="1572"/>
      <c r="T183" s="1567" t="s">
        <v>1170</v>
      </c>
      <c r="U183" s="1567"/>
      <c r="V183" s="1572" t="s">
        <v>45</v>
      </c>
      <c r="W183" s="1571" t="s">
        <v>1170</v>
      </c>
      <c r="X183" s="1571" t="s">
        <v>1170</v>
      </c>
      <c r="Y183" s="1571"/>
      <c r="Z183" s="1572" t="s">
        <v>2583</v>
      </c>
      <c r="AA183" s="1571" t="s">
        <v>1170</v>
      </c>
      <c r="AB183" s="1571" t="s">
        <v>1170</v>
      </c>
      <c r="AC183" s="1571" t="s">
        <v>1170</v>
      </c>
      <c r="AD183" s="1571" t="s">
        <v>1170</v>
      </c>
      <c r="AE183" s="2222">
        <v>44392</v>
      </c>
      <c r="AF183" s="2216" t="s">
        <v>6029</v>
      </c>
      <c r="AG183" s="1567" t="s">
        <v>1170</v>
      </c>
      <c r="AH183" s="1376">
        <f t="shared" ca="1" si="17"/>
        <v>916</v>
      </c>
    </row>
    <row r="184" spans="1:36" ht="43.5">
      <c r="A184" s="2317" t="s">
        <v>4941</v>
      </c>
      <c r="B184" s="2317"/>
      <c r="C184" s="2318" t="s">
        <v>6030</v>
      </c>
      <c r="D184" s="2318"/>
      <c r="E184" s="2318" t="s">
        <v>4952</v>
      </c>
      <c r="F184" s="1569" t="s">
        <v>361</v>
      </c>
      <c r="G184" s="2189" t="s">
        <v>362</v>
      </c>
      <c r="H184" s="1630" t="s">
        <v>279</v>
      </c>
      <c r="I184" s="2318" t="s">
        <v>47</v>
      </c>
      <c r="J184" s="2318" t="s">
        <v>6031</v>
      </c>
      <c r="K184" s="2318"/>
      <c r="L184" s="2318"/>
      <c r="M184" s="2318"/>
      <c r="N184" s="2318"/>
      <c r="O184" s="2324">
        <v>45297</v>
      </c>
      <c r="P184" s="2320">
        <v>48</v>
      </c>
      <c r="Q184" s="2320" t="s">
        <v>82</v>
      </c>
      <c r="R184" s="2321">
        <v>240000</v>
      </c>
      <c r="S184" s="2321"/>
      <c r="T184" s="2322"/>
      <c r="U184" s="2322"/>
      <c r="V184" s="2320" t="s">
        <v>45</v>
      </c>
      <c r="W184" s="2320"/>
      <c r="X184" s="2320"/>
      <c r="Y184" s="2320" t="s">
        <v>6032</v>
      </c>
      <c r="Z184" s="2318" t="s">
        <v>4953</v>
      </c>
      <c r="AA184" s="2318" t="s">
        <v>1170</v>
      </c>
      <c r="AB184" s="2318" t="s">
        <v>1170</v>
      </c>
      <c r="AC184" s="2318"/>
      <c r="AD184" s="2318"/>
      <c r="AE184" s="2318"/>
      <c r="AF184" s="2397" t="s">
        <v>6033</v>
      </c>
      <c r="AG184" s="2397"/>
      <c r="AH184" s="2322"/>
    </row>
    <row r="185" spans="1:36" ht="52">
      <c r="A185" s="2317" t="s">
        <v>4941</v>
      </c>
      <c r="B185" s="2317"/>
      <c r="C185" s="2318" t="s">
        <v>6034</v>
      </c>
      <c r="D185" s="2318"/>
      <c r="E185" s="2318" t="s">
        <v>4952</v>
      </c>
      <c r="F185" s="1569" t="s">
        <v>630</v>
      </c>
      <c r="G185" s="2189" t="s">
        <v>1121</v>
      </c>
      <c r="H185" s="2382" t="s">
        <v>4950</v>
      </c>
      <c r="I185" s="2318" t="s">
        <v>47</v>
      </c>
      <c r="J185" s="2318" t="s">
        <v>6035</v>
      </c>
      <c r="K185" s="2318"/>
      <c r="L185" s="2318"/>
      <c r="M185" s="2318"/>
      <c r="N185" s="2318"/>
      <c r="O185" s="2319">
        <v>43555</v>
      </c>
      <c r="P185" s="2320">
        <v>36</v>
      </c>
      <c r="Q185" s="2320" t="s">
        <v>160</v>
      </c>
      <c r="R185" s="2321">
        <v>270000</v>
      </c>
      <c r="S185" s="2321"/>
      <c r="T185" s="2322"/>
      <c r="U185" s="2322"/>
      <c r="V185" s="2320" t="s">
        <v>91</v>
      </c>
      <c r="W185" s="2320"/>
      <c r="X185" s="2320"/>
      <c r="Y185" s="2320" t="s">
        <v>6036</v>
      </c>
      <c r="Z185" s="2318" t="s">
        <v>4953</v>
      </c>
      <c r="AA185" s="2318" t="s">
        <v>1170</v>
      </c>
      <c r="AB185" s="2318" t="s">
        <v>1170</v>
      </c>
      <c r="AC185" s="2318"/>
      <c r="AD185" s="2318"/>
      <c r="AE185" s="2318"/>
      <c r="AF185" s="2342" t="s">
        <v>6037</v>
      </c>
      <c r="AG185" s="2342"/>
      <c r="AH185" s="2322"/>
    </row>
    <row r="186" spans="1:36" ht="39">
      <c r="A186" s="2317" t="s">
        <v>4941</v>
      </c>
      <c r="B186" s="2317"/>
      <c r="C186" s="2318" t="s">
        <v>6038</v>
      </c>
      <c r="D186" s="2318"/>
      <c r="E186" s="2318" t="s">
        <v>4952</v>
      </c>
      <c r="F186" s="1569" t="s">
        <v>361</v>
      </c>
      <c r="G186" s="2189" t="s">
        <v>362</v>
      </c>
      <c r="H186" s="1630" t="s">
        <v>279</v>
      </c>
      <c r="I186" s="2318" t="s">
        <v>47</v>
      </c>
      <c r="J186" s="2343" t="s">
        <v>6039</v>
      </c>
      <c r="K186" s="2318"/>
      <c r="L186" s="2318"/>
      <c r="M186" s="2318"/>
      <c r="N186" s="2318"/>
      <c r="O186" s="2319">
        <v>45748</v>
      </c>
      <c r="P186" s="2320">
        <v>48</v>
      </c>
      <c r="Q186" s="2320">
        <v>48</v>
      </c>
      <c r="R186" s="2321">
        <v>340000</v>
      </c>
      <c r="S186" s="2321"/>
      <c r="T186" s="2322"/>
      <c r="U186" s="2322"/>
      <c r="V186" s="2320" t="s">
        <v>45</v>
      </c>
      <c r="W186" s="2320"/>
      <c r="X186" s="2320"/>
      <c r="Y186" s="2320" t="s">
        <v>4960</v>
      </c>
      <c r="Z186" s="2318" t="s">
        <v>6040</v>
      </c>
      <c r="AA186" s="2318" t="s">
        <v>1170</v>
      </c>
      <c r="AB186" s="2318" t="s">
        <v>1170</v>
      </c>
      <c r="AC186" s="2318"/>
      <c r="AD186" s="2318"/>
      <c r="AE186" s="2318"/>
      <c r="AF186" s="54" t="s">
        <v>1170</v>
      </c>
      <c r="AG186" s="54"/>
      <c r="AH186" s="2322"/>
    </row>
    <row r="187" spans="1:36" ht="58">
      <c r="A187" s="2317" t="s">
        <v>4941</v>
      </c>
      <c r="B187" s="2317"/>
      <c r="C187" s="2318" t="s">
        <v>6041</v>
      </c>
      <c r="D187" s="2318"/>
      <c r="E187" s="2318" t="s">
        <v>4952</v>
      </c>
      <c r="F187" s="1569" t="s">
        <v>361</v>
      </c>
      <c r="G187" s="1490" t="s">
        <v>1406</v>
      </c>
      <c r="H187" s="1630" t="s">
        <v>33</v>
      </c>
      <c r="I187" s="2318" t="s">
        <v>47</v>
      </c>
      <c r="J187" s="2318" t="s">
        <v>6042</v>
      </c>
      <c r="K187" s="2318"/>
      <c r="L187" s="2318"/>
      <c r="M187" s="2318"/>
      <c r="N187" s="2318"/>
      <c r="O187" s="2319">
        <v>45016</v>
      </c>
      <c r="P187" s="2320">
        <v>60</v>
      </c>
      <c r="Q187" s="2320" t="s">
        <v>1170</v>
      </c>
      <c r="R187" s="2321">
        <v>102500</v>
      </c>
      <c r="S187" s="2321"/>
      <c r="T187" s="2322"/>
      <c r="U187" s="2322"/>
      <c r="V187" s="2320" t="s">
        <v>1170</v>
      </c>
      <c r="W187" s="2320"/>
      <c r="X187" s="2320"/>
      <c r="Y187" s="46" t="s">
        <v>6043</v>
      </c>
      <c r="Z187" s="2318" t="s">
        <v>4954</v>
      </c>
      <c r="AA187" s="2318" t="s">
        <v>1170</v>
      </c>
      <c r="AB187" s="2318" t="s">
        <v>1170</v>
      </c>
      <c r="AC187" s="2318"/>
      <c r="AD187" s="2318"/>
      <c r="AE187" s="2318"/>
      <c r="AF187" s="2342" t="s">
        <v>6044</v>
      </c>
      <c r="AG187" s="2342"/>
      <c r="AH187" s="2322"/>
    </row>
    <row r="188" spans="1:36" ht="101.5">
      <c r="A188" s="2317" t="s">
        <v>4941</v>
      </c>
      <c r="B188" s="2317"/>
      <c r="C188" s="2318" t="s">
        <v>6045</v>
      </c>
      <c r="D188" s="2318"/>
      <c r="E188" s="2318" t="s">
        <v>4952</v>
      </c>
      <c r="F188" s="1569" t="s">
        <v>361</v>
      </c>
      <c r="G188" s="1490" t="s">
        <v>1406</v>
      </c>
      <c r="H188" s="1630" t="s">
        <v>33</v>
      </c>
      <c r="I188" s="2318" t="s">
        <v>47</v>
      </c>
      <c r="J188" s="2318" t="s">
        <v>6046</v>
      </c>
      <c r="K188" s="2318"/>
      <c r="L188" s="2318"/>
      <c r="M188" s="2318"/>
      <c r="N188" s="2318"/>
      <c r="O188" s="2319">
        <v>45383</v>
      </c>
      <c r="P188" s="2320">
        <v>84</v>
      </c>
      <c r="Q188" s="2320" t="s">
        <v>1170</v>
      </c>
      <c r="R188" s="2321">
        <v>56292.83</v>
      </c>
      <c r="S188" s="2321"/>
      <c r="T188" s="2322"/>
      <c r="U188" s="2322"/>
      <c r="V188" s="2320" t="s">
        <v>1170</v>
      </c>
      <c r="W188" s="2320"/>
      <c r="X188" s="2320"/>
      <c r="Y188" s="46" t="s">
        <v>6047</v>
      </c>
      <c r="Z188" s="2318" t="s">
        <v>4954</v>
      </c>
      <c r="AA188" s="2318" t="s">
        <v>1170</v>
      </c>
      <c r="AB188" s="2318" t="s">
        <v>1170</v>
      </c>
      <c r="AC188" s="2318"/>
      <c r="AD188" s="2318"/>
      <c r="AE188" s="2318"/>
      <c r="AF188" s="2342" t="s">
        <v>6048</v>
      </c>
      <c r="AG188" s="2342"/>
      <c r="AH188" s="2322"/>
    </row>
    <row r="189" spans="1:36" ht="72.5">
      <c r="A189" s="2317" t="s">
        <v>4941</v>
      </c>
      <c r="B189" s="2317"/>
      <c r="C189" s="2318" t="s">
        <v>6049</v>
      </c>
      <c r="D189" s="2318"/>
      <c r="E189" s="2318" t="s">
        <v>4952</v>
      </c>
      <c r="F189" s="2318" t="s">
        <v>1067</v>
      </c>
      <c r="G189" s="2318" t="s">
        <v>502</v>
      </c>
      <c r="H189" s="2318" t="s">
        <v>514</v>
      </c>
      <c r="I189" s="2318" t="s">
        <v>47</v>
      </c>
      <c r="J189" s="2318" t="s">
        <v>6050</v>
      </c>
      <c r="K189" s="2318"/>
      <c r="L189" s="2318"/>
      <c r="M189" s="2318"/>
      <c r="N189" s="2318"/>
      <c r="O189" s="2319">
        <v>44895</v>
      </c>
      <c r="P189" s="2320">
        <v>36</v>
      </c>
      <c r="Q189" s="2320" t="s">
        <v>160</v>
      </c>
      <c r="R189" s="2321">
        <v>600000</v>
      </c>
      <c r="S189" s="2321"/>
      <c r="T189" s="2322" t="s">
        <v>6051</v>
      </c>
      <c r="U189" s="2322"/>
      <c r="V189" s="2320" t="s">
        <v>45</v>
      </c>
      <c r="W189" s="2320"/>
      <c r="X189" s="2320"/>
      <c r="Y189" s="2320" t="s">
        <v>6052</v>
      </c>
      <c r="Z189" s="2318" t="s">
        <v>4953</v>
      </c>
      <c r="AA189" s="2318" t="s">
        <v>1170</v>
      </c>
      <c r="AB189" s="2318" t="s">
        <v>1170</v>
      </c>
      <c r="AC189" s="2318"/>
      <c r="AD189" s="2318"/>
      <c r="AE189" s="2318"/>
      <c r="AF189" s="2342" t="s">
        <v>6053</v>
      </c>
      <c r="AG189" s="2342"/>
      <c r="AH189" s="2322"/>
    </row>
    <row r="190" spans="1:36" ht="72.5">
      <c r="A190" s="2317" t="s">
        <v>4941</v>
      </c>
      <c r="B190" s="2317"/>
      <c r="C190" s="2318" t="s">
        <v>6054</v>
      </c>
      <c r="D190" s="2318"/>
      <c r="E190" s="2318" t="s">
        <v>4952</v>
      </c>
      <c r="F190" s="2318" t="s">
        <v>630</v>
      </c>
      <c r="G190" s="2318" t="s">
        <v>1315</v>
      </c>
      <c r="H190" s="2318" t="s">
        <v>1471</v>
      </c>
      <c r="I190" s="2318" t="s">
        <v>47</v>
      </c>
      <c r="J190" s="2318" t="s">
        <v>6055</v>
      </c>
      <c r="K190" s="2318"/>
      <c r="L190" s="2318"/>
      <c r="M190" s="2318"/>
      <c r="N190" s="2318"/>
      <c r="O190" s="2319">
        <v>44901</v>
      </c>
      <c r="P190" s="2320" t="s">
        <v>1170</v>
      </c>
      <c r="Q190" s="2320" t="s">
        <v>1170</v>
      </c>
      <c r="R190" s="2321">
        <v>1337940</v>
      </c>
      <c r="S190" s="2321"/>
      <c r="T190" s="2322">
        <v>440000</v>
      </c>
      <c r="U190" s="2322"/>
      <c r="V190" s="2320" t="s">
        <v>45</v>
      </c>
      <c r="W190" s="2320"/>
      <c r="X190" s="2320"/>
      <c r="Y190" s="2320" t="s">
        <v>1170</v>
      </c>
      <c r="Z190" s="2318" t="s">
        <v>4953</v>
      </c>
      <c r="AA190" s="2318" t="s">
        <v>1170</v>
      </c>
      <c r="AB190" s="2318" t="s">
        <v>1170</v>
      </c>
      <c r="AC190" s="2318"/>
      <c r="AD190" s="2318"/>
      <c r="AE190" s="2318"/>
      <c r="AF190" s="2342" t="s">
        <v>6056</v>
      </c>
      <c r="AG190" s="2342"/>
      <c r="AH190" s="2322"/>
    </row>
    <row r="191" spans="1:36" ht="29">
      <c r="A191" s="2317" t="s">
        <v>4941</v>
      </c>
      <c r="B191" s="2317"/>
      <c r="C191" s="2318" t="s">
        <v>6057</v>
      </c>
      <c r="D191" s="2318"/>
      <c r="E191" s="2318" t="s">
        <v>4952</v>
      </c>
      <c r="F191" s="1569" t="s">
        <v>361</v>
      </c>
      <c r="G191" s="1490" t="s">
        <v>1406</v>
      </c>
      <c r="H191" s="1630" t="s">
        <v>33</v>
      </c>
      <c r="I191" s="2318" t="s">
        <v>47</v>
      </c>
      <c r="J191" s="2318" t="s">
        <v>6058</v>
      </c>
      <c r="K191" s="2318"/>
      <c r="L191" s="2318"/>
      <c r="M191" s="2318"/>
      <c r="N191" s="2318"/>
      <c r="O191" s="2319">
        <v>44478</v>
      </c>
      <c r="P191" s="2320">
        <v>12</v>
      </c>
      <c r="Q191" s="2320" t="s">
        <v>1170</v>
      </c>
      <c r="R191" s="2321" t="s">
        <v>1170</v>
      </c>
      <c r="S191" s="2321"/>
      <c r="T191" s="2322"/>
      <c r="U191" s="2322"/>
      <c r="V191" s="2320" t="s">
        <v>1170</v>
      </c>
      <c r="W191" s="2320"/>
      <c r="X191" s="2320"/>
      <c r="Y191" s="2320" t="s">
        <v>1251</v>
      </c>
      <c r="Z191" s="2318" t="s">
        <v>4954</v>
      </c>
      <c r="AA191" s="2318" t="s">
        <v>1170</v>
      </c>
      <c r="AB191" s="2318" t="s">
        <v>1170</v>
      </c>
      <c r="AC191" s="2318"/>
      <c r="AD191" s="2318"/>
      <c r="AE191" s="2318"/>
      <c r="AF191" s="2342" t="s">
        <v>6059</v>
      </c>
      <c r="AG191" s="2342"/>
      <c r="AH191" s="2322"/>
    </row>
    <row r="192" spans="1:36" ht="43.5">
      <c r="A192" s="2332">
        <v>44960</v>
      </c>
      <c r="B192" s="2332"/>
      <c r="C192" s="2333" t="s">
        <v>6060</v>
      </c>
      <c r="D192" s="2333"/>
      <c r="E192" s="2333" t="s">
        <v>4961</v>
      </c>
      <c r="F192" s="2333" t="s">
        <v>361</v>
      </c>
      <c r="G192" s="2333" t="s">
        <v>362</v>
      </c>
      <c r="H192" s="2333" t="s">
        <v>4962</v>
      </c>
      <c r="I192" s="2333" t="s">
        <v>1170</v>
      </c>
      <c r="J192" s="2333" t="s">
        <v>6061</v>
      </c>
      <c r="K192" s="2333" t="s">
        <v>5032</v>
      </c>
      <c r="L192" s="2333"/>
      <c r="M192" s="2333"/>
      <c r="N192" s="2333"/>
      <c r="O192" s="2338" t="s">
        <v>5031</v>
      </c>
      <c r="P192" s="2333"/>
      <c r="Q192" s="2333"/>
      <c r="R192" s="2339">
        <v>56970.9</v>
      </c>
      <c r="S192" s="2339"/>
      <c r="T192" s="2333"/>
      <c r="U192" s="2333"/>
      <c r="V192" s="2333"/>
      <c r="W192" s="2333"/>
      <c r="X192" s="2333"/>
      <c r="Y192" s="2333"/>
      <c r="Z192" s="2333"/>
      <c r="AA192" s="2333"/>
      <c r="AB192" s="2333"/>
      <c r="AC192" s="2333"/>
      <c r="AD192" s="2333"/>
      <c r="AE192" s="2333"/>
      <c r="AF192" s="2752" t="s">
        <v>5565</v>
      </c>
      <c r="AG192" s="2752"/>
      <c r="AH192" s="2333"/>
    </row>
    <row r="193" spans="1:34" ht="29">
      <c r="A193" s="2332">
        <v>44960</v>
      </c>
      <c r="B193" s="2332"/>
      <c r="C193" s="2333" t="s">
        <v>6062</v>
      </c>
      <c r="D193" s="2333"/>
      <c r="E193" s="2333" t="s">
        <v>4961</v>
      </c>
      <c r="F193" s="1569" t="s">
        <v>361</v>
      </c>
      <c r="G193" s="1490" t="s">
        <v>1406</v>
      </c>
      <c r="H193" s="1630" t="s">
        <v>33</v>
      </c>
      <c r="I193" s="2333" t="s">
        <v>1170</v>
      </c>
      <c r="J193" s="2333" t="s">
        <v>6063</v>
      </c>
      <c r="K193" s="2333" t="s">
        <v>6064</v>
      </c>
      <c r="L193" s="2333"/>
      <c r="M193" s="2333"/>
      <c r="N193" s="2333"/>
      <c r="O193" s="2338" t="s">
        <v>6065</v>
      </c>
      <c r="P193" s="2333"/>
      <c r="Q193" s="2333"/>
      <c r="R193" s="2339">
        <v>58553.42</v>
      </c>
      <c r="S193" s="2339"/>
      <c r="T193" s="2333"/>
      <c r="U193" s="2333"/>
      <c r="V193" s="2333"/>
      <c r="W193" s="2333"/>
      <c r="X193" s="2333"/>
      <c r="Y193" s="2333"/>
      <c r="Z193" s="2333"/>
      <c r="AA193" s="2333"/>
      <c r="AB193" s="2333"/>
      <c r="AC193" s="2333"/>
      <c r="AD193" s="2333"/>
      <c r="AE193" s="2333"/>
      <c r="AF193" s="2752" t="s">
        <v>5034</v>
      </c>
      <c r="AG193" s="2752"/>
      <c r="AH193" s="2333"/>
    </row>
    <row r="194" spans="1:34" ht="29">
      <c r="A194" s="2332">
        <v>44960</v>
      </c>
      <c r="B194" s="2332"/>
      <c r="C194" s="2336" t="s">
        <v>6066</v>
      </c>
      <c r="D194" s="2336"/>
      <c r="E194" s="2333" t="s">
        <v>4961</v>
      </c>
      <c r="F194" s="1569" t="s">
        <v>361</v>
      </c>
      <c r="G194" s="1490" t="s">
        <v>1406</v>
      </c>
      <c r="H194" s="1630" t="s">
        <v>33</v>
      </c>
      <c r="I194" s="2336" t="s">
        <v>1170</v>
      </c>
      <c r="J194" s="2336" t="s">
        <v>6067</v>
      </c>
      <c r="K194" s="2336" t="s">
        <v>1105</v>
      </c>
      <c r="L194" s="2336"/>
      <c r="M194" s="2336"/>
      <c r="N194" s="2336"/>
      <c r="O194" s="2340" t="s">
        <v>6068</v>
      </c>
      <c r="P194" s="2333"/>
      <c r="Q194" s="2333"/>
      <c r="R194" s="2341">
        <v>121203</v>
      </c>
      <c r="S194" s="2341"/>
      <c r="T194" s="2333"/>
      <c r="U194" s="2333"/>
      <c r="V194" s="2333"/>
      <c r="W194" s="2333"/>
      <c r="X194" s="2333"/>
      <c r="Y194" s="2333"/>
      <c r="Z194" s="2333"/>
      <c r="AA194" s="2333"/>
      <c r="AB194" s="2333"/>
      <c r="AC194" s="2333"/>
      <c r="AD194" s="2333"/>
      <c r="AE194" s="2333"/>
      <c r="AF194" s="2752" t="s">
        <v>5034</v>
      </c>
      <c r="AG194" s="2752"/>
      <c r="AH194" s="2333"/>
    </row>
    <row r="195" spans="1:34" ht="39">
      <c r="A195" s="2332">
        <v>44960</v>
      </c>
      <c r="B195" s="2332"/>
      <c r="C195" s="2333" t="s">
        <v>6069</v>
      </c>
      <c r="D195" s="2333"/>
      <c r="E195" s="2333" t="s">
        <v>4961</v>
      </c>
      <c r="F195" s="1569" t="s">
        <v>361</v>
      </c>
      <c r="G195" s="2189" t="s">
        <v>362</v>
      </c>
      <c r="H195" s="1630" t="s">
        <v>279</v>
      </c>
      <c r="I195" s="2333" t="s">
        <v>1170</v>
      </c>
      <c r="J195" s="2333" t="s">
        <v>6070</v>
      </c>
      <c r="K195" s="2333" t="s">
        <v>5024</v>
      </c>
      <c r="L195" s="2333"/>
      <c r="M195" s="2333"/>
      <c r="N195" s="2333"/>
      <c r="O195" s="2338" t="s">
        <v>5029</v>
      </c>
      <c r="P195" s="2333"/>
      <c r="Q195" s="2333"/>
      <c r="R195" s="2339">
        <v>129643.84</v>
      </c>
      <c r="S195" s="2339"/>
      <c r="T195" s="2333"/>
      <c r="U195" s="2333"/>
      <c r="V195" s="2333"/>
      <c r="W195" s="2333"/>
      <c r="X195" s="2333"/>
      <c r="Y195" s="2333"/>
      <c r="Z195" s="2333"/>
      <c r="AA195" s="2333"/>
      <c r="AB195" s="2333"/>
      <c r="AC195" s="2333"/>
      <c r="AD195" s="2333"/>
      <c r="AE195" s="2333"/>
      <c r="AF195" s="2752" t="s">
        <v>6071</v>
      </c>
      <c r="AG195" s="2752"/>
      <c r="AH195" s="2333"/>
    </row>
    <row r="196" spans="1:34" ht="43.5">
      <c r="A196" s="2332">
        <v>44960</v>
      </c>
      <c r="B196" s="2332"/>
      <c r="C196" s="2333" t="s">
        <v>6072</v>
      </c>
      <c r="D196" s="2333"/>
      <c r="E196" s="2333" t="s">
        <v>4961</v>
      </c>
      <c r="F196" s="2333" t="s">
        <v>361</v>
      </c>
      <c r="G196" s="2333" t="s">
        <v>362</v>
      </c>
      <c r="H196" s="2333" t="s">
        <v>4949</v>
      </c>
      <c r="I196" s="2333" t="s">
        <v>1170</v>
      </c>
      <c r="J196" s="2333" t="s">
        <v>6073</v>
      </c>
      <c r="K196" s="2333" t="s">
        <v>6074</v>
      </c>
      <c r="L196" s="2333"/>
      <c r="M196" s="2333"/>
      <c r="N196" s="2333"/>
      <c r="O196" s="2338" t="s">
        <v>6075</v>
      </c>
      <c r="P196" s="2333"/>
      <c r="Q196" s="2333"/>
      <c r="R196" s="2339">
        <v>132098.63</v>
      </c>
      <c r="S196" s="2339"/>
      <c r="T196" s="2333"/>
      <c r="U196" s="2333"/>
      <c r="V196" s="2333"/>
      <c r="W196" s="2333"/>
      <c r="X196" s="2333"/>
      <c r="Y196" s="2333"/>
      <c r="Z196" s="2333"/>
      <c r="AA196" s="2333"/>
      <c r="AB196" s="2333"/>
      <c r="AC196" s="2333"/>
      <c r="AD196" s="2333"/>
      <c r="AE196" s="2333"/>
      <c r="AF196" s="2752" t="s">
        <v>6076</v>
      </c>
      <c r="AG196" s="2752"/>
      <c r="AH196" s="2333"/>
    </row>
    <row r="197" spans="1:34" ht="29">
      <c r="A197" s="2332">
        <v>44960</v>
      </c>
      <c r="B197" s="2332"/>
      <c r="C197" s="2333" t="s">
        <v>6077</v>
      </c>
      <c r="D197" s="2333"/>
      <c r="E197" s="2333" t="s">
        <v>4961</v>
      </c>
      <c r="F197" s="1569" t="s">
        <v>361</v>
      </c>
      <c r="G197" s="1490" t="s">
        <v>1406</v>
      </c>
      <c r="H197" s="1630" t="s">
        <v>33</v>
      </c>
      <c r="I197" s="2333" t="s">
        <v>1170</v>
      </c>
      <c r="J197" s="2333" t="s">
        <v>6078</v>
      </c>
      <c r="K197" s="2333" t="s">
        <v>5030</v>
      </c>
      <c r="L197" s="2333"/>
      <c r="M197" s="2333"/>
      <c r="N197" s="2333"/>
      <c r="O197" s="2338" t="s">
        <v>5031</v>
      </c>
      <c r="P197" s="2333"/>
      <c r="Q197" s="2333"/>
      <c r="R197" s="2339">
        <v>133762.88</v>
      </c>
      <c r="S197" s="2339"/>
      <c r="T197" s="2333"/>
      <c r="U197" s="2333"/>
      <c r="V197" s="2333"/>
      <c r="W197" s="2333"/>
      <c r="X197" s="2333"/>
      <c r="Y197" s="2333"/>
      <c r="Z197" s="2333"/>
      <c r="AA197" s="2333"/>
      <c r="AB197" s="2333"/>
      <c r="AC197" s="2333"/>
      <c r="AD197" s="2333"/>
      <c r="AE197" s="2333"/>
      <c r="AF197" s="2752" t="s">
        <v>5034</v>
      </c>
      <c r="AG197" s="2752"/>
      <c r="AH197" s="2333"/>
    </row>
    <row r="198" spans="1:34" ht="29">
      <c r="A198" s="2332">
        <v>44960</v>
      </c>
      <c r="B198" s="2332"/>
      <c r="C198" s="2333" t="s">
        <v>6079</v>
      </c>
      <c r="D198" s="2333"/>
      <c r="E198" s="2333" t="s">
        <v>4961</v>
      </c>
      <c r="F198" s="2333" t="s">
        <v>361</v>
      </c>
      <c r="G198" s="2333" t="s">
        <v>1440</v>
      </c>
      <c r="H198" s="2333" t="s">
        <v>33</v>
      </c>
      <c r="I198" s="2333" t="s">
        <v>1170</v>
      </c>
      <c r="J198" s="2333" t="s">
        <v>6080</v>
      </c>
      <c r="K198" s="2333" t="s">
        <v>1556</v>
      </c>
      <c r="L198" s="2333"/>
      <c r="M198" s="2333"/>
      <c r="N198" s="2333"/>
      <c r="O198" s="2338" t="s">
        <v>5031</v>
      </c>
      <c r="P198" s="2333"/>
      <c r="Q198" s="2333"/>
      <c r="R198" s="2339">
        <v>72338.3</v>
      </c>
      <c r="S198" s="2339"/>
      <c r="T198" s="2333"/>
      <c r="U198" s="2333"/>
      <c r="V198" s="2333"/>
      <c r="W198" s="2333"/>
      <c r="X198" s="2333"/>
      <c r="Y198" s="2333"/>
      <c r="Z198" s="2333"/>
      <c r="AA198" s="2333"/>
      <c r="AB198" s="2333"/>
      <c r="AC198" s="2333"/>
      <c r="AD198" s="2333"/>
      <c r="AE198" s="2333"/>
      <c r="AF198" s="2752" t="s">
        <v>5034</v>
      </c>
      <c r="AG198" s="2752"/>
      <c r="AH198" s="2333"/>
    </row>
    <row r="199" spans="1:34" ht="29">
      <c r="A199" s="2332">
        <v>44960</v>
      </c>
      <c r="B199" s="2332"/>
      <c r="C199" s="2333" t="s">
        <v>6081</v>
      </c>
      <c r="D199" s="2333"/>
      <c r="E199" s="2333" t="s">
        <v>4961</v>
      </c>
      <c r="F199" s="1569" t="s">
        <v>361</v>
      </c>
      <c r="G199" s="1490" t="s">
        <v>1406</v>
      </c>
      <c r="H199" s="1630" t="s">
        <v>33</v>
      </c>
      <c r="I199" s="2333" t="s">
        <v>1170</v>
      </c>
      <c r="J199" s="2333" t="s">
        <v>6082</v>
      </c>
      <c r="K199" s="2333" t="s">
        <v>6064</v>
      </c>
      <c r="L199" s="2333"/>
      <c r="M199" s="2333"/>
      <c r="N199" s="2333"/>
      <c r="O199" s="2338" t="s">
        <v>6065</v>
      </c>
      <c r="P199" s="2333"/>
      <c r="Q199" s="2333"/>
      <c r="R199" s="2339">
        <v>73813.350000000006</v>
      </c>
      <c r="S199" s="2339"/>
      <c r="T199" s="2333"/>
      <c r="U199" s="2333"/>
      <c r="V199" s="2333"/>
      <c r="W199" s="2333"/>
      <c r="X199" s="2333"/>
      <c r="Y199" s="2333"/>
      <c r="Z199" s="2333"/>
      <c r="AA199" s="2333"/>
      <c r="AB199" s="2333"/>
      <c r="AC199" s="2333"/>
      <c r="AD199" s="2333"/>
      <c r="AE199" s="2333"/>
      <c r="AF199" s="2752" t="s">
        <v>5034</v>
      </c>
      <c r="AG199" s="2752"/>
      <c r="AH199" s="2333"/>
    </row>
    <row r="200" spans="1:34" ht="29">
      <c r="A200" s="2332">
        <v>44960</v>
      </c>
      <c r="B200" s="2332"/>
      <c r="C200" s="2333" t="s">
        <v>6083</v>
      </c>
      <c r="D200" s="2333"/>
      <c r="E200" s="2333" t="s">
        <v>4961</v>
      </c>
      <c r="F200" s="1569" t="s">
        <v>361</v>
      </c>
      <c r="G200" s="1490" t="s">
        <v>1406</v>
      </c>
      <c r="H200" s="1630" t="s">
        <v>33</v>
      </c>
      <c r="I200" s="2333" t="s">
        <v>1170</v>
      </c>
      <c r="J200" s="2333" t="s">
        <v>6084</v>
      </c>
      <c r="K200" s="2333" t="s">
        <v>4999</v>
      </c>
      <c r="L200" s="2333"/>
      <c r="M200" s="2333"/>
      <c r="N200" s="2333"/>
      <c r="O200" s="2338" t="s">
        <v>6085</v>
      </c>
      <c r="P200" s="2333"/>
      <c r="Q200" s="2333"/>
      <c r="R200" s="2339">
        <v>81000</v>
      </c>
      <c r="S200" s="2339"/>
      <c r="T200" s="2333"/>
      <c r="U200" s="2333"/>
      <c r="V200" s="2333"/>
      <c r="W200" s="2333"/>
      <c r="X200" s="2333"/>
      <c r="Y200" s="2333"/>
      <c r="Z200" s="2333"/>
      <c r="AA200" s="2333"/>
      <c r="AB200" s="2333"/>
      <c r="AC200" s="2333"/>
      <c r="AD200" s="2333"/>
      <c r="AE200" s="2333"/>
      <c r="AF200" s="2752" t="s">
        <v>6086</v>
      </c>
      <c r="AG200" s="2752"/>
      <c r="AH200" s="2333"/>
    </row>
    <row r="201" spans="1:34" ht="29">
      <c r="A201" s="2332">
        <v>44960</v>
      </c>
      <c r="B201" s="2332"/>
      <c r="C201" s="2333" t="s">
        <v>6087</v>
      </c>
      <c r="D201" s="2333"/>
      <c r="E201" s="2333" t="s">
        <v>4961</v>
      </c>
      <c r="F201" s="2333" t="s">
        <v>361</v>
      </c>
      <c r="G201" s="2333" t="s">
        <v>1440</v>
      </c>
      <c r="H201" s="2333" t="s">
        <v>33</v>
      </c>
      <c r="I201" s="2333" t="s">
        <v>1170</v>
      </c>
      <c r="J201" s="2333" t="s">
        <v>6088</v>
      </c>
      <c r="K201" s="2333" t="s">
        <v>1105</v>
      </c>
      <c r="L201" s="2333"/>
      <c r="M201" s="2333"/>
      <c r="N201" s="2333"/>
      <c r="O201" s="2338">
        <v>45292</v>
      </c>
      <c r="P201" s="2333"/>
      <c r="Q201" s="2333"/>
      <c r="R201" s="2339">
        <v>86117.81</v>
      </c>
      <c r="S201" s="2339"/>
      <c r="T201" s="2333"/>
      <c r="U201" s="2333"/>
      <c r="V201" s="2333"/>
      <c r="W201" s="2333"/>
      <c r="X201" s="2333"/>
      <c r="Y201" s="2333"/>
      <c r="Z201" s="2333"/>
      <c r="AA201" s="2333"/>
      <c r="AB201" s="2333"/>
      <c r="AC201" s="2333"/>
      <c r="AD201" s="2333"/>
      <c r="AE201" s="2333"/>
      <c r="AF201" s="2752" t="s">
        <v>6089</v>
      </c>
      <c r="AG201" s="2752"/>
      <c r="AH201" s="2333"/>
    </row>
    <row r="202" spans="1:34" ht="29">
      <c r="A202" s="2332">
        <v>44960</v>
      </c>
      <c r="B202" s="2332"/>
      <c r="C202" s="2333" t="s">
        <v>6090</v>
      </c>
      <c r="D202" s="2333"/>
      <c r="E202" s="2333" t="s">
        <v>4961</v>
      </c>
      <c r="F202" s="2333" t="s">
        <v>361</v>
      </c>
      <c r="G202" s="2333" t="s">
        <v>1440</v>
      </c>
      <c r="H202" s="2333" t="s">
        <v>33</v>
      </c>
      <c r="I202" s="2333" t="s">
        <v>1170</v>
      </c>
      <c r="J202" s="2333" t="s">
        <v>6091</v>
      </c>
      <c r="K202" s="2333" t="s">
        <v>5030</v>
      </c>
      <c r="L202" s="2333"/>
      <c r="M202" s="2333"/>
      <c r="N202" s="2333"/>
      <c r="O202" s="2338" t="s">
        <v>5031</v>
      </c>
      <c r="P202" s="2333"/>
      <c r="Q202" s="2333"/>
      <c r="R202" s="2339">
        <v>104852.84</v>
      </c>
      <c r="S202" s="2339"/>
      <c r="T202" s="2333"/>
      <c r="U202" s="2333"/>
      <c r="V202" s="2333"/>
      <c r="W202" s="2333"/>
      <c r="X202" s="2333"/>
      <c r="Y202" s="2333"/>
      <c r="Z202" s="2333"/>
      <c r="AA202" s="2333"/>
      <c r="AB202" s="2333"/>
      <c r="AC202" s="2333"/>
      <c r="AD202" s="2333"/>
      <c r="AE202" s="2333"/>
      <c r="AF202" s="2752" t="s">
        <v>5034</v>
      </c>
      <c r="AG202" s="2752"/>
      <c r="AH202" s="2333"/>
    </row>
    <row r="203" spans="1:34" ht="29">
      <c r="A203" s="2332">
        <v>44960</v>
      </c>
      <c r="B203" s="2332"/>
      <c r="C203" s="2333" t="s">
        <v>6092</v>
      </c>
      <c r="D203" s="2333"/>
      <c r="E203" s="2333" t="s">
        <v>4961</v>
      </c>
      <c r="F203" s="2333" t="s">
        <v>361</v>
      </c>
      <c r="G203" s="2333" t="s">
        <v>1440</v>
      </c>
      <c r="H203" s="2333" t="s">
        <v>33</v>
      </c>
      <c r="I203" s="2333" t="s">
        <v>1170</v>
      </c>
      <c r="J203" s="2333" t="s">
        <v>6093</v>
      </c>
      <c r="K203" s="2333" t="s">
        <v>1105</v>
      </c>
      <c r="L203" s="2333"/>
      <c r="M203" s="2333"/>
      <c r="N203" s="2333"/>
      <c r="O203" s="2338" t="s">
        <v>6094</v>
      </c>
      <c r="P203" s="2333"/>
      <c r="Q203" s="2333"/>
      <c r="R203" s="2339">
        <v>105057.53</v>
      </c>
      <c r="S203" s="2339"/>
      <c r="T203" s="2333"/>
      <c r="U203" s="2333"/>
      <c r="V203" s="2333"/>
      <c r="W203" s="2333"/>
      <c r="X203" s="2333"/>
      <c r="Y203" s="2333"/>
      <c r="Z203" s="2333"/>
      <c r="AA203" s="2333"/>
      <c r="AB203" s="2333"/>
      <c r="AC203" s="2333"/>
      <c r="AD203" s="2333"/>
      <c r="AE203" s="2333"/>
      <c r="AF203" s="2752" t="s">
        <v>6095</v>
      </c>
      <c r="AG203" s="2752"/>
      <c r="AH203" s="2333"/>
    </row>
    <row r="204" spans="1:34" ht="43.5">
      <c r="A204" s="2317" t="s">
        <v>4941</v>
      </c>
      <c r="B204" s="2317"/>
      <c r="C204" s="2758" t="s">
        <v>6096</v>
      </c>
      <c r="D204" s="2758"/>
      <c r="E204" s="2758" t="s">
        <v>5021</v>
      </c>
      <c r="F204" s="2758" t="s">
        <v>361</v>
      </c>
      <c r="G204" s="2758" t="s">
        <v>4943</v>
      </c>
      <c r="H204" s="2758" t="s">
        <v>279</v>
      </c>
      <c r="I204" s="2758">
        <v>1</v>
      </c>
      <c r="J204" s="2758" t="s">
        <v>6097</v>
      </c>
      <c r="K204" s="2758"/>
      <c r="L204" s="2758"/>
      <c r="M204" s="2758"/>
      <c r="N204" s="2758"/>
      <c r="O204" s="2942">
        <v>45295</v>
      </c>
      <c r="P204" s="2751"/>
      <c r="Q204" s="2751"/>
      <c r="R204" s="2943">
        <v>193252.5</v>
      </c>
      <c r="S204" s="2943"/>
      <c r="T204" s="2931"/>
      <c r="U204" s="2931"/>
      <c r="V204" s="2751" t="s">
        <v>45</v>
      </c>
      <c r="W204" s="2751"/>
      <c r="X204" s="2751"/>
      <c r="Y204" s="2751" t="s">
        <v>4486</v>
      </c>
      <c r="Z204" s="2758"/>
      <c r="AA204" s="2758"/>
      <c r="AB204" s="2758"/>
      <c r="AC204" s="2758"/>
      <c r="AD204" s="2758"/>
      <c r="AE204" s="2758"/>
      <c r="AF204" s="2752" t="s">
        <v>6071</v>
      </c>
      <c r="AG204" s="2752"/>
      <c r="AH204" s="2931"/>
    </row>
    <row r="205" spans="1:34" ht="29">
      <c r="A205" s="2332">
        <v>44960</v>
      </c>
      <c r="B205" s="2332"/>
      <c r="C205" s="2333" t="s">
        <v>6098</v>
      </c>
      <c r="D205" s="2333"/>
      <c r="E205" s="2333" t="s">
        <v>4961</v>
      </c>
      <c r="F205" s="2333" t="s">
        <v>361</v>
      </c>
      <c r="G205" s="2333" t="s">
        <v>1440</v>
      </c>
      <c r="H205" s="2333" t="s">
        <v>33</v>
      </c>
      <c r="I205" s="2333" t="s">
        <v>1170</v>
      </c>
      <c r="J205" s="2333" t="s">
        <v>6099</v>
      </c>
      <c r="K205" s="2333" t="s">
        <v>1556</v>
      </c>
      <c r="L205" s="2333"/>
      <c r="M205" s="2333"/>
      <c r="N205" s="2333"/>
      <c r="O205" s="2338" t="s">
        <v>6100</v>
      </c>
      <c r="P205" s="2333"/>
      <c r="Q205" s="2333"/>
      <c r="R205" s="2339">
        <v>197100</v>
      </c>
      <c r="S205" s="2339"/>
      <c r="T205" s="2333"/>
      <c r="U205" s="2333"/>
      <c r="V205" s="2333"/>
      <c r="W205" s="2333"/>
      <c r="X205" s="2333"/>
      <c r="Y205" s="2333"/>
      <c r="Z205" s="2333"/>
      <c r="AA205" s="2333"/>
      <c r="AB205" s="2333"/>
      <c r="AC205" s="2333"/>
      <c r="AD205" s="2333"/>
      <c r="AE205" s="2333"/>
      <c r="AF205" s="2752" t="s">
        <v>5034</v>
      </c>
      <c r="AG205" s="2752"/>
      <c r="AH205" s="2333"/>
    </row>
    <row r="206" spans="1:34" ht="43.5">
      <c r="A206" s="2317" t="s">
        <v>4941</v>
      </c>
      <c r="B206" s="2317"/>
      <c r="C206" s="2758" t="s">
        <v>6101</v>
      </c>
      <c r="D206" s="2758"/>
      <c r="E206" s="2758" t="s">
        <v>5021</v>
      </c>
      <c r="F206" s="2758" t="s">
        <v>361</v>
      </c>
      <c r="G206" s="2758" t="s">
        <v>4943</v>
      </c>
      <c r="H206" s="2758" t="s">
        <v>279</v>
      </c>
      <c r="I206" s="2758">
        <v>1</v>
      </c>
      <c r="J206" s="2758" t="s">
        <v>6102</v>
      </c>
      <c r="K206" s="2758"/>
      <c r="L206" s="2758"/>
      <c r="M206" s="2758"/>
      <c r="N206" s="2758"/>
      <c r="O206" s="2942">
        <v>45295</v>
      </c>
      <c r="P206" s="2751"/>
      <c r="Q206" s="2751"/>
      <c r="R206" s="2943">
        <v>199947.84</v>
      </c>
      <c r="S206" s="2943"/>
      <c r="T206" s="2931"/>
      <c r="U206" s="2931"/>
      <c r="V206" s="2751" t="s">
        <v>45</v>
      </c>
      <c r="W206" s="2751"/>
      <c r="X206" s="2751"/>
      <c r="Y206" s="2751" t="s">
        <v>4486</v>
      </c>
      <c r="Z206" s="2758"/>
      <c r="AA206" s="2758"/>
      <c r="AB206" s="2758"/>
      <c r="AC206" s="2758"/>
      <c r="AD206" s="2758"/>
      <c r="AE206" s="2758"/>
      <c r="AF206" s="2752" t="s">
        <v>6071</v>
      </c>
      <c r="AG206" s="2752"/>
      <c r="AH206" s="2931"/>
    </row>
    <row r="207" spans="1:34" ht="29">
      <c r="A207" s="2332">
        <v>44960</v>
      </c>
      <c r="B207" s="2332"/>
      <c r="C207" s="2333" t="s">
        <v>6103</v>
      </c>
      <c r="D207" s="2333"/>
      <c r="E207" s="2333" t="s">
        <v>4961</v>
      </c>
      <c r="F207" s="2333" t="s">
        <v>1067</v>
      </c>
      <c r="G207" s="2333" t="s">
        <v>1406</v>
      </c>
      <c r="H207" s="2333" t="s">
        <v>33</v>
      </c>
      <c r="I207" s="2333" t="s">
        <v>1170</v>
      </c>
      <c r="J207" s="2333" t="s">
        <v>6104</v>
      </c>
      <c r="K207" s="2333" t="s">
        <v>6105</v>
      </c>
      <c r="L207" s="2333"/>
      <c r="M207" s="2333"/>
      <c r="N207" s="2333"/>
      <c r="O207" s="2338" t="s">
        <v>5035</v>
      </c>
      <c r="P207" s="2333"/>
      <c r="Q207" s="2333"/>
      <c r="R207" s="2339">
        <v>164200</v>
      </c>
      <c r="S207" s="2339"/>
      <c r="T207" s="2333"/>
      <c r="U207" s="2333"/>
      <c r="V207" s="2333"/>
      <c r="W207" s="2333"/>
      <c r="X207" s="2333"/>
      <c r="Y207" s="2333"/>
      <c r="Z207" s="2333"/>
      <c r="AA207" s="2333"/>
      <c r="AB207" s="2333"/>
      <c r="AC207" s="2333"/>
      <c r="AD207" s="2333"/>
      <c r="AE207" s="2333"/>
      <c r="AF207" s="2752" t="s">
        <v>5034</v>
      </c>
      <c r="AG207" s="2752"/>
      <c r="AH207" s="2333"/>
    </row>
    <row r="208" spans="1:34" ht="29">
      <c r="A208" s="2332">
        <v>44960</v>
      </c>
      <c r="B208" s="2332"/>
      <c r="C208" s="2333" t="s">
        <v>6106</v>
      </c>
      <c r="D208" s="2333"/>
      <c r="E208" s="2333" t="s">
        <v>4961</v>
      </c>
      <c r="F208" s="2333" t="s">
        <v>1103</v>
      </c>
      <c r="G208" s="2333" t="s">
        <v>1406</v>
      </c>
      <c r="H208" s="2333" t="s">
        <v>33</v>
      </c>
      <c r="I208" s="2333" t="s">
        <v>1170</v>
      </c>
      <c r="J208" s="2333" t="s">
        <v>6107</v>
      </c>
      <c r="K208" s="2333" t="s">
        <v>6108</v>
      </c>
      <c r="L208" s="2333"/>
      <c r="M208" s="2333"/>
      <c r="N208" s="2333"/>
      <c r="O208" s="2338" t="s">
        <v>6109</v>
      </c>
      <c r="P208" s="2333"/>
      <c r="Q208" s="2333"/>
      <c r="R208" s="2339">
        <v>175444.93</v>
      </c>
      <c r="S208" s="2339"/>
      <c r="T208" s="2333"/>
      <c r="U208" s="2333"/>
      <c r="V208" s="2333"/>
      <c r="W208" s="2333"/>
      <c r="X208" s="2333"/>
      <c r="Y208" s="2333"/>
      <c r="Z208" s="2333"/>
      <c r="AA208" s="2333"/>
      <c r="AB208" s="2333"/>
      <c r="AC208" s="2333"/>
      <c r="AD208" s="2333"/>
      <c r="AE208" s="2333"/>
      <c r="AF208" s="2752" t="s">
        <v>5034</v>
      </c>
      <c r="AG208" s="2752"/>
      <c r="AH208" s="2333"/>
    </row>
    <row r="209" spans="1:34" ht="58">
      <c r="A209" s="2332">
        <v>44960</v>
      </c>
      <c r="B209" s="2332"/>
      <c r="C209" s="2333" t="s">
        <v>6110</v>
      </c>
      <c r="D209" s="2333"/>
      <c r="E209" s="2333" t="s">
        <v>4961</v>
      </c>
      <c r="F209" s="2333" t="s">
        <v>630</v>
      </c>
      <c r="G209" s="2333" t="s">
        <v>1360</v>
      </c>
      <c r="H209" s="2333" t="s">
        <v>4959</v>
      </c>
      <c r="I209" s="2333" t="s">
        <v>1170</v>
      </c>
      <c r="J209" s="2333" t="s">
        <v>6111</v>
      </c>
      <c r="K209" s="2333" t="s">
        <v>2056</v>
      </c>
      <c r="L209" s="2333"/>
      <c r="M209" s="2333"/>
      <c r="N209" s="2333"/>
      <c r="O209" s="2338" t="s">
        <v>5031</v>
      </c>
      <c r="P209" s="2333"/>
      <c r="Q209" s="2333"/>
      <c r="R209" s="2339">
        <v>145150.68</v>
      </c>
      <c r="S209" s="2339"/>
      <c r="T209" s="2333"/>
      <c r="U209" s="2333"/>
      <c r="V209" s="2333"/>
      <c r="W209" s="2333"/>
      <c r="X209" s="2333"/>
      <c r="Y209" s="2333"/>
      <c r="Z209" s="2333"/>
      <c r="AA209" s="2333"/>
      <c r="AB209" s="2333"/>
      <c r="AC209" s="2333"/>
      <c r="AD209" s="2333"/>
      <c r="AE209" s="2333"/>
      <c r="AF209" s="2752" t="s">
        <v>5034</v>
      </c>
      <c r="AG209" s="2752"/>
      <c r="AH209" s="2333"/>
    </row>
    <row r="210" spans="1:34" ht="29">
      <c r="A210" s="2317" t="s">
        <v>4941</v>
      </c>
      <c r="B210" s="2317"/>
      <c r="C210" s="2758" t="s">
        <v>6112</v>
      </c>
      <c r="D210" s="2758"/>
      <c r="E210" s="2758" t="s">
        <v>5021</v>
      </c>
      <c r="F210" s="1569" t="s">
        <v>361</v>
      </c>
      <c r="G210" s="1490" t="s">
        <v>1406</v>
      </c>
      <c r="H210" s="1630" t="s">
        <v>33</v>
      </c>
      <c r="I210" s="2758">
        <v>1</v>
      </c>
      <c r="J210" s="2758" t="s">
        <v>6113</v>
      </c>
      <c r="K210" s="2758"/>
      <c r="L210" s="2758"/>
      <c r="M210" s="2758"/>
      <c r="N210" s="2758"/>
      <c r="O210" s="2942">
        <v>45295</v>
      </c>
      <c r="P210" s="2751"/>
      <c r="Q210" s="2751"/>
      <c r="R210" s="2943">
        <v>65615</v>
      </c>
      <c r="S210" s="2943"/>
      <c r="T210" s="2931"/>
      <c r="U210" s="2931"/>
      <c r="V210" s="2751" t="s">
        <v>45</v>
      </c>
      <c r="W210" s="2751"/>
      <c r="X210" s="2751"/>
      <c r="Y210" s="2751" t="s">
        <v>1189</v>
      </c>
      <c r="Z210" s="2758"/>
      <c r="AA210" s="2758"/>
      <c r="AB210" s="2758"/>
      <c r="AC210" s="2758"/>
      <c r="AD210" s="2758"/>
      <c r="AE210" s="2758"/>
      <c r="AF210" s="2752" t="s">
        <v>5034</v>
      </c>
      <c r="AG210" s="2752"/>
      <c r="AH210" s="2931"/>
    </row>
    <row r="211" spans="1:34" ht="58">
      <c r="A211" s="2332">
        <v>44960</v>
      </c>
      <c r="B211" s="2332"/>
      <c r="C211" s="2333" t="s">
        <v>6114</v>
      </c>
      <c r="D211" s="2333"/>
      <c r="E211" s="2333" t="s">
        <v>4961</v>
      </c>
      <c r="F211" s="1569" t="s">
        <v>630</v>
      </c>
      <c r="G211" s="2333" t="s">
        <v>1360</v>
      </c>
      <c r="H211" s="2333" t="s">
        <v>4950</v>
      </c>
      <c r="I211" s="2333" t="s">
        <v>1170</v>
      </c>
      <c r="J211" s="2333" t="s">
        <v>6115</v>
      </c>
      <c r="K211" s="2333" t="s">
        <v>6116</v>
      </c>
      <c r="L211" s="2333"/>
      <c r="M211" s="2333"/>
      <c r="N211" s="2333"/>
      <c r="O211" s="2338" t="s">
        <v>6117</v>
      </c>
      <c r="P211" s="2333"/>
      <c r="Q211" s="2333"/>
      <c r="R211" s="2339">
        <v>220000</v>
      </c>
      <c r="S211" s="2339"/>
      <c r="T211" s="2333"/>
      <c r="U211" s="2333"/>
      <c r="V211" s="2333"/>
      <c r="W211" s="2333"/>
      <c r="X211" s="2333"/>
      <c r="Y211" s="2333"/>
      <c r="Z211" s="2333"/>
      <c r="AA211" s="2333"/>
      <c r="AB211" s="2333"/>
      <c r="AC211" s="2333"/>
      <c r="AD211" s="2333"/>
      <c r="AE211" s="2333"/>
      <c r="AF211" s="2752" t="s">
        <v>6118</v>
      </c>
      <c r="AG211" s="2752"/>
      <c r="AH211" s="2333"/>
    </row>
    <row r="212" spans="1:34" ht="29">
      <c r="A212" s="2332">
        <v>44960</v>
      </c>
      <c r="B212" s="2332"/>
      <c r="C212" s="2333" t="s">
        <v>6119</v>
      </c>
      <c r="D212" s="2333"/>
      <c r="E212" s="2333" t="s">
        <v>4961</v>
      </c>
      <c r="F212" s="1569" t="s">
        <v>361</v>
      </c>
      <c r="G212" s="1490" t="s">
        <v>1406</v>
      </c>
      <c r="H212" s="1630" t="s">
        <v>33</v>
      </c>
      <c r="I212" s="2333" t="s">
        <v>1170</v>
      </c>
      <c r="J212" s="2333" t="s">
        <v>6120</v>
      </c>
      <c r="K212" s="2333" t="s">
        <v>6121</v>
      </c>
      <c r="L212" s="2333"/>
      <c r="M212" s="2333"/>
      <c r="N212" s="2333"/>
      <c r="O212" s="2338" t="s">
        <v>5028</v>
      </c>
      <c r="P212" s="2333"/>
      <c r="Q212" s="2333"/>
      <c r="R212" s="2339">
        <v>252408.4</v>
      </c>
      <c r="S212" s="2339"/>
      <c r="T212" s="2333"/>
      <c r="U212" s="2333"/>
      <c r="V212" s="2333"/>
      <c r="W212" s="2333"/>
      <c r="X212" s="2333"/>
      <c r="Y212" s="2333"/>
      <c r="Z212" s="2333"/>
      <c r="AA212" s="2333"/>
      <c r="AB212" s="2333"/>
      <c r="AC212" s="2333"/>
      <c r="AD212" s="2333"/>
      <c r="AE212" s="2333"/>
      <c r="AF212" s="2752" t="s">
        <v>5034</v>
      </c>
      <c r="AG212" s="2752"/>
      <c r="AH212" s="2333"/>
    </row>
    <row r="213" spans="1:34" ht="43.5">
      <c r="A213" s="2332">
        <v>44960</v>
      </c>
      <c r="B213" s="2332"/>
      <c r="C213" s="2333" t="s">
        <v>6122</v>
      </c>
      <c r="D213" s="2333"/>
      <c r="E213" s="2333" t="s">
        <v>4961</v>
      </c>
      <c r="F213" s="1569" t="s">
        <v>361</v>
      </c>
      <c r="G213" s="2333" t="s">
        <v>362</v>
      </c>
      <c r="H213" s="2333" t="s">
        <v>4622</v>
      </c>
      <c r="I213" s="2333" t="s">
        <v>1170</v>
      </c>
      <c r="J213" s="2333" t="s">
        <v>6123</v>
      </c>
      <c r="K213" s="2333" t="s">
        <v>6124</v>
      </c>
      <c r="L213" s="2333"/>
      <c r="M213" s="2333"/>
      <c r="N213" s="2333"/>
      <c r="O213" s="2338" t="s">
        <v>6125</v>
      </c>
      <c r="P213" s="2333"/>
      <c r="Q213" s="2333"/>
      <c r="R213" s="2339">
        <v>261675</v>
      </c>
      <c r="S213" s="2339"/>
      <c r="T213" s="2333"/>
      <c r="U213" s="2333"/>
      <c r="V213" s="2333"/>
      <c r="W213" s="2333"/>
      <c r="X213" s="2333"/>
      <c r="Y213" s="2333"/>
      <c r="Z213" s="2333"/>
      <c r="AA213" s="2333"/>
      <c r="AB213" s="2333"/>
      <c r="AC213" s="2333"/>
      <c r="AD213" s="2333"/>
      <c r="AE213" s="2333"/>
      <c r="AF213" s="2752" t="s">
        <v>5034</v>
      </c>
      <c r="AG213" s="2752"/>
      <c r="AH213" s="2333"/>
    </row>
    <row r="214" spans="1:34" ht="43.5">
      <c r="A214" s="2317" t="s">
        <v>4941</v>
      </c>
      <c r="B214" s="2317"/>
      <c r="C214" s="2758" t="s">
        <v>6126</v>
      </c>
      <c r="D214" s="2758"/>
      <c r="E214" s="2758" t="s">
        <v>5021</v>
      </c>
      <c r="F214" s="2758" t="s">
        <v>361</v>
      </c>
      <c r="G214" s="2758" t="s">
        <v>4943</v>
      </c>
      <c r="H214" s="2758" t="s">
        <v>279</v>
      </c>
      <c r="I214" s="2758">
        <v>1</v>
      </c>
      <c r="J214" s="2758" t="s">
        <v>6127</v>
      </c>
      <c r="K214" s="2758"/>
      <c r="L214" s="2758"/>
      <c r="M214" s="2758"/>
      <c r="N214" s="2758"/>
      <c r="O214" s="2942">
        <v>44932</v>
      </c>
      <c r="P214" s="2751"/>
      <c r="Q214" s="2751"/>
      <c r="R214" s="2943">
        <v>427976.64</v>
      </c>
      <c r="S214" s="2943"/>
      <c r="T214" s="2931"/>
      <c r="U214" s="2931"/>
      <c r="V214" s="2751" t="s">
        <v>45</v>
      </c>
      <c r="W214" s="2751"/>
      <c r="X214" s="2751"/>
      <c r="Y214" s="2751" t="s">
        <v>1189</v>
      </c>
      <c r="Z214" s="2758"/>
      <c r="AA214" s="2758"/>
      <c r="AB214" s="2758"/>
      <c r="AC214" s="2758"/>
      <c r="AD214" s="2758"/>
      <c r="AE214" s="2758"/>
      <c r="AF214" s="2752" t="s">
        <v>6128</v>
      </c>
      <c r="AG214" s="2752"/>
      <c r="AH214" s="2931"/>
    </row>
    <row r="215" spans="1:34" ht="29">
      <c r="A215" s="2332">
        <v>44960</v>
      </c>
      <c r="B215" s="2332"/>
      <c r="C215" s="2333" t="s">
        <v>6129</v>
      </c>
      <c r="D215" s="2333"/>
      <c r="E215" s="2333" t="s">
        <v>4961</v>
      </c>
      <c r="F215" s="1569" t="s">
        <v>361</v>
      </c>
      <c r="G215" s="1490" t="s">
        <v>1406</v>
      </c>
      <c r="H215" s="1630" t="s">
        <v>33</v>
      </c>
      <c r="I215" s="2333" t="s">
        <v>1170</v>
      </c>
      <c r="J215" s="2333" t="s">
        <v>6130</v>
      </c>
      <c r="K215" s="2333" t="s">
        <v>6131</v>
      </c>
      <c r="L215" s="2333"/>
      <c r="M215" s="2333"/>
      <c r="N215" s="2333"/>
      <c r="O215" s="2338" t="s">
        <v>6132</v>
      </c>
      <c r="P215" s="2333"/>
      <c r="Q215" s="2333"/>
      <c r="R215" s="2339">
        <v>464713.83</v>
      </c>
      <c r="S215" s="2339"/>
      <c r="T215" s="2333"/>
      <c r="U215" s="2333"/>
      <c r="V215" s="2333"/>
      <c r="W215" s="2333"/>
      <c r="X215" s="2333"/>
      <c r="Y215" s="2333"/>
      <c r="Z215" s="2333"/>
      <c r="AA215" s="2333"/>
      <c r="AB215" s="2333"/>
      <c r="AC215" s="2333"/>
      <c r="AD215" s="2333"/>
      <c r="AE215" s="2333"/>
      <c r="AF215" s="2752" t="s">
        <v>5034</v>
      </c>
      <c r="AG215" s="2752"/>
      <c r="AH215" s="2333"/>
    </row>
    <row r="216" spans="1:34" ht="43.5">
      <c r="A216" s="2332">
        <v>44960</v>
      </c>
      <c r="B216" s="2332"/>
      <c r="C216" s="2333" t="s">
        <v>6133</v>
      </c>
      <c r="D216" s="2333"/>
      <c r="E216" s="2333" t="s">
        <v>4961</v>
      </c>
      <c r="F216" s="2758" t="s">
        <v>361</v>
      </c>
      <c r="G216" s="2758" t="s">
        <v>4943</v>
      </c>
      <c r="H216" s="2758" t="s">
        <v>279</v>
      </c>
      <c r="I216" s="2333" t="s">
        <v>1170</v>
      </c>
      <c r="J216" s="2333" t="s">
        <v>2984</v>
      </c>
      <c r="K216" s="2333" t="s">
        <v>6134</v>
      </c>
      <c r="L216" s="2333"/>
      <c r="M216" s="2333"/>
      <c r="N216" s="2333"/>
      <c r="O216" s="2338" t="s">
        <v>6135</v>
      </c>
      <c r="P216" s="2333"/>
      <c r="Q216" s="2333"/>
      <c r="R216" s="2339">
        <v>541594</v>
      </c>
      <c r="S216" s="2339"/>
      <c r="T216" s="2333"/>
      <c r="U216" s="2333"/>
      <c r="V216" s="2333"/>
      <c r="W216" s="2333"/>
      <c r="X216" s="2333"/>
      <c r="Y216" s="2333"/>
      <c r="Z216" s="2333"/>
      <c r="AA216" s="2333"/>
      <c r="AB216" s="2333"/>
      <c r="AC216" s="2333"/>
      <c r="AD216" s="2333"/>
      <c r="AE216" s="2333"/>
      <c r="AF216" s="2752" t="s">
        <v>6128</v>
      </c>
      <c r="AG216" s="2752"/>
      <c r="AH216" s="2333"/>
    </row>
    <row r="217" spans="1:34" ht="43.5">
      <c r="A217" s="2317" t="s">
        <v>4941</v>
      </c>
      <c r="B217" s="2317"/>
      <c r="C217" s="2758" t="s">
        <v>6136</v>
      </c>
      <c r="D217" s="2758"/>
      <c r="E217" s="2758" t="s">
        <v>5021</v>
      </c>
      <c r="F217" s="2758" t="s">
        <v>361</v>
      </c>
      <c r="G217" s="2758" t="s">
        <v>4943</v>
      </c>
      <c r="H217" s="2758" t="s">
        <v>279</v>
      </c>
      <c r="I217" s="2758">
        <v>1</v>
      </c>
      <c r="J217" s="2758" t="s">
        <v>6137</v>
      </c>
      <c r="K217" s="2758"/>
      <c r="L217" s="2758"/>
      <c r="M217" s="2758"/>
      <c r="N217" s="2758"/>
      <c r="O217" s="2942">
        <v>45295</v>
      </c>
      <c r="P217" s="2751"/>
      <c r="Q217" s="2751"/>
      <c r="R217" s="2943">
        <v>691686.40000000002</v>
      </c>
      <c r="S217" s="2943"/>
      <c r="T217" s="2931"/>
      <c r="U217" s="2931"/>
      <c r="V217" s="2751" t="s">
        <v>45</v>
      </c>
      <c r="W217" s="2751"/>
      <c r="X217" s="2751"/>
      <c r="Y217" s="2751" t="s">
        <v>4486</v>
      </c>
      <c r="Z217" s="2758"/>
      <c r="AA217" s="2758"/>
      <c r="AB217" s="2758"/>
      <c r="AC217" s="2758"/>
      <c r="AD217" s="2758"/>
      <c r="AE217" s="2758"/>
      <c r="AF217" s="2752" t="s">
        <v>6071</v>
      </c>
      <c r="AG217" s="2752"/>
      <c r="AH217" s="2931"/>
    </row>
    <row r="218" spans="1:34" ht="72.5">
      <c r="A218" s="2317" t="s">
        <v>4941</v>
      </c>
      <c r="B218" s="2317"/>
      <c r="C218" s="2758" t="s">
        <v>6138</v>
      </c>
      <c r="D218" s="2758"/>
      <c r="E218" s="2758" t="s">
        <v>5021</v>
      </c>
      <c r="F218" s="2758" t="s">
        <v>630</v>
      </c>
      <c r="G218" s="2318" t="s">
        <v>1315</v>
      </c>
      <c r="H218" s="2758" t="s">
        <v>4950</v>
      </c>
      <c r="I218" s="2758">
        <v>1</v>
      </c>
      <c r="J218" s="2758" t="s">
        <v>6139</v>
      </c>
      <c r="K218" s="2758" t="s">
        <v>6140</v>
      </c>
      <c r="L218" s="2758"/>
      <c r="M218" s="2758"/>
      <c r="N218" s="2758"/>
      <c r="O218" s="2942">
        <v>49528</v>
      </c>
      <c r="P218" s="2751"/>
      <c r="Q218" s="2751"/>
      <c r="R218" s="2943">
        <v>3000000</v>
      </c>
      <c r="S218" s="2943"/>
      <c r="T218" s="2931"/>
      <c r="U218" s="2931"/>
      <c r="V218" s="2751" t="s">
        <v>45</v>
      </c>
      <c r="W218" s="2751"/>
      <c r="X218" s="2751"/>
      <c r="Y218" s="2751" t="s">
        <v>6141</v>
      </c>
      <c r="Z218" s="2758"/>
      <c r="AA218" s="2758"/>
      <c r="AB218" s="2758"/>
      <c r="AC218" s="2758"/>
      <c r="AD218" s="2758"/>
      <c r="AE218" s="2758"/>
      <c r="AF218" s="2752" t="s">
        <v>6142</v>
      </c>
      <c r="AG218" s="2752"/>
      <c r="AH218" s="2931"/>
    </row>
    <row r="219" spans="1:34" ht="29">
      <c r="A219" s="2317" t="s">
        <v>4941</v>
      </c>
      <c r="B219" s="2317"/>
      <c r="C219" s="2318" t="s">
        <v>45</v>
      </c>
      <c r="D219" s="2318"/>
      <c r="E219" s="2758" t="s">
        <v>4947</v>
      </c>
      <c r="F219" s="2318" t="s">
        <v>1067</v>
      </c>
      <c r="G219" s="2318" t="s">
        <v>862</v>
      </c>
      <c r="H219" s="2318" t="s">
        <v>661</v>
      </c>
      <c r="I219" s="2318" t="s">
        <v>1170</v>
      </c>
      <c r="J219" s="2318" t="s">
        <v>6143</v>
      </c>
      <c r="K219" s="2318"/>
      <c r="L219" s="2318"/>
      <c r="M219" s="2318"/>
      <c r="N219" s="2318"/>
      <c r="O219" s="2319" t="s">
        <v>45</v>
      </c>
      <c r="P219" s="2320" t="s">
        <v>1170</v>
      </c>
      <c r="Q219" s="2320" t="s">
        <v>1170</v>
      </c>
      <c r="R219" s="2944">
        <v>220000</v>
      </c>
      <c r="S219" s="2944"/>
      <c r="T219" s="2322"/>
      <c r="U219" s="2322"/>
      <c r="V219" s="2320" t="s">
        <v>4251</v>
      </c>
      <c r="W219" s="2320"/>
      <c r="X219" s="2320"/>
      <c r="Y219" s="2320" t="s">
        <v>1170</v>
      </c>
      <c r="Z219" s="2318" t="s">
        <v>5411</v>
      </c>
      <c r="AA219" s="2318"/>
      <c r="AB219" s="2318"/>
      <c r="AC219" s="2318"/>
      <c r="AD219" s="2318"/>
      <c r="AE219" s="2318"/>
      <c r="AF219" s="2318"/>
      <c r="AG219" s="2318"/>
      <c r="AH219" s="2322"/>
    </row>
    <row r="220" spans="1:34" ht="58">
      <c r="A220" s="2317" t="s">
        <v>4941</v>
      </c>
      <c r="B220" s="2317"/>
      <c r="C220" s="2318" t="s">
        <v>45</v>
      </c>
      <c r="D220" s="2318"/>
      <c r="E220" s="2758" t="s">
        <v>4947</v>
      </c>
      <c r="F220" s="2758" t="s">
        <v>361</v>
      </c>
      <c r="G220" s="2758" t="s">
        <v>4943</v>
      </c>
      <c r="H220" s="2758" t="s">
        <v>279</v>
      </c>
      <c r="I220" s="2318" t="s">
        <v>47</v>
      </c>
      <c r="J220" s="2318" t="s">
        <v>2984</v>
      </c>
      <c r="K220" s="2318"/>
      <c r="L220" s="2318"/>
      <c r="M220" s="2318"/>
      <c r="N220" s="2318"/>
      <c r="O220" s="2319" t="s">
        <v>45</v>
      </c>
      <c r="P220" s="2320" t="s">
        <v>1170</v>
      </c>
      <c r="Q220" s="2320" t="s">
        <v>1170</v>
      </c>
      <c r="R220" s="2944" t="s">
        <v>1170</v>
      </c>
      <c r="S220" s="2944"/>
      <c r="T220" s="2322">
        <v>500000</v>
      </c>
      <c r="U220" s="2322"/>
      <c r="V220" s="2320" t="s">
        <v>5020</v>
      </c>
      <c r="W220" s="2320"/>
      <c r="X220" s="2320"/>
      <c r="Y220" s="2320" t="s">
        <v>1170</v>
      </c>
      <c r="Z220" s="2318" t="s">
        <v>5411</v>
      </c>
      <c r="AA220" s="2318"/>
      <c r="AB220" s="2318" t="s">
        <v>727</v>
      </c>
      <c r="AC220" s="2318"/>
      <c r="AD220" s="2318"/>
      <c r="AE220" s="2318"/>
      <c r="AF220" s="2318" t="s">
        <v>6144</v>
      </c>
      <c r="AG220" s="2318"/>
      <c r="AH220" s="2322"/>
    </row>
    <row r="221" spans="1:34" ht="72.5">
      <c r="A221" s="2317" t="s">
        <v>4941</v>
      </c>
      <c r="B221" s="2317"/>
      <c r="C221" s="2318" t="s">
        <v>45</v>
      </c>
      <c r="D221" s="2318"/>
      <c r="E221" s="2758" t="s">
        <v>4947</v>
      </c>
      <c r="F221" s="2318" t="s">
        <v>630</v>
      </c>
      <c r="G221" s="2318" t="s">
        <v>1315</v>
      </c>
      <c r="H221" s="2318" t="s">
        <v>1471</v>
      </c>
      <c r="I221" s="2318" t="s">
        <v>47</v>
      </c>
      <c r="J221" s="2318" t="s">
        <v>6145</v>
      </c>
      <c r="K221" s="2318"/>
      <c r="L221" s="2318"/>
      <c r="M221" s="2318"/>
      <c r="N221" s="2318"/>
      <c r="O221" s="2319">
        <v>45261</v>
      </c>
      <c r="P221" s="2319"/>
      <c r="Q221" s="2320" t="s">
        <v>1170</v>
      </c>
      <c r="R221" s="2944" t="s">
        <v>1170</v>
      </c>
      <c r="S221" s="2944"/>
      <c r="T221" s="2322">
        <v>50000</v>
      </c>
      <c r="U221" s="2322"/>
      <c r="V221" s="2320" t="s">
        <v>5020</v>
      </c>
      <c r="W221" s="2320"/>
      <c r="X221" s="2320"/>
      <c r="Y221" s="2320" t="s">
        <v>1170</v>
      </c>
      <c r="Z221" s="2318" t="s">
        <v>5411</v>
      </c>
      <c r="AA221" s="2318"/>
      <c r="AB221" s="2318"/>
      <c r="AC221" s="2318"/>
      <c r="AD221" s="2318"/>
      <c r="AE221" s="2318"/>
      <c r="AF221" s="2318"/>
      <c r="AG221" s="2318"/>
      <c r="AH221" s="2322"/>
    </row>
    <row r="222" spans="1:34" ht="58">
      <c r="A222" s="2317" t="s">
        <v>4941</v>
      </c>
      <c r="B222" s="2317"/>
      <c r="C222" s="2318" t="s">
        <v>45</v>
      </c>
      <c r="D222" s="2318"/>
      <c r="E222" s="2758" t="s">
        <v>4947</v>
      </c>
      <c r="F222" s="1569" t="s">
        <v>630</v>
      </c>
      <c r="G222" s="2333" t="s">
        <v>1360</v>
      </c>
      <c r="H222" s="2333" t="s">
        <v>4950</v>
      </c>
      <c r="I222" s="2318" t="s">
        <v>47</v>
      </c>
      <c r="J222" s="2318" t="s">
        <v>6146</v>
      </c>
      <c r="K222" s="2318"/>
      <c r="L222" s="2318"/>
      <c r="M222" s="2318"/>
      <c r="N222" s="2318"/>
      <c r="O222" s="2319" t="s">
        <v>45</v>
      </c>
      <c r="P222" s="2320" t="s">
        <v>1170</v>
      </c>
      <c r="Q222" s="2320" t="s">
        <v>1170</v>
      </c>
      <c r="R222" s="2944" t="s">
        <v>1170</v>
      </c>
      <c r="S222" s="2944"/>
      <c r="T222" s="2322">
        <v>30000</v>
      </c>
      <c r="U222" s="2322"/>
      <c r="V222" s="2320" t="s">
        <v>5020</v>
      </c>
      <c r="W222" s="2320"/>
      <c r="X222" s="2320"/>
      <c r="Y222" s="2320" t="s">
        <v>1170</v>
      </c>
      <c r="Z222" s="2318" t="s">
        <v>5411</v>
      </c>
      <c r="AA222" s="2318"/>
      <c r="AB222" s="2318"/>
      <c r="AC222" s="2318"/>
      <c r="AD222" s="2318"/>
      <c r="AE222" s="2318"/>
      <c r="AF222" s="2318"/>
      <c r="AG222" s="2318"/>
      <c r="AH222" s="2322"/>
    </row>
    <row r="223" spans="1:34" ht="43.5">
      <c r="A223" s="2317" t="s">
        <v>4941</v>
      </c>
      <c r="B223" s="2317"/>
      <c r="C223" s="2318" t="s">
        <v>45</v>
      </c>
      <c r="D223" s="2318"/>
      <c r="E223" s="2758" t="s">
        <v>4947</v>
      </c>
      <c r="F223" s="1569" t="s">
        <v>361</v>
      </c>
      <c r="G223" s="2333" t="s">
        <v>362</v>
      </c>
      <c r="H223" s="2318" t="s">
        <v>4978</v>
      </c>
      <c r="I223" s="2318" t="s">
        <v>47</v>
      </c>
      <c r="J223" s="2318" t="s">
        <v>6147</v>
      </c>
      <c r="K223" s="2318"/>
      <c r="L223" s="2318"/>
      <c r="M223" s="2318"/>
      <c r="N223" s="2318"/>
      <c r="O223" s="2319">
        <v>46419</v>
      </c>
      <c r="P223" s="2320"/>
      <c r="Q223" s="2320"/>
      <c r="R223" s="2944" t="s">
        <v>6148</v>
      </c>
      <c r="S223" s="2944"/>
      <c r="T223" s="2322"/>
      <c r="U223" s="2322"/>
      <c r="V223" s="2320" t="s">
        <v>4251</v>
      </c>
      <c r="W223" s="2320"/>
      <c r="X223" s="2320"/>
      <c r="Y223" s="2320"/>
      <c r="Z223" s="2318" t="s">
        <v>5407</v>
      </c>
      <c r="AA223" s="2318" t="s">
        <v>5071</v>
      </c>
      <c r="AB223" s="2318" t="s">
        <v>115</v>
      </c>
      <c r="AC223" s="2318"/>
      <c r="AD223" s="2318"/>
      <c r="AE223" s="2318"/>
      <c r="AF223" s="2318"/>
      <c r="AG223" s="2318"/>
      <c r="AH223" s="2322"/>
    </row>
    <row r="224" spans="1:34" ht="43.5">
      <c r="A224" s="2317" t="s">
        <v>4941</v>
      </c>
      <c r="B224" s="2317"/>
      <c r="C224" s="2318">
        <v>47478</v>
      </c>
      <c r="D224" s="2318"/>
      <c r="E224" s="2758" t="s">
        <v>4947</v>
      </c>
      <c r="F224" s="1569" t="s">
        <v>361</v>
      </c>
      <c r="G224" s="2333" t="s">
        <v>362</v>
      </c>
      <c r="H224" s="2318" t="s">
        <v>4622</v>
      </c>
      <c r="I224" s="2318" t="s">
        <v>34</v>
      </c>
      <c r="J224" s="2318" t="s">
        <v>6149</v>
      </c>
      <c r="K224" s="2318"/>
      <c r="L224" s="2318"/>
      <c r="M224" s="2318"/>
      <c r="N224" s="2318"/>
      <c r="O224" s="2319">
        <v>45355</v>
      </c>
      <c r="P224" s="2320"/>
      <c r="Q224" s="2320"/>
      <c r="R224" s="2944" t="s">
        <v>6150</v>
      </c>
      <c r="S224" s="2944"/>
      <c r="T224" s="2322"/>
      <c r="U224" s="2322"/>
      <c r="V224" s="2320" t="s">
        <v>34</v>
      </c>
      <c r="W224" s="2320"/>
      <c r="X224" s="2320"/>
      <c r="Y224" s="2320"/>
      <c r="Z224" s="2318" t="s">
        <v>5407</v>
      </c>
      <c r="AA224" s="2318" t="s">
        <v>5071</v>
      </c>
      <c r="AB224" s="2318" t="s">
        <v>115</v>
      </c>
      <c r="AC224" s="2318"/>
      <c r="AD224" s="2318"/>
      <c r="AE224" s="2318"/>
      <c r="AF224" s="2318"/>
      <c r="AG224" s="2318"/>
      <c r="AH224" s="2322"/>
    </row>
    <row r="225" spans="1:34" ht="43.5">
      <c r="A225" s="2317"/>
      <c r="B225" s="2317"/>
      <c r="C225" s="2318">
        <v>47478</v>
      </c>
      <c r="D225" s="2318"/>
      <c r="E225" s="2758" t="s">
        <v>4947</v>
      </c>
      <c r="F225" s="1569" t="s">
        <v>361</v>
      </c>
      <c r="G225" s="2333" t="s">
        <v>362</v>
      </c>
      <c r="H225" s="2318" t="s">
        <v>4622</v>
      </c>
      <c r="I225" s="2318" t="s">
        <v>34</v>
      </c>
      <c r="J225" s="2318" t="s">
        <v>6149</v>
      </c>
      <c r="K225" s="2318"/>
      <c r="L225" s="2318"/>
      <c r="M225" s="2318"/>
      <c r="N225" s="2318"/>
      <c r="O225" s="2319">
        <v>45720</v>
      </c>
      <c r="P225" s="2320"/>
      <c r="Q225" s="2320"/>
      <c r="R225" s="2944" t="s">
        <v>6150</v>
      </c>
      <c r="S225" s="2944"/>
      <c r="T225" s="2322"/>
      <c r="U225" s="2322"/>
      <c r="V225" s="2320" t="s">
        <v>34</v>
      </c>
      <c r="W225" s="2320"/>
      <c r="X225" s="2320"/>
      <c r="Y225" s="2320"/>
      <c r="Z225" s="2318" t="s">
        <v>5407</v>
      </c>
      <c r="AA225" s="2318" t="s">
        <v>5071</v>
      </c>
      <c r="AB225" s="2318" t="s">
        <v>115</v>
      </c>
      <c r="AC225" s="2318"/>
      <c r="AD225" s="2318"/>
      <c r="AE225" s="2318"/>
      <c r="AF225" s="2318"/>
      <c r="AG225" s="2318"/>
      <c r="AH225" s="2322"/>
    </row>
    <row r="226" spans="1:34" ht="43.5">
      <c r="A226" s="2317" t="s">
        <v>4941</v>
      </c>
      <c r="B226" s="2317"/>
      <c r="C226" s="2318" t="s">
        <v>45</v>
      </c>
      <c r="D226" s="2318"/>
      <c r="E226" s="2758" t="s">
        <v>4947</v>
      </c>
      <c r="F226" s="1569" t="s">
        <v>361</v>
      </c>
      <c r="G226" s="2333" t="s">
        <v>362</v>
      </c>
      <c r="H226" s="2318" t="s">
        <v>4978</v>
      </c>
      <c r="I226" s="2318" t="s">
        <v>47</v>
      </c>
      <c r="J226" s="2318" t="s">
        <v>6151</v>
      </c>
      <c r="K226" s="2318"/>
      <c r="L226" s="2318"/>
      <c r="M226" s="2318"/>
      <c r="N226" s="2318"/>
      <c r="O226" s="2319">
        <v>46085</v>
      </c>
      <c r="P226" s="2320"/>
      <c r="Q226" s="2320"/>
      <c r="R226" s="2944" t="s">
        <v>6150</v>
      </c>
      <c r="S226" s="2944"/>
      <c r="T226" s="2322"/>
      <c r="U226" s="2322"/>
      <c r="V226" s="2320" t="s">
        <v>4251</v>
      </c>
      <c r="W226" s="2320"/>
      <c r="X226" s="2320"/>
      <c r="Y226" s="2320"/>
      <c r="Z226" s="2318" t="s">
        <v>5407</v>
      </c>
      <c r="AA226" s="2318" t="s">
        <v>5071</v>
      </c>
      <c r="AB226" s="2318" t="s">
        <v>115</v>
      </c>
      <c r="AC226" s="2318"/>
      <c r="AD226" s="2318"/>
      <c r="AE226" s="2318"/>
      <c r="AF226" s="2318"/>
      <c r="AG226" s="2318"/>
      <c r="AH226" s="2322"/>
    </row>
    <row r="227" spans="1:34" ht="58">
      <c r="A227" s="2317" t="s">
        <v>4941</v>
      </c>
      <c r="B227" s="2317"/>
      <c r="C227" s="2318" t="s">
        <v>3334</v>
      </c>
      <c r="D227" s="2318"/>
      <c r="E227" s="2758" t="s">
        <v>4947</v>
      </c>
      <c r="F227" s="1569" t="s">
        <v>361</v>
      </c>
      <c r="G227" s="2333" t="s">
        <v>1406</v>
      </c>
      <c r="H227" s="2318" t="s">
        <v>33</v>
      </c>
      <c r="I227" s="2318"/>
      <c r="J227" s="2318" t="s">
        <v>6152</v>
      </c>
      <c r="K227" s="2318"/>
      <c r="L227" s="2318"/>
      <c r="M227" s="2318"/>
      <c r="N227" s="2318"/>
      <c r="O227" s="2319" t="s">
        <v>3334</v>
      </c>
      <c r="P227" s="2320"/>
      <c r="Q227" s="2320"/>
      <c r="R227" s="2944" t="s">
        <v>6153</v>
      </c>
      <c r="S227" s="2944"/>
      <c r="T227" s="2322"/>
      <c r="U227" s="2322"/>
      <c r="V227" s="2320" t="s">
        <v>5020</v>
      </c>
      <c r="W227" s="2320"/>
      <c r="X227" s="2320"/>
      <c r="Y227" s="2320"/>
      <c r="Z227" s="2318" t="s">
        <v>6154</v>
      </c>
      <c r="AA227" s="2318" t="s">
        <v>5071</v>
      </c>
      <c r="AB227" s="2318"/>
      <c r="AC227" s="2318"/>
      <c r="AD227" s="2318"/>
      <c r="AE227" s="2318"/>
      <c r="AF227" s="2318"/>
      <c r="AG227" s="2318"/>
      <c r="AH227" s="2322"/>
    </row>
    <row r="228" spans="1:34" ht="58">
      <c r="A228" s="2317" t="s">
        <v>4941</v>
      </c>
      <c r="B228" s="2317"/>
      <c r="C228" s="2758"/>
      <c r="D228" s="2758"/>
      <c r="E228" s="2758" t="s">
        <v>4947</v>
      </c>
      <c r="F228" s="1569" t="s">
        <v>630</v>
      </c>
      <c r="G228" s="2333" t="s">
        <v>1360</v>
      </c>
      <c r="H228" s="2333" t="s">
        <v>4950</v>
      </c>
      <c r="I228" s="2758" t="s">
        <v>47</v>
      </c>
      <c r="J228" s="2758" t="s">
        <v>6155</v>
      </c>
      <c r="K228" s="2758"/>
      <c r="L228" s="2758"/>
      <c r="M228" s="2758"/>
      <c r="N228" s="2758"/>
      <c r="O228" s="2759">
        <v>45169</v>
      </c>
      <c r="P228" s="2751"/>
      <c r="Q228" s="2751"/>
      <c r="R228" s="2944">
        <v>1000000</v>
      </c>
      <c r="S228" s="2944"/>
      <c r="T228" s="2931"/>
      <c r="U228" s="2931"/>
      <c r="V228" s="2751" t="s">
        <v>45</v>
      </c>
      <c r="W228" s="2751"/>
      <c r="X228" s="2751"/>
      <c r="Y228" s="2751" t="s">
        <v>1210</v>
      </c>
      <c r="Z228" s="2758"/>
      <c r="AA228" s="2758"/>
      <c r="AB228" s="2758" t="s">
        <v>115</v>
      </c>
      <c r="AC228" s="2758"/>
      <c r="AD228" s="2758"/>
      <c r="AE228" s="2758"/>
      <c r="AF228" s="2752"/>
      <c r="AG228" s="2752"/>
      <c r="AH228" s="2931"/>
    </row>
    <row r="229" spans="1:34" ht="29">
      <c r="A229" s="2317" t="s">
        <v>4941</v>
      </c>
      <c r="B229" s="2317"/>
      <c r="C229" s="2758" t="s">
        <v>6156</v>
      </c>
      <c r="D229" s="2758"/>
      <c r="E229" s="2758" t="s">
        <v>4942</v>
      </c>
      <c r="F229" s="1569" t="s">
        <v>361</v>
      </c>
      <c r="G229" s="2333" t="s">
        <v>1406</v>
      </c>
      <c r="H229" s="2318" t="s">
        <v>33</v>
      </c>
      <c r="I229" s="2758"/>
      <c r="J229" s="2758" t="s">
        <v>6157</v>
      </c>
      <c r="K229" s="2758"/>
      <c r="L229" s="2758"/>
      <c r="M229" s="2758"/>
      <c r="N229" s="2758"/>
      <c r="O229" s="2759" t="s">
        <v>6158</v>
      </c>
      <c r="P229" s="2751">
        <v>96</v>
      </c>
      <c r="Q229" s="2751"/>
      <c r="R229" s="2945">
        <v>152000</v>
      </c>
      <c r="S229" s="2945"/>
      <c r="T229" s="2866">
        <v>18000</v>
      </c>
      <c r="U229" s="2866"/>
      <c r="V229" s="2751" t="s">
        <v>45</v>
      </c>
      <c r="W229" s="2751"/>
      <c r="X229" s="2751"/>
      <c r="Y229" s="2751" t="s">
        <v>71</v>
      </c>
      <c r="Z229" s="2758" t="s">
        <v>6159</v>
      </c>
      <c r="AA229" s="2758"/>
      <c r="AB229" s="2758" t="s">
        <v>727</v>
      </c>
      <c r="AC229" s="2758"/>
      <c r="AD229" s="2758"/>
      <c r="AE229" s="2758"/>
      <c r="AF229" s="2752"/>
      <c r="AG229" s="2752"/>
      <c r="AH229" s="2866"/>
    </row>
    <row r="230" spans="1:34" ht="29">
      <c r="A230" s="2317">
        <v>44805</v>
      </c>
      <c r="B230" s="2317"/>
      <c r="C230" s="2318" t="s">
        <v>6160</v>
      </c>
      <c r="D230" s="2318"/>
      <c r="E230" s="2318" t="s">
        <v>4942</v>
      </c>
      <c r="F230" s="1569" t="s">
        <v>361</v>
      </c>
      <c r="G230" s="2333" t="s">
        <v>1406</v>
      </c>
      <c r="H230" s="2318" t="s">
        <v>33</v>
      </c>
      <c r="I230" s="2758" t="s">
        <v>47</v>
      </c>
      <c r="J230" s="2318" t="s">
        <v>6161</v>
      </c>
      <c r="K230" s="2318"/>
      <c r="L230" s="2318"/>
      <c r="M230" s="2318"/>
      <c r="N230" s="2318"/>
      <c r="O230" s="2319">
        <v>45900</v>
      </c>
      <c r="P230" s="2320">
        <v>36</v>
      </c>
      <c r="Q230" s="2320">
        <v>36</v>
      </c>
      <c r="R230" s="463">
        <v>300000</v>
      </c>
      <c r="S230" s="463"/>
      <c r="T230" s="463">
        <v>100000</v>
      </c>
      <c r="U230" s="463"/>
      <c r="V230" s="2320" t="s">
        <v>84</v>
      </c>
      <c r="W230" s="2320"/>
      <c r="X230" s="2320"/>
      <c r="Y230" s="2320"/>
      <c r="Z230" s="2318" t="s">
        <v>6159</v>
      </c>
      <c r="AA230" s="2318"/>
      <c r="AB230" s="2318" t="s">
        <v>727</v>
      </c>
      <c r="AC230" s="2318"/>
      <c r="AD230" s="2318"/>
      <c r="AE230" s="2318"/>
      <c r="AF230" s="2320" t="s">
        <v>6162</v>
      </c>
      <c r="AG230" s="2320"/>
      <c r="AH230" s="463"/>
    </row>
    <row r="231" spans="1:34" ht="58">
      <c r="A231" s="2317" t="s">
        <v>4941</v>
      </c>
      <c r="B231" s="2317"/>
      <c r="C231" s="2758" t="s">
        <v>6163</v>
      </c>
      <c r="D231" s="2758"/>
      <c r="E231" s="2758" t="s">
        <v>4942</v>
      </c>
      <c r="F231" s="1569" t="s">
        <v>630</v>
      </c>
      <c r="G231" s="2333" t="s">
        <v>1360</v>
      </c>
      <c r="H231" s="2333" t="s">
        <v>4950</v>
      </c>
      <c r="I231" s="2758"/>
      <c r="J231" s="2758" t="s">
        <v>6164</v>
      </c>
      <c r="K231" s="2758"/>
      <c r="L231" s="2758"/>
      <c r="M231" s="2758"/>
      <c r="N231" s="2758"/>
      <c r="O231" s="2759">
        <v>45991</v>
      </c>
      <c r="P231" s="2751">
        <v>60</v>
      </c>
      <c r="Q231" s="2751"/>
      <c r="R231" s="2931">
        <v>341130</v>
      </c>
      <c r="S231" s="2931"/>
      <c r="T231" s="2866">
        <v>68226</v>
      </c>
      <c r="U231" s="2866"/>
      <c r="V231" s="2751" t="s">
        <v>45</v>
      </c>
      <c r="W231" s="2751"/>
      <c r="X231" s="2751"/>
      <c r="Y231" s="2751" t="s">
        <v>2110</v>
      </c>
      <c r="Z231" s="2758" t="s">
        <v>6165</v>
      </c>
      <c r="AA231" s="2758"/>
      <c r="AB231" s="2758" t="s">
        <v>727</v>
      </c>
      <c r="AC231" s="2758"/>
      <c r="AD231" s="2758"/>
      <c r="AE231" s="2758"/>
      <c r="AF231" s="2752"/>
      <c r="AG231" s="2752"/>
      <c r="AH231" s="2866"/>
    </row>
    <row r="232" spans="1:34" ht="43.5">
      <c r="A232" s="2317" t="s">
        <v>6166</v>
      </c>
      <c r="B232" s="2317"/>
      <c r="C232" s="2318" t="s">
        <v>6167</v>
      </c>
      <c r="D232" s="2318"/>
      <c r="E232" s="2318" t="s">
        <v>4942</v>
      </c>
      <c r="F232" s="1569" t="s">
        <v>1373</v>
      </c>
      <c r="G232" s="2333" t="s">
        <v>890</v>
      </c>
      <c r="H232" s="2318" t="s">
        <v>4622</v>
      </c>
      <c r="I232" s="2758" t="s">
        <v>47</v>
      </c>
      <c r="J232" s="2318" t="s">
        <v>6168</v>
      </c>
      <c r="K232" s="2318"/>
      <c r="L232" s="2318"/>
      <c r="M232" s="2318"/>
      <c r="N232" s="2318"/>
      <c r="O232" s="2319">
        <v>45513</v>
      </c>
      <c r="P232" s="2320">
        <v>24</v>
      </c>
      <c r="Q232" s="2320">
        <v>24</v>
      </c>
      <c r="R232" s="463"/>
      <c r="S232" s="463"/>
      <c r="T232" s="463" t="s">
        <v>6169</v>
      </c>
      <c r="U232" s="463"/>
      <c r="V232" s="2320" t="s">
        <v>84</v>
      </c>
      <c r="W232" s="2320"/>
      <c r="X232" s="2320"/>
      <c r="Y232" s="2320" t="s">
        <v>84</v>
      </c>
      <c r="Z232" s="2318" t="s">
        <v>5195</v>
      </c>
      <c r="AA232" s="2318"/>
      <c r="AB232" s="2318" t="s">
        <v>727</v>
      </c>
      <c r="AC232" s="2318"/>
      <c r="AD232" s="2318"/>
      <c r="AE232" s="2318"/>
      <c r="AF232" s="2318"/>
      <c r="AG232" s="2318"/>
      <c r="AH232" s="463"/>
    </row>
    <row r="233" spans="1:34" ht="43.5">
      <c r="A233" s="2317">
        <v>44868</v>
      </c>
      <c r="B233" s="2317"/>
      <c r="C233" s="2318"/>
      <c r="D233" s="2318"/>
      <c r="E233" s="2318" t="s">
        <v>4942</v>
      </c>
      <c r="F233" s="1569" t="s">
        <v>1373</v>
      </c>
      <c r="G233" s="2333" t="s">
        <v>890</v>
      </c>
      <c r="H233" s="2318" t="s">
        <v>4622</v>
      </c>
      <c r="I233" s="2758" t="s">
        <v>5588</v>
      </c>
      <c r="J233" s="2318" t="s">
        <v>6170</v>
      </c>
      <c r="K233" s="2318"/>
      <c r="L233" s="2318"/>
      <c r="M233" s="2318"/>
      <c r="N233" s="2318"/>
      <c r="O233" s="2319" t="s">
        <v>6158</v>
      </c>
      <c r="P233" s="2320"/>
      <c r="Q233" s="2320"/>
      <c r="R233" s="463"/>
      <c r="S233" s="463"/>
      <c r="T233" s="463">
        <v>5000</v>
      </c>
      <c r="U233" s="463"/>
      <c r="V233" s="2320"/>
      <c r="W233" s="2320"/>
      <c r="X233" s="2320"/>
      <c r="Y233" s="2320"/>
      <c r="Z233" s="2318"/>
      <c r="AA233" s="2318"/>
      <c r="AB233" s="2318"/>
      <c r="AC233" s="2318"/>
      <c r="AD233" s="2318"/>
      <c r="AE233" s="2318"/>
      <c r="AF233" s="2320"/>
      <c r="AG233" s="2320"/>
      <c r="AH233" s="463"/>
    </row>
    <row r="234" spans="1:34" ht="72.5">
      <c r="A234" s="2317" t="s">
        <v>4941</v>
      </c>
      <c r="B234" s="2317"/>
      <c r="C234" s="2758" t="s">
        <v>6171</v>
      </c>
      <c r="D234" s="2758"/>
      <c r="E234" s="2758" t="s">
        <v>4704</v>
      </c>
      <c r="F234" s="2758" t="s">
        <v>361</v>
      </c>
      <c r="G234" s="2758" t="s">
        <v>4943</v>
      </c>
      <c r="H234" s="2758" t="s">
        <v>279</v>
      </c>
      <c r="I234" s="2758"/>
      <c r="J234" s="2758" t="s">
        <v>6172</v>
      </c>
      <c r="K234" s="2758"/>
      <c r="L234" s="2758"/>
      <c r="M234" s="2758"/>
      <c r="N234" s="2758"/>
      <c r="O234" s="2759">
        <v>45747</v>
      </c>
      <c r="P234" s="2751"/>
      <c r="Q234" s="2751"/>
      <c r="R234" s="2945">
        <v>2440000</v>
      </c>
      <c r="S234" s="2945"/>
      <c r="T234" s="2931"/>
      <c r="U234" s="2931"/>
      <c r="V234" s="2751" t="s">
        <v>45</v>
      </c>
      <c r="W234" s="2751"/>
      <c r="X234" s="2751"/>
      <c r="Y234" s="2751" t="s">
        <v>6173</v>
      </c>
      <c r="Z234" s="2758" t="s">
        <v>6174</v>
      </c>
      <c r="AA234" s="2758"/>
      <c r="AB234" s="2758"/>
      <c r="AC234" s="2758"/>
      <c r="AD234" s="2758"/>
      <c r="AE234" s="2758"/>
      <c r="AF234" s="2344" t="s">
        <v>6175</v>
      </c>
      <c r="AG234" s="2344"/>
      <c r="AH234" s="2931"/>
    </row>
    <row r="235" spans="1:34" ht="58">
      <c r="A235" s="2317" t="s">
        <v>4941</v>
      </c>
      <c r="B235" s="2317"/>
      <c r="C235" s="2318" t="s">
        <v>6176</v>
      </c>
      <c r="D235" s="2318"/>
      <c r="E235" s="2758" t="s">
        <v>4704</v>
      </c>
      <c r="F235" s="1569" t="s">
        <v>361</v>
      </c>
      <c r="G235" s="2333" t="s">
        <v>1406</v>
      </c>
      <c r="H235" s="2318" t="s">
        <v>33</v>
      </c>
      <c r="I235" s="2758"/>
      <c r="J235" s="2318" t="s">
        <v>6177</v>
      </c>
      <c r="K235" s="2318"/>
      <c r="L235" s="2318"/>
      <c r="M235" s="2318"/>
      <c r="N235" s="2318"/>
      <c r="O235" s="2319" t="s">
        <v>45</v>
      </c>
      <c r="P235" s="2320" t="s">
        <v>45</v>
      </c>
      <c r="Q235" s="2751"/>
      <c r="R235" s="2321" t="s">
        <v>45</v>
      </c>
      <c r="S235" s="2321"/>
      <c r="T235" s="2931"/>
      <c r="U235" s="2931"/>
      <c r="V235" s="2751"/>
      <c r="W235" s="2751"/>
      <c r="X235" s="2751"/>
      <c r="Y235" s="2751"/>
      <c r="Z235" s="2758"/>
      <c r="AA235" s="2758" t="s">
        <v>1633</v>
      </c>
      <c r="AB235" s="2758"/>
      <c r="AC235" s="2758"/>
      <c r="AD235" s="2758"/>
      <c r="AE235" s="2758"/>
      <c r="AF235" s="2342" t="s">
        <v>6178</v>
      </c>
      <c r="AG235" s="2342"/>
      <c r="AH235" s="2931"/>
    </row>
    <row r="236" spans="1:34" ht="43.5">
      <c r="A236" s="2317" t="s">
        <v>4941</v>
      </c>
      <c r="B236" s="2317"/>
      <c r="C236" s="2318" t="s">
        <v>4486</v>
      </c>
      <c r="D236" s="2318"/>
      <c r="E236" s="2758" t="s">
        <v>4704</v>
      </c>
      <c r="F236" s="2758" t="s">
        <v>361</v>
      </c>
      <c r="G236" s="2758" t="s">
        <v>4943</v>
      </c>
      <c r="H236" s="2758" t="s">
        <v>279</v>
      </c>
      <c r="I236" s="2758"/>
      <c r="J236" s="2318" t="s">
        <v>6179</v>
      </c>
      <c r="K236" s="2318"/>
      <c r="L236" s="2318"/>
      <c r="M236" s="2318"/>
      <c r="N236" s="2318"/>
      <c r="O236" s="2319">
        <v>46631</v>
      </c>
      <c r="P236" s="2320">
        <v>60</v>
      </c>
      <c r="Q236" s="2751">
        <v>60</v>
      </c>
      <c r="R236" s="2321" t="s">
        <v>45</v>
      </c>
      <c r="S236" s="2321"/>
      <c r="T236" s="2931"/>
      <c r="U236" s="2931"/>
      <c r="V236" s="2751"/>
      <c r="W236" s="2751"/>
      <c r="X236" s="2751"/>
      <c r="Y236" s="2751"/>
      <c r="Z236" s="2758"/>
      <c r="AA236" s="2758" t="s">
        <v>4969</v>
      </c>
      <c r="AB236" s="2758"/>
      <c r="AC236" s="2758"/>
      <c r="AD236" s="2758"/>
      <c r="AE236" s="2758"/>
      <c r="AF236" s="2325" t="s">
        <v>6180</v>
      </c>
      <c r="AG236" s="2325"/>
      <c r="AH236" s="2931"/>
    </row>
    <row r="237" spans="1:34" ht="130.5">
      <c r="A237" s="2317" t="s">
        <v>4941</v>
      </c>
      <c r="B237" s="2317"/>
      <c r="C237" s="2758" t="s">
        <v>6181</v>
      </c>
      <c r="D237" s="2758"/>
      <c r="E237" s="2758" t="s">
        <v>4704</v>
      </c>
      <c r="F237" s="2758" t="s">
        <v>1067</v>
      </c>
      <c r="G237" s="2758" t="s">
        <v>569</v>
      </c>
      <c r="H237" s="2758" t="s">
        <v>33</v>
      </c>
      <c r="I237" s="2758"/>
      <c r="J237" s="2758" t="s">
        <v>5016</v>
      </c>
      <c r="K237" s="2758"/>
      <c r="L237" s="2758"/>
      <c r="M237" s="2758"/>
      <c r="N237" s="2758"/>
      <c r="O237" s="2759">
        <v>45028</v>
      </c>
      <c r="P237" s="2751"/>
      <c r="Q237" s="2751"/>
      <c r="R237" s="2945">
        <v>232046.31</v>
      </c>
      <c r="S237" s="2945"/>
      <c r="T237" s="2931"/>
      <c r="U237" s="2931"/>
      <c r="V237" s="2751" t="s">
        <v>45</v>
      </c>
      <c r="W237" s="2751"/>
      <c r="X237" s="2751"/>
      <c r="Y237" s="2751" t="s">
        <v>6182</v>
      </c>
      <c r="Z237" s="2758"/>
      <c r="AA237" s="2758" t="s">
        <v>6183</v>
      </c>
      <c r="AB237" s="2758"/>
      <c r="AC237" s="2758"/>
      <c r="AD237" s="2758"/>
      <c r="AE237" s="2758"/>
      <c r="AF237" s="2752" t="s">
        <v>6184</v>
      </c>
      <c r="AG237" s="2752"/>
      <c r="AH237" s="2931"/>
    </row>
    <row r="238" spans="1:34" ht="87">
      <c r="A238" s="2317" t="s">
        <v>4941</v>
      </c>
      <c r="B238" s="2317"/>
      <c r="C238" s="2758" t="s">
        <v>6185</v>
      </c>
      <c r="D238" s="2758"/>
      <c r="E238" s="2758" t="s">
        <v>4704</v>
      </c>
      <c r="F238" s="2758" t="s">
        <v>1067</v>
      </c>
      <c r="G238" s="2758" t="s">
        <v>862</v>
      </c>
      <c r="H238" s="2758" t="s">
        <v>33</v>
      </c>
      <c r="I238" s="2758"/>
      <c r="J238" s="2758" t="s">
        <v>6186</v>
      </c>
      <c r="K238" s="2758"/>
      <c r="L238" s="2758"/>
      <c r="M238" s="2758"/>
      <c r="N238" s="2758"/>
      <c r="O238" s="2759">
        <v>45016</v>
      </c>
      <c r="P238" s="2751"/>
      <c r="Q238" s="2751"/>
      <c r="R238" s="2945">
        <v>110000</v>
      </c>
      <c r="S238" s="2945"/>
      <c r="T238" s="2931"/>
      <c r="U238" s="2931"/>
      <c r="V238" s="2751" t="s">
        <v>45</v>
      </c>
      <c r="W238" s="2751"/>
      <c r="X238" s="2751"/>
      <c r="Y238" s="2751" t="s">
        <v>6187</v>
      </c>
      <c r="Z238" s="2758"/>
      <c r="AA238" s="2758" t="s">
        <v>4944</v>
      </c>
      <c r="AB238" s="2758"/>
      <c r="AC238" s="2758"/>
      <c r="AD238" s="2758"/>
      <c r="AE238" s="2758"/>
      <c r="AF238" s="2344" t="s">
        <v>6188</v>
      </c>
      <c r="AG238" s="2344"/>
      <c r="AH238" s="2931"/>
    </row>
    <row r="239" spans="1:34" ht="43.5">
      <c r="A239" s="2317" t="s">
        <v>4941</v>
      </c>
      <c r="B239" s="2317"/>
      <c r="C239" s="2758" t="s">
        <v>6189</v>
      </c>
      <c r="D239" s="2758"/>
      <c r="E239" s="2758" t="s">
        <v>4704</v>
      </c>
      <c r="F239" s="2758" t="s">
        <v>361</v>
      </c>
      <c r="G239" s="2758" t="s">
        <v>569</v>
      </c>
      <c r="H239" s="2758" t="s">
        <v>33</v>
      </c>
      <c r="I239" s="2758"/>
      <c r="J239" s="2758" t="s">
        <v>6190</v>
      </c>
      <c r="K239" s="2758"/>
      <c r="L239" s="2758"/>
      <c r="M239" s="2758"/>
      <c r="N239" s="2758"/>
      <c r="O239" s="2759">
        <v>45016</v>
      </c>
      <c r="P239" s="2751"/>
      <c r="Q239" s="2751"/>
      <c r="R239" s="2945">
        <v>110667.72</v>
      </c>
      <c r="S239" s="2945"/>
      <c r="T239" s="2931"/>
      <c r="U239" s="2931"/>
      <c r="V239" s="2751" t="s">
        <v>45</v>
      </c>
      <c r="W239" s="2751"/>
      <c r="X239" s="2751"/>
      <c r="Y239" s="2751" t="s">
        <v>6191</v>
      </c>
      <c r="Z239" s="2758"/>
      <c r="AA239" s="2758" t="s">
        <v>6192</v>
      </c>
      <c r="AB239" s="2758"/>
      <c r="AC239" s="2758"/>
      <c r="AD239" s="2758"/>
      <c r="AE239" s="2758"/>
      <c r="AF239" s="2344" t="s">
        <v>6193</v>
      </c>
      <c r="AG239" s="2344"/>
      <c r="AH239" s="2931"/>
    </row>
    <row r="240" spans="1:34" ht="87">
      <c r="A240" s="2317" t="s">
        <v>4941</v>
      </c>
      <c r="B240" s="2317"/>
      <c r="C240" s="2758" t="s">
        <v>6194</v>
      </c>
      <c r="D240" s="2758"/>
      <c r="E240" s="2758" t="s">
        <v>4704</v>
      </c>
      <c r="F240" s="2758" t="s">
        <v>361</v>
      </c>
      <c r="G240" s="2758" t="s">
        <v>4943</v>
      </c>
      <c r="H240" s="2758" t="s">
        <v>33</v>
      </c>
      <c r="I240" s="2758"/>
      <c r="J240" s="2758" t="s">
        <v>2625</v>
      </c>
      <c r="K240" s="2758"/>
      <c r="L240" s="2758"/>
      <c r="M240" s="2758"/>
      <c r="N240" s="2758"/>
      <c r="O240" s="2759">
        <v>45138</v>
      </c>
      <c r="P240" s="2751"/>
      <c r="Q240" s="2751"/>
      <c r="R240" s="2945">
        <v>72000</v>
      </c>
      <c r="S240" s="2945"/>
      <c r="T240" s="2931"/>
      <c r="U240" s="2931"/>
      <c r="V240" s="2751" t="s">
        <v>45</v>
      </c>
      <c r="W240" s="2751"/>
      <c r="X240" s="2751"/>
      <c r="Y240" s="2751" t="s">
        <v>6195</v>
      </c>
      <c r="Z240" s="2758"/>
      <c r="AA240" s="2758" t="s">
        <v>1633</v>
      </c>
      <c r="AB240" s="2758"/>
      <c r="AC240" s="2758"/>
      <c r="AD240" s="2758"/>
      <c r="AE240" s="2758"/>
      <c r="AF240" s="2344" t="s">
        <v>6196</v>
      </c>
      <c r="AG240" s="2344"/>
      <c r="AH240" s="2931"/>
    </row>
    <row r="241" spans="1:36" s="906" customFormat="1" ht="27" customHeight="1">
      <c r="A241" s="749">
        <v>44855</v>
      </c>
      <c r="B241" s="1404" t="s">
        <v>56</v>
      </c>
      <c r="C241" s="1406" t="s">
        <v>60</v>
      </c>
      <c r="D241" s="1385" t="s">
        <v>122</v>
      </c>
      <c r="E241" s="794" t="s">
        <v>449</v>
      </c>
      <c r="F241" s="1385" t="s">
        <v>122</v>
      </c>
      <c r="G241" s="1451" t="s">
        <v>362</v>
      </c>
      <c r="H241" s="854" t="s">
        <v>308</v>
      </c>
      <c r="I241" s="1165" t="s">
        <v>47</v>
      </c>
      <c r="J241" s="2304" t="s">
        <v>6197</v>
      </c>
      <c r="K241" s="1456"/>
      <c r="L241" s="794">
        <v>1</v>
      </c>
      <c r="M241" s="1413" t="s">
        <v>60</v>
      </c>
      <c r="N241" s="1161" t="s">
        <v>60</v>
      </c>
      <c r="O241" s="1273">
        <v>45017</v>
      </c>
      <c r="P241" s="761" t="s">
        <v>60</v>
      </c>
      <c r="Q241" s="761" t="s">
        <v>60</v>
      </c>
      <c r="R241" s="807">
        <v>320000</v>
      </c>
      <c r="S241" s="937">
        <f>SUM(R241*20%)+R241</f>
        <v>384000</v>
      </c>
      <c r="T241" s="1463"/>
      <c r="U241" s="1463"/>
      <c r="V241" s="792" t="s">
        <v>158</v>
      </c>
      <c r="W241" s="792" t="s">
        <v>62</v>
      </c>
      <c r="X241" s="792" t="s">
        <v>60</v>
      </c>
      <c r="Y241" s="1379"/>
      <c r="Z241" s="1165" t="s">
        <v>2690</v>
      </c>
      <c r="AA241" s="794" t="s">
        <v>60</v>
      </c>
      <c r="AB241" s="795" t="s">
        <v>115</v>
      </c>
      <c r="AC241" s="795" t="s">
        <v>154</v>
      </c>
      <c r="AD241" s="719" t="s">
        <v>70</v>
      </c>
      <c r="AE241" s="2222">
        <v>45029</v>
      </c>
      <c r="AF241" s="1912" t="s">
        <v>6198</v>
      </c>
      <c r="AG241" s="2391"/>
      <c r="AH241" s="1376">
        <f ca="1">IFERROR(TODAY()-AE241,"N/A")</f>
        <v>279</v>
      </c>
    </row>
    <row r="242" spans="1:36" s="2335" customFormat="1" ht="29">
      <c r="A242" s="2332">
        <v>44960</v>
      </c>
      <c r="B242" s="2332"/>
      <c r="C242" s="2333" t="s">
        <v>6199</v>
      </c>
      <c r="D242" s="2333"/>
      <c r="E242" s="2333" t="s">
        <v>4961</v>
      </c>
      <c r="F242" s="2333" t="s">
        <v>1170</v>
      </c>
      <c r="G242" s="2333"/>
      <c r="H242" s="2333" t="s">
        <v>1471</v>
      </c>
      <c r="I242" s="2333" t="s">
        <v>1170</v>
      </c>
      <c r="J242" s="2333" t="s">
        <v>203</v>
      </c>
      <c r="K242" s="2333" t="s">
        <v>5026</v>
      </c>
      <c r="L242" s="2333"/>
      <c r="M242" s="2333"/>
      <c r="N242" s="2333"/>
      <c r="O242" s="2333" t="s">
        <v>6132</v>
      </c>
      <c r="P242" s="2333"/>
      <c r="Q242" s="2333"/>
      <c r="R242" s="2334">
        <v>207.69</v>
      </c>
      <c r="S242" s="2334"/>
      <c r="T242" s="2333"/>
      <c r="U242" s="2333"/>
      <c r="V242" s="2333"/>
      <c r="W242" s="2333"/>
      <c r="X242" s="2333"/>
      <c r="Y242" s="2333"/>
      <c r="Z242" s="2333"/>
      <c r="AA242" s="2333"/>
      <c r="AB242" s="2333"/>
      <c r="AC242" s="2333"/>
      <c r="AD242" s="2333"/>
      <c r="AE242" s="2333"/>
      <c r="AF242" s="2752" t="s">
        <v>4963</v>
      </c>
      <c r="AG242" s="2752"/>
      <c r="AH242" s="2333"/>
      <c r="AI242" s="2932"/>
      <c r="AJ242" s="2932"/>
    </row>
    <row r="243" spans="1:36" s="2323" customFormat="1" ht="29">
      <c r="A243" s="2332">
        <v>44960</v>
      </c>
      <c r="B243" s="2332"/>
      <c r="C243" s="2333" t="s">
        <v>6200</v>
      </c>
      <c r="D243" s="2333"/>
      <c r="E243" s="2333" t="s">
        <v>4961</v>
      </c>
      <c r="F243" s="2333" t="s">
        <v>1170</v>
      </c>
      <c r="G243" s="2333"/>
      <c r="H243" s="2333" t="s">
        <v>1471</v>
      </c>
      <c r="I243" s="2333" t="s">
        <v>1170</v>
      </c>
      <c r="J243" s="2333" t="s">
        <v>5022</v>
      </c>
      <c r="K243" s="2333" t="s">
        <v>5026</v>
      </c>
      <c r="L243" s="2333"/>
      <c r="M243" s="2333"/>
      <c r="N243" s="2333"/>
      <c r="O243" s="2333" t="s">
        <v>6132</v>
      </c>
      <c r="P243" s="2333"/>
      <c r="Q243" s="2333"/>
      <c r="R243" s="2334">
        <v>223.77</v>
      </c>
      <c r="S243" s="2334"/>
      <c r="T243" s="2333"/>
      <c r="U243" s="2333"/>
      <c r="V243" s="2333"/>
      <c r="W243" s="2333"/>
      <c r="X243" s="2333"/>
      <c r="Y243" s="2333"/>
      <c r="Z243" s="2333"/>
      <c r="AA243" s="2333"/>
      <c r="AB243" s="2333"/>
      <c r="AC243" s="2333"/>
      <c r="AD243" s="2333"/>
      <c r="AE243" s="2333"/>
      <c r="AF243" s="2752" t="s">
        <v>4963</v>
      </c>
      <c r="AG243" s="2752"/>
      <c r="AH243" s="2333"/>
    </row>
    <row r="244" spans="1:36" s="1495" customFormat="1" ht="29">
      <c r="A244" s="2332">
        <v>44960</v>
      </c>
      <c r="B244" s="2332"/>
      <c r="C244" s="2333" t="s">
        <v>6201</v>
      </c>
      <c r="D244" s="2333"/>
      <c r="E244" s="2333" t="s">
        <v>4961</v>
      </c>
      <c r="F244" s="2333" t="s">
        <v>1170</v>
      </c>
      <c r="G244" s="2333"/>
      <c r="H244" s="2333" t="s">
        <v>1471</v>
      </c>
      <c r="I244" s="2333" t="s">
        <v>1170</v>
      </c>
      <c r="J244" s="2333" t="s">
        <v>203</v>
      </c>
      <c r="K244" s="2333" t="s">
        <v>5026</v>
      </c>
      <c r="L244" s="2333"/>
      <c r="M244" s="2333"/>
      <c r="N244" s="2333"/>
      <c r="O244" s="2332">
        <v>45566</v>
      </c>
      <c r="P244" s="2333"/>
      <c r="Q244" s="2333"/>
      <c r="R244" s="2334">
        <v>690.74</v>
      </c>
      <c r="S244" s="2334"/>
      <c r="T244" s="2333"/>
      <c r="U244" s="2333"/>
      <c r="V244" s="2333"/>
      <c r="W244" s="2333"/>
      <c r="X244" s="2333"/>
      <c r="Y244" s="2333"/>
      <c r="Z244" s="2333"/>
      <c r="AA244" s="2333"/>
      <c r="AB244" s="2333"/>
      <c r="AC244" s="2333"/>
      <c r="AD244" s="2333"/>
      <c r="AE244" s="2333"/>
      <c r="AF244" s="2752" t="s">
        <v>4963</v>
      </c>
      <c r="AG244" s="2752"/>
      <c r="AH244" s="2333"/>
      <c r="AI244" s="2781"/>
      <c r="AJ244" s="2781"/>
    </row>
    <row r="245" spans="1:36" s="1495" customFormat="1" ht="29">
      <c r="A245" s="2332">
        <v>44960</v>
      </c>
      <c r="B245" s="2332"/>
      <c r="C245" s="2333" t="s">
        <v>6202</v>
      </c>
      <c r="D245" s="2333"/>
      <c r="E245" s="2333" t="s">
        <v>4961</v>
      </c>
      <c r="F245" s="2333" t="s">
        <v>1170</v>
      </c>
      <c r="G245" s="2333"/>
      <c r="H245" s="2333" t="s">
        <v>1471</v>
      </c>
      <c r="I245" s="2333" t="s">
        <v>1170</v>
      </c>
      <c r="J245" s="2333" t="s">
        <v>6203</v>
      </c>
      <c r="K245" s="2333" t="s">
        <v>5940</v>
      </c>
      <c r="L245" s="2333"/>
      <c r="M245" s="2333"/>
      <c r="N245" s="2333"/>
      <c r="O245" s="2333" t="s">
        <v>5031</v>
      </c>
      <c r="P245" s="2333"/>
      <c r="Q245" s="2333"/>
      <c r="R245" s="2334">
        <v>24509.59</v>
      </c>
      <c r="S245" s="2334"/>
      <c r="T245" s="2333"/>
      <c r="U245" s="2333"/>
      <c r="V245" s="2333"/>
      <c r="W245" s="2333"/>
      <c r="X245" s="2333"/>
      <c r="Y245" s="2333"/>
      <c r="Z245" s="2333"/>
      <c r="AA245" s="2333"/>
      <c r="AB245" s="2333"/>
      <c r="AC245" s="2333"/>
      <c r="AD245" s="2333"/>
      <c r="AE245" s="2333"/>
      <c r="AF245" s="2752" t="s">
        <v>4963</v>
      </c>
      <c r="AG245" s="2752"/>
      <c r="AH245" s="2333"/>
      <c r="AI245" s="2781"/>
      <c r="AJ245" s="2781"/>
    </row>
    <row r="246" spans="1:36" s="399" customFormat="1" ht="72.5">
      <c r="A246" s="2317" t="s">
        <v>4941</v>
      </c>
      <c r="B246" s="2317"/>
      <c r="C246" s="2318" t="s">
        <v>6204</v>
      </c>
      <c r="D246" s="2318"/>
      <c r="E246" s="2318" t="s">
        <v>4952</v>
      </c>
      <c r="F246" s="2318" t="s">
        <v>630</v>
      </c>
      <c r="G246" s="2318" t="s">
        <v>1315</v>
      </c>
      <c r="H246" s="2318" t="s">
        <v>1471</v>
      </c>
      <c r="I246" s="2318" t="s">
        <v>34</v>
      </c>
      <c r="J246" s="2318" t="s">
        <v>6205</v>
      </c>
      <c r="K246" s="2318"/>
      <c r="L246" s="2318"/>
      <c r="M246" s="2318"/>
      <c r="N246" s="2318"/>
      <c r="O246" s="2319">
        <v>44620</v>
      </c>
      <c r="P246" s="2320">
        <v>48</v>
      </c>
      <c r="Q246" s="2320" t="s">
        <v>82</v>
      </c>
      <c r="R246" s="2321">
        <v>34000</v>
      </c>
      <c r="S246" s="2321"/>
      <c r="T246" s="2322"/>
      <c r="U246" s="2322"/>
      <c r="V246" s="2320" t="s">
        <v>45</v>
      </c>
      <c r="W246" s="2320"/>
      <c r="X246" s="2320"/>
      <c r="Y246" s="2320" t="s">
        <v>1182</v>
      </c>
      <c r="Z246" s="2318" t="s">
        <v>4953</v>
      </c>
      <c r="AA246" s="2318" t="s">
        <v>1170</v>
      </c>
      <c r="AB246" s="2318" t="s">
        <v>1170</v>
      </c>
      <c r="AC246" s="2318"/>
      <c r="AD246" s="2318"/>
      <c r="AE246" s="2318"/>
      <c r="AF246" s="2342" t="s">
        <v>6206</v>
      </c>
      <c r="AG246" s="2342"/>
      <c r="AH246" s="2322"/>
    </row>
    <row r="247" spans="1:36" s="906" customFormat="1" ht="65">
      <c r="A247" s="1564">
        <v>44974</v>
      </c>
      <c r="B247" s="1569" t="s">
        <v>44</v>
      </c>
      <c r="C247" s="1655" t="s">
        <v>45</v>
      </c>
      <c r="D247" s="1632" t="s">
        <v>1254</v>
      </c>
      <c r="E247" s="1653" t="s">
        <v>1168</v>
      </c>
      <c r="F247" s="1655" t="s">
        <v>630</v>
      </c>
      <c r="G247" s="940" t="s">
        <v>1315</v>
      </c>
      <c r="H247" s="1632" t="s">
        <v>1471</v>
      </c>
      <c r="I247" s="1655" t="s">
        <v>1170</v>
      </c>
      <c r="J247" s="2196" t="s">
        <v>6207</v>
      </c>
      <c r="K247" s="1655" t="s">
        <v>6208</v>
      </c>
      <c r="L247" s="2196" t="s">
        <v>1170</v>
      </c>
      <c r="M247" s="2196" t="s">
        <v>1170</v>
      </c>
      <c r="N247" s="2196" t="s">
        <v>1170</v>
      </c>
      <c r="O247" s="1568">
        <v>45323</v>
      </c>
      <c r="P247" s="1655">
        <v>36</v>
      </c>
      <c r="Q247" s="1655" t="s">
        <v>602</v>
      </c>
      <c r="R247" s="2300">
        <v>15686</v>
      </c>
      <c r="S247" s="2372">
        <f>SUM(R247*20%)+R247</f>
        <v>18823.2</v>
      </c>
      <c r="T247" s="2205" t="s">
        <v>1170</v>
      </c>
      <c r="U247" s="2525"/>
      <c r="V247" s="1632" t="s">
        <v>130</v>
      </c>
      <c r="W247" s="1655" t="s">
        <v>1170</v>
      </c>
      <c r="X247" s="1655" t="s">
        <v>1170</v>
      </c>
      <c r="Y247" s="1655"/>
      <c r="Z247" s="1655" t="s">
        <v>1246</v>
      </c>
      <c r="AA247" s="1653" t="s">
        <v>1170</v>
      </c>
      <c r="AB247" s="1655" t="s">
        <v>1170</v>
      </c>
      <c r="AC247" s="1655" t="s">
        <v>1170</v>
      </c>
      <c r="AD247" s="1655" t="s">
        <v>1170</v>
      </c>
      <c r="AE247" s="2222">
        <v>44980</v>
      </c>
      <c r="AF247" s="2212" t="s">
        <v>6209</v>
      </c>
      <c r="AG247" s="2205" t="s">
        <v>1170</v>
      </c>
      <c r="AH247" s="1376">
        <f ca="1">IFERROR(TODAY()-AE247,"N/A")</f>
        <v>328</v>
      </c>
    </row>
    <row r="248" spans="1:36" s="906" customFormat="1" ht="52">
      <c r="A248" s="749"/>
      <c r="B248" s="782" t="s">
        <v>44</v>
      </c>
      <c r="C248" s="738" t="s">
        <v>45</v>
      </c>
      <c r="D248" s="808" t="s">
        <v>32</v>
      </c>
      <c r="E248" s="794" t="s">
        <v>449</v>
      </c>
      <c r="F248" s="739" t="s">
        <v>361</v>
      </c>
      <c r="G248" s="2188" t="s">
        <v>362</v>
      </c>
      <c r="H248" s="710" t="s">
        <v>514</v>
      </c>
      <c r="I248" s="710" t="s">
        <v>34</v>
      </c>
      <c r="J248" s="709" t="s">
        <v>4381</v>
      </c>
      <c r="K248" s="710"/>
      <c r="L248" s="710" t="e">
        <f>IF(OR(V248=#REF!,V248=#REF!,V248=#REF!,V248=#REF!,V248=#REF!,V248=#REF!,V248=#REF!,V248=#REF!),12,IF(OR(V248=#REF!,V248=#REF!,V248=#REF!,V248=#REF!,V248=#REF!,V248=#REF!,V248=#REF!),3,IF(V248=#REF!,1,IF(V248=#REF!,18,IF(OR(V248=#REF!,V248=#REF!,V248=#REF!,V248=#REF!,V248=#REF!),14,"Invalid proposed procurement method")))))</f>
        <v>#REF!</v>
      </c>
      <c r="M248" s="769" t="str">
        <f>IFERROR(EDATE($N248,-3),"Invalid procurement method or date entered")</f>
        <v>Invalid procurement method or date entered</v>
      </c>
      <c r="N248" s="769" t="str">
        <f>IFERROR(EDATE(O248,-L248),"Invalid procurement method or date entered")</f>
        <v>Invalid procurement method or date entered</v>
      </c>
      <c r="O248" s="769">
        <v>45575</v>
      </c>
      <c r="P248" s="710">
        <v>120</v>
      </c>
      <c r="Q248" s="710" t="s">
        <v>6210</v>
      </c>
      <c r="R248" s="742">
        <v>130000</v>
      </c>
      <c r="S248" s="937">
        <f>IF(ISNUMBER(R248),SUM(R248*20%)+R248,"")</f>
        <v>156000</v>
      </c>
      <c r="T248" s="1285"/>
      <c r="U248" s="2526"/>
      <c r="V248" s="1333" t="s">
        <v>91</v>
      </c>
      <c r="W248" s="905" t="s">
        <v>45</v>
      </c>
      <c r="X248" s="905" t="s">
        <v>45</v>
      </c>
      <c r="Y248" s="905"/>
      <c r="Z248" s="710" t="s">
        <v>379</v>
      </c>
      <c r="AA248" s="710" t="s">
        <v>1334</v>
      </c>
      <c r="AB248" s="710" t="s">
        <v>727</v>
      </c>
      <c r="AC248" s="750" t="s">
        <v>154</v>
      </c>
      <c r="AD248" s="710" t="s">
        <v>70</v>
      </c>
      <c r="AE248" s="2222">
        <v>45043</v>
      </c>
      <c r="AF248" s="2509" t="s">
        <v>6211</v>
      </c>
      <c r="AG248" s="741" t="s">
        <v>73</v>
      </c>
      <c r="AH248" s="1376">
        <f ca="1">IFERROR(TODAY()-AE248,"N/A")</f>
        <v>265</v>
      </c>
      <c r="AI248" s="908"/>
      <c r="AJ248" s="908"/>
    </row>
    <row r="249" spans="1:36" s="906" customFormat="1" ht="52">
      <c r="A249" s="1166">
        <v>44953</v>
      </c>
      <c r="B249" s="1407" t="s">
        <v>44</v>
      </c>
      <c r="C249" s="1277" t="s">
        <v>45</v>
      </c>
      <c r="D249" s="1311" t="s">
        <v>32</v>
      </c>
      <c r="E249" s="1385" t="s">
        <v>449</v>
      </c>
      <c r="F249" s="1385" t="s">
        <v>361</v>
      </c>
      <c r="G249" s="1455" t="s">
        <v>1440</v>
      </c>
      <c r="H249" s="710" t="s">
        <v>46</v>
      </c>
      <c r="I249" s="698" t="s">
        <v>47</v>
      </c>
      <c r="J249" s="2442" t="s">
        <v>6212</v>
      </c>
      <c r="K249" s="698" t="s">
        <v>1170</v>
      </c>
      <c r="L249" s="698" t="s">
        <v>1170</v>
      </c>
      <c r="M249" s="1457" t="str">
        <f>IFERROR(EDATE($N249,-3),"Invalid procurement method or date entered")</f>
        <v>Invalid procurement method or date entered</v>
      </c>
      <c r="N249" s="1457" t="s">
        <v>1170</v>
      </c>
      <c r="O249" s="1457" t="s">
        <v>837</v>
      </c>
      <c r="P249" s="1277" t="s">
        <v>1170</v>
      </c>
      <c r="Q249" s="1277" t="s">
        <v>1170</v>
      </c>
      <c r="R249" s="930" t="s">
        <v>1170</v>
      </c>
      <c r="S249" s="937" t="str">
        <f>IF(ISNUMBER(R249),SUM(R249*20%)+R249,"")</f>
        <v/>
      </c>
      <c r="T249" s="1477" t="s">
        <v>1170</v>
      </c>
      <c r="U249" s="1477"/>
      <c r="V249" s="1431" t="s">
        <v>51</v>
      </c>
      <c r="W249" s="1477" t="s">
        <v>1170</v>
      </c>
      <c r="X249" s="1277" t="s">
        <v>1170</v>
      </c>
      <c r="Y249" s="1277"/>
      <c r="Z249" s="698" t="s">
        <v>6213</v>
      </c>
      <c r="AA249" s="698" t="s">
        <v>54</v>
      </c>
      <c r="AB249" s="698" t="s">
        <v>1170</v>
      </c>
      <c r="AC249" s="698" t="s">
        <v>1170</v>
      </c>
      <c r="AD249" s="698" t="s">
        <v>1170</v>
      </c>
      <c r="AE249" s="2222">
        <v>45008</v>
      </c>
      <c r="AF249" s="1453" t="s">
        <v>6214</v>
      </c>
      <c r="AG249" s="698" t="s">
        <v>806</v>
      </c>
      <c r="AH249" s="1376">
        <f ca="1">IFERROR(TODAY()-AE249,"N/A")</f>
        <v>300</v>
      </c>
    </row>
    <row r="250" spans="1:36" s="906" customFormat="1" ht="39">
      <c r="A250" s="749" t="s">
        <v>5000</v>
      </c>
      <c r="B250" s="737" t="s">
        <v>44</v>
      </c>
      <c r="C250" s="738" t="s">
        <v>45</v>
      </c>
      <c r="D250" s="708" t="s">
        <v>32</v>
      </c>
      <c r="E250" s="794" t="s">
        <v>449</v>
      </c>
      <c r="F250" s="708" t="s">
        <v>1373</v>
      </c>
      <c r="G250" s="1449" t="s">
        <v>5001</v>
      </c>
      <c r="H250" s="710" t="s">
        <v>127</v>
      </c>
      <c r="I250" s="710" t="s">
        <v>47</v>
      </c>
      <c r="J250" s="709" t="s">
        <v>387</v>
      </c>
      <c r="K250" s="710"/>
      <c r="L250" s="710">
        <v>5</v>
      </c>
      <c r="M250" s="769">
        <f>IFERROR(EDATE($N250,-3),"Invalid procurement method or date entered")</f>
        <v>44685</v>
      </c>
      <c r="N250" s="769">
        <f>IFERROR(EDATE(O250,-L250),"Invalid procurement method or date entered")</f>
        <v>44777</v>
      </c>
      <c r="O250" s="769">
        <v>44930</v>
      </c>
      <c r="P250" s="750" t="s">
        <v>45</v>
      </c>
      <c r="Q250" s="1470" t="s">
        <v>45</v>
      </c>
      <c r="R250" s="742">
        <v>13310</v>
      </c>
      <c r="S250" s="937">
        <f>IF(ISNUMBER(R250),SUM(R250*20%)+R250,"")</f>
        <v>15972</v>
      </c>
      <c r="T250" s="793">
        <v>13310</v>
      </c>
      <c r="U250" s="806"/>
      <c r="V250" s="710" t="s">
        <v>51</v>
      </c>
      <c r="W250" s="710" t="s">
        <v>38</v>
      </c>
      <c r="X250" s="738" t="s">
        <v>67</v>
      </c>
      <c r="Y250" s="738"/>
      <c r="Z250" s="710" t="s">
        <v>388</v>
      </c>
      <c r="AA250" s="801" t="s">
        <v>54</v>
      </c>
      <c r="AB250" s="710" t="s">
        <v>115</v>
      </c>
      <c r="AC250" s="710" t="s">
        <v>154</v>
      </c>
      <c r="AD250" s="750" t="s">
        <v>70</v>
      </c>
      <c r="AE250" s="2222">
        <v>45008</v>
      </c>
      <c r="AF250" s="2213" t="s">
        <v>6215</v>
      </c>
      <c r="AG250" s="741" t="s">
        <v>79</v>
      </c>
      <c r="AH250" s="1376">
        <f ca="1">IFERROR(TODAY()-AE250,"N/A")</f>
        <v>300</v>
      </c>
    </row>
    <row r="251" spans="1:36" s="906" customFormat="1" ht="65">
      <c r="A251" s="2493">
        <v>44974</v>
      </c>
      <c r="B251" s="2287" t="s">
        <v>44</v>
      </c>
      <c r="C251" s="2287" t="s">
        <v>45</v>
      </c>
      <c r="D251" s="2286" t="s">
        <v>1254</v>
      </c>
      <c r="E251" s="2287" t="s">
        <v>1168</v>
      </c>
      <c r="F251" s="2287" t="s">
        <v>630</v>
      </c>
      <c r="G251" s="1490" t="s">
        <v>1315</v>
      </c>
      <c r="H251" s="2286" t="s">
        <v>4950</v>
      </c>
      <c r="I251" s="1571" t="s">
        <v>1170</v>
      </c>
      <c r="J251" s="2472" t="s">
        <v>6216</v>
      </c>
      <c r="K251" s="1571" t="s">
        <v>589</v>
      </c>
      <c r="L251" s="1567" t="s">
        <v>1170</v>
      </c>
      <c r="M251" s="1567" t="s">
        <v>1170</v>
      </c>
      <c r="N251" s="1567" t="s">
        <v>1170</v>
      </c>
      <c r="O251" s="1572" t="s">
        <v>45</v>
      </c>
      <c r="P251" s="1575" t="s">
        <v>45</v>
      </c>
      <c r="Q251" s="1571" t="s">
        <v>45</v>
      </c>
      <c r="R251" s="1574">
        <v>80000</v>
      </c>
      <c r="S251" s="937">
        <f t="shared" ref="S251:S256" si="18">IF(ISNUMBER(R251),SUM(R251*20%)+R251,"")</f>
        <v>96000</v>
      </c>
      <c r="T251" s="1567" t="s">
        <v>1170</v>
      </c>
      <c r="U251" s="1567"/>
      <c r="V251" s="2502" t="s">
        <v>84</v>
      </c>
      <c r="W251" s="1571" t="s">
        <v>1170</v>
      </c>
      <c r="X251" s="1571" t="s">
        <v>1170</v>
      </c>
      <c r="Y251" s="1571"/>
      <c r="Z251" s="1630" t="s">
        <v>2583</v>
      </c>
      <c r="AA251" s="1571" t="s">
        <v>1170</v>
      </c>
      <c r="AB251" s="1571" t="s">
        <v>1170</v>
      </c>
      <c r="AC251" s="1571" t="s">
        <v>1170</v>
      </c>
      <c r="AD251" s="1571" t="s">
        <v>1170</v>
      </c>
      <c r="AE251" s="2222">
        <v>44978</v>
      </c>
      <c r="AF251" s="2216" t="s">
        <v>6217</v>
      </c>
      <c r="AG251" s="1567" t="s">
        <v>1170</v>
      </c>
      <c r="AH251" s="1376">
        <f t="shared" ref="AH251:AH256" ca="1" si="19">IFERROR(TODAY()-AE251,"N/A")</f>
        <v>330</v>
      </c>
    </row>
    <row r="252" spans="1:36" s="2402" customFormat="1" ht="52">
      <c r="A252" s="749">
        <v>44949</v>
      </c>
      <c r="B252" s="725" t="s">
        <v>44</v>
      </c>
      <c r="C252" s="726" t="s">
        <v>45</v>
      </c>
      <c r="D252" s="727" t="s">
        <v>6218</v>
      </c>
      <c r="E252" s="794" t="s">
        <v>449</v>
      </c>
      <c r="F252" s="1311" t="s">
        <v>1373</v>
      </c>
      <c r="G252" s="1385" t="s">
        <v>6218</v>
      </c>
      <c r="H252" s="730" t="s">
        <v>46</v>
      </c>
      <c r="I252" s="726" t="s">
        <v>47</v>
      </c>
      <c r="J252" s="729" t="s">
        <v>6219</v>
      </c>
      <c r="K252" s="726"/>
      <c r="L252" s="730"/>
      <c r="M252" s="731">
        <v>44958</v>
      </c>
      <c r="N252" s="712"/>
      <c r="O252" s="759" t="s">
        <v>45</v>
      </c>
      <c r="P252" s="760"/>
      <c r="Q252" s="761"/>
      <c r="R252" s="937">
        <v>100000</v>
      </c>
      <c r="S252" s="937">
        <f t="shared" si="18"/>
        <v>120000</v>
      </c>
      <c r="T252" s="1255">
        <v>100000</v>
      </c>
      <c r="U252" s="1938"/>
      <c r="V252" s="711" t="s">
        <v>176</v>
      </c>
      <c r="W252" s="757" t="s">
        <v>62</v>
      </c>
      <c r="X252" s="711" t="s">
        <v>67</v>
      </c>
      <c r="Y252" s="711"/>
      <c r="Z252" s="726" t="s">
        <v>6220</v>
      </c>
      <c r="AA252" s="710" t="s">
        <v>5005</v>
      </c>
      <c r="AB252" s="762" t="s">
        <v>40</v>
      </c>
      <c r="AC252" s="762" t="s">
        <v>154</v>
      </c>
      <c r="AD252" s="695" t="s">
        <v>70</v>
      </c>
      <c r="AE252" s="2222">
        <v>45043</v>
      </c>
      <c r="AF252" s="1290" t="s">
        <v>6221</v>
      </c>
      <c r="AG252" s="1273"/>
      <c r="AH252" s="1376">
        <f t="shared" ca="1" si="19"/>
        <v>265</v>
      </c>
      <c r="AI252" s="906"/>
      <c r="AJ252" s="906"/>
    </row>
    <row r="253" spans="1:36" s="2402" customFormat="1" ht="26">
      <c r="A253" s="749"/>
      <c r="B253" s="782" t="s">
        <v>44</v>
      </c>
      <c r="C253" s="738">
        <v>30219</v>
      </c>
      <c r="D253" s="808" t="s">
        <v>32</v>
      </c>
      <c r="E253" s="794" t="s">
        <v>449</v>
      </c>
      <c r="F253" s="808" t="s">
        <v>1067</v>
      </c>
      <c r="G253" s="781" t="s">
        <v>569</v>
      </c>
      <c r="H253" s="710" t="s">
        <v>33</v>
      </c>
      <c r="I253" s="710" t="s">
        <v>34</v>
      </c>
      <c r="J253" s="709" t="s">
        <v>2184</v>
      </c>
      <c r="K253" s="710" t="s">
        <v>5351</v>
      </c>
      <c r="L253" s="710">
        <v>14</v>
      </c>
      <c r="M253" s="769">
        <f>IFERROR(EDATE($N253,-3),"Invalid procurement method or date entered")</f>
        <v>45009</v>
      </c>
      <c r="N253" s="769">
        <f>IFERROR(EDATE(O253,-L253),"Invalid procurement method or date entered")</f>
        <v>45101</v>
      </c>
      <c r="O253" s="947">
        <v>45528</v>
      </c>
      <c r="P253" s="710">
        <v>48</v>
      </c>
      <c r="Q253" s="1258" t="s">
        <v>982</v>
      </c>
      <c r="R253" s="937">
        <v>100000</v>
      </c>
      <c r="S253" s="937">
        <f t="shared" si="18"/>
        <v>120000</v>
      </c>
      <c r="T253" s="793"/>
      <c r="U253" s="806"/>
      <c r="V253" s="710" t="s">
        <v>84</v>
      </c>
      <c r="W253" s="710" t="s">
        <v>62</v>
      </c>
      <c r="X253" s="711" t="s">
        <v>60</v>
      </c>
      <c r="Y253" s="711"/>
      <c r="Z253" s="710" t="s">
        <v>5335</v>
      </c>
      <c r="AA253" s="784" t="s">
        <v>1334</v>
      </c>
      <c r="AB253" s="710" t="s">
        <v>727</v>
      </c>
      <c r="AC253" s="710" t="s">
        <v>87</v>
      </c>
      <c r="AD253" s="710" t="s">
        <v>70</v>
      </c>
      <c r="AE253" s="2222">
        <v>45043</v>
      </c>
      <c r="AF253" s="717" t="s">
        <v>5925</v>
      </c>
      <c r="AG253" s="723" t="s">
        <v>443</v>
      </c>
      <c r="AH253" s="1376">
        <f t="shared" ca="1" si="19"/>
        <v>265</v>
      </c>
      <c r="AI253" s="906"/>
      <c r="AJ253" s="906"/>
    </row>
    <row r="254" spans="1:36" s="2402" customFormat="1" ht="78">
      <c r="A254" s="749">
        <v>45044</v>
      </c>
      <c r="B254" s="737" t="s">
        <v>44</v>
      </c>
      <c r="C254" s="738">
        <v>48877</v>
      </c>
      <c r="D254" s="739" t="s">
        <v>32</v>
      </c>
      <c r="E254" s="794" t="s">
        <v>449</v>
      </c>
      <c r="F254" s="1311" t="s">
        <v>361</v>
      </c>
      <c r="G254" s="1455" t="s">
        <v>569</v>
      </c>
      <c r="H254" s="710" t="s">
        <v>33</v>
      </c>
      <c r="I254" s="710" t="s">
        <v>47</v>
      </c>
      <c r="J254" s="709" t="s">
        <v>5510</v>
      </c>
      <c r="K254" s="710" t="s">
        <v>1105</v>
      </c>
      <c r="L254" s="710" t="e">
        <f>IF(OR(V254=#REF!,V254=#REF!,V254=#REF!,V254=#REF!,V254=#REF!,V254=#REF!,V254=#REF!,V254=#REF!),12,IF(OR(V254=#REF!,V254=#REF!,V254=#REF!,V254=#REF!,V254=#REF!,V254=#REF!,V254=#REF!),3,IF(V254=#REF!,1,IF(V254=#REF!,18,IF(OR(V254=#REF!,V254=#REF!,V254=#REF!,V254=#REF!,V254=#REF!),14,"Invalid proposed procurement method")))))</f>
        <v>#REF!</v>
      </c>
      <c r="M254" s="769" t="str">
        <f>IFERROR(EDATE($N254,-3),"Invalid procurement method or date entered")</f>
        <v>Invalid procurement method or date entered</v>
      </c>
      <c r="N254" s="769" t="str">
        <f>IFERROR(EDATE(O254,-L254),"Invalid procurement method or date entered")</f>
        <v>Invalid procurement method or date entered</v>
      </c>
      <c r="O254" s="947">
        <v>46142</v>
      </c>
      <c r="P254" s="740">
        <v>36</v>
      </c>
      <c r="Q254" s="766" t="s">
        <v>98</v>
      </c>
      <c r="R254" s="937">
        <v>760731</v>
      </c>
      <c r="S254" s="937">
        <f t="shared" si="18"/>
        <v>912877.2</v>
      </c>
      <c r="T254" s="1289" t="s">
        <v>2318</v>
      </c>
      <c r="U254" s="2476" t="s">
        <v>45</v>
      </c>
      <c r="V254" s="743" t="s">
        <v>45</v>
      </c>
      <c r="W254" s="885" t="s">
        <v>5511</v>
      </c>
      <c r="X254" s="2577" t="s">
        <v>6222</v>
      </c>
      <c r="Y254" s="886"/>
      <c r="Z254" s="710" t="s">
        <v>6223</v>
      </c>
      <c r="AA254" s="2275" t="s">
        <v>45</v>
      </c>
      <c r="AB254" s="710" t="s">
        <v>115</v>
      </c>
      <c r="AC254" s="710" t="s">
        <v>87</v>
      </c>
      <c r="AD254" s="710" t="s">
        <v>38</v>
      </c>
      <c r="AE254" s="2222"/>
      <c r="AF254" s="1292" t="s">
        <v>6224</v>
      </c>
      <c r="AG254" s="723" t="s">
        <v>806</v>
      </c>
      <c r="AH254" s="1376">
        <f t="shared" ca="1" si="19"/>
        <v>45308</v>
      </c>
      <c r="AI254" s="906"/>
      <c r="AJ254" s="906"/>
    </row>
    <row r="255" spans="1:36" s="906" customFormat="1" ht="52">
      <c r="A255" s="749">
        <v>44951</v>
      </c>
      <c r="B255" s="755" t="s">
        <v>56</v>
      </c>
      <c r="C255" s="707" t="s">
        <v>45</v>
      </c>
      <c r="D255" s="710" t="s">
        <v>847</v>
      </c>
      <c r="E255" s="794" t="s">
        <v>449</v>
      </c>
      <c r="F255" s="1311" t="s">
        <v>361</v>
      </c>
      <c r="G255" s="1455" t="s">
        <v>362</v>
      </c>
      <c r="H255" s="710" t="s">
        <v>4946</v>
      </c>
      <c r="I255" s="710" t="s">
        <v>47</v>
      </c>
      <c r="J255" s="931" t="s">
        <v>6225</v>
      </c>
      <c r="K255" s="710"/>
      <c r="L255" s="710">
        <v>3</v>
      </c>
      <c r="M255" s="711">
        <v>45022</v>
      </c>
      <c r="N255" s="712" t="s">
        <v>60</v>
      </c>
      <c r="O255" s="713">
        <v>45108</v>
      </c>
      <c r="P255" s="777">
        <v>1</v>
      </c>
      <c r="Q255" s="777">
        <v>1</v>
      </c>
      <c r="R255" s="742">
        <v>2877000</v>
      </c>
      <c r="S255" s="937">
        <f t="shared" si="18"/>
        <v>3452400</v>
      </c>
      <c r="T255" s="1179"/>
      <c r="U255" s="2476" t="s">
        <v>6226</v>
      </c>
      <c r="V255" s="743" t="s">
        <v>61</v>
      </c>
      <c r="W255" s="710" t="s">
        <v>589</v>
      </c>
      <c r="X255" s="710" t="s">
        <v>45</v>
      </c>
      <c r="Y255" s="700"/>
      <c r="Z255" s="710" t="s">
        <v>60</v>
      </c>
      <c r="AA255" s="710" t="s">
        <v>6227</v>
      </c>
      <c r="AB255" s="710" t="s">
        <v>115</v>
      </c>
      <c r="AC255" s="710" t="s">
        <v>45</v>
      </c>
      <c r="AD255" s="724" t="s">
        <v>70</v>
      </c>
      <c r="AE255" s="2222">
        <v>45056</v>
      </c>
      <c r="AF255" s="857" t="s">
        <v>6228</v>
      </c>
      <c r="AG255" s="723"/>
      <c r="AH255" s="1376">
        <f t="shared" ca="1" si="19"/>
        <v>252</v>
      </c>
    </row>
    <row r="256" spans="1:36" s="950" customFormat="1" ht="52">
      <c r="A256" s="1403"/>
      <c r="B256" s="1663" t="s">
        <v>44</v>
      </c>
      <c r="C256" s="786" t="s">
        <v>45</v>
      </c>
      <c r="D256" s="1384" t="s">
        <v>32</v>
      </c>
      <c r="E256" s="899" t="s">
        <v>449</v>
      </c>
      <c r="F256" s="1384" t="s">
        <v>361</v>
      </c>
      <c r="G256" s="2569" t="s">
        <v>569</v>
      </c>
      <c r="H256" s="784" t="s">
        <v>33</v>
      </c>
      <c r="I256" s="784" t="s">
        <v>47</v>
      </c>
      <c r="J256" s="2570" t="s">
        <v>2534</v>
      </c>
      <c r="K256" s="784"/>
      <c r="L256" s="784" t="e">
        <f>IF(OR(V256=#REF!,V256=#REF!,V256=#REF!,V256=#REF!,V256=#REF!,V256=#REF!,V256=#REF!,V256=#REF!),12,IF(OR(V256=#REF!,V256=#REF!,V256=#REF!,V256=#REF!,V256=#REF!,V256=#REF!,V256=#REF!),3,IF(V256=#REF!,1,IF(V256=#REF!,18,IF(OR(V256=#REF!,V256=#REF!,V256=#REF!,V256=#REF!,V256=#REF!),14,"Invalid proposed procurement method")))))</f>
        <v>#REF!</v>
      </c>
      <c r="M256" s="2456" t="str">
        <f>IFERROR(EDATE($N256,-3),"Invalid procurement method or date entered")</f>
        <v>Invalid procurement method or date entered</v>
      </c>
      <c r="N256" s="1247" t="str">
        <f>IFERROR(EDATE(O256,-L256),"Invalid procurement method or date entered")</f>
        <v>Invalid procurement method or date entered</v>
      </c>
      <c r="O256" s="1329">
        <v>45383</v>
      </c>
      <c r="P256" s="1435" t="s">
        <v>45</v>
      </c>
      <c r="Q256" s="1432" t="s">
        <v>45</v>
      </c>
      <c r="R256" s="929" t="s">
        <v>45</v>
      </c>
      <c r="S256" s="2510" t="str">
        <f t="shared" si="18"/>
        <v/>
      </c>
      <c r="T256" s="2512" t="s">
        <v>3869</v>
      </c>
      <c r="U256" s="2483" t="s">
        <v>45</v>
      </c>
      <c r="V256" s="789" t="s">
        <v>45</v>
      </c>
      <c r="W256" s="2543" t="s">
        <v>45</v>
      </c>
      <c r="X256" s="2460" t="s">
        <v>45</v>
      </c>
      <c r="Y256" s="2460"/>
      <c r="Z256" s="784" t="s">
        <v>5002</v>
      </c>
      <c r="AA256" s="2469" t="s">
        <v>94</v>
      </c>
      <c r="AB256" s="784" t="s">
        <v>727</v>
      </c>
      <c r="AC256" s="784" t="s">
        <v>69</v>
      </c>
      <c r="AD256" s="784" t="s">
        <v>70</v>
      </c>
      <c r="AE256" s="2260">
        <v>45042</v>
      </c>
      <c r="AF256" s="2533" t="s">
        <v>6229</v>
      </c>
      <c r="AG256" s="1432" t="s">
        <v>96</v>
      </c>
      <c r="AH256" s="2445">
        <f t="shared" ca="1" si="19"/>
        <v>266</v>
      </c>
    </row>
    <row r="257" spans="1:36" s="906" customFormat="1" ht="52">
      <c r="A257" s="2314">
        <v>44957</v>
      </c>
      <c r="B257" s="1165" t="s">
        <v>44</v>
      </c>
      <c r="C257" s="1165" t="s">
        <v>3553</v>
      </c>
      <c r="D257" s="723" t="s">
        <v>32</v>
      </c>
      <c r="E257" s="794" t="s">
        <v>449</v>
      </c>
      <c r="F257" s="723" t="s">
        <v>361</v>
      </c>
      <c r="G257" s="723" t="s">
        <v>569</v>
      </c>
      <c r="H257" s="723" t="s">
        <v>33</v>
      </c>
      <c r="I257" s="1165" t="s">
        <v>268</v>
      </c>
      <c r="J257" s="1616" t="s">
        <v>3554</v>
      </c>
      <c r="K257" s="1165" t="s">
        <v>5487</v>
      </c>
      <c r="L257" s="794"/>
      <c r="M257" s="2012"/>
      <c r="N257" s="1161"/>
      <c r="O257" s="1273"/>
      <c r="P257" s="761"/>
      <c r="Q257" s="761"/>
      <c r="R257" s="807"/>
      <c r="S257" s="1289" t="str">
        <f t="shared" ref="S257:S262" si="20">IF(ISNUMBER(R257),SUM(R257*20%)+R257,"")</f>
        <v/>
      </c>
      <c r="T257" s="1165"/>
      <c r="U257" s="2476" t="s">
        <v>45</v>
      </c>
      <c r="V257" s="1631" t="s">
        <v>45</v>
      </c>
      <c r="W257" s="792"/>
      <c r="X257" s="792"/>
      <c r="Y257" s="792"/>
      <c r="Z257" s="1165"/>
      <c r="AA257" s="2280"/>
      <c r="AB257" s="795"/>
      <c r="AC257" s="795"/>
      <c r="AD257" s="719"/>
      <c r="AE257" s="2279"/>
      <c r="AF257" s="851" t="s">
        <v>5925</v>
      </c>
      <c r="AG257" s="1165"/>
      <c r="AH257" s="719">
        <f t="shared" ref="AH257:AH262" ca="1" si="21">IFERROR(TODAY()-AE257,"N/A")</f>
        <v>45308</v>
      </c>
    </row>
    <row r="258" spans="1:36" s="2402" customFormat="1" ht="15" customHeight="1">
      <c r="A258" s="1166">
        <v>44974</v>
      </c>
      <c r="B258" s="1407" t="s">
        <v>44</v>
      </c>
      <c r="C258" s="1277"/>
      <c r="D258" s="698" t="s">
        <v>32</v>
      </c>
      <c r="E258" s="1385" t="s">
        <v>449</v>
      </c>
      <c r="F258" s="698" t="s">
        <v>361</v>
      </c>
      <c r="G258" s="1311" t="s">
        <v>1440</v>
      </c>
      <c r="H258" s="698" t="s">
        <v>46</v>
      </c>
      <c r="I258" s="1277" t="s">
        <v>47</v>
      </c>
      <c r="J258" s="1449" t="s">
        <v>6230</v>
      </c>
      <c r="K258" s="698"/>
      <c r="L258" s="698"/>
      <c r="M258" s="1457">
        <f>IFERROR(EDATE($N258,-3),"Invalid procurement method or date entered")</f>
        <v>47088</v>
      </c>
      <c r="N258" s="1457">
        <f>IFERROR(EDATE(O258,-L258),"Invalid procurement method or date entered")</f>
        <v>47178</v>
      </c>
      <c r="O258" s="1459">
        <v>47178</v>
      </c>
      <c r="P258" s="1277" t="s">
        <v>45</v>
      </c>
      <c r="Q258" s="698" t="s">
        <v>45</v>
      </c>
      <c r="R258" s="1471" t="s">
        <v>45</v>
      </c>
      <c r="S258" s="937" t="str">
        <f t="shared" si="20"/>
        <v/>
      </c>
      <c r="T258" s="1493"/>
      <c r="U258" s="2476" t="s">
        <v>45</v>
      </c>
      <c r="V258" s="1460" t="s">
        <v>45</v>
      </c>
      <c r="W258" s="1458" t="s">
        <v>38</v>
      </c>
      <c r="X258" s="1458" t="s">
        <v>67</v>
      </c>
      <c r="Y258" s="1458"/>
      <c r="Z258" s="698" t="s">
        <v>6231</v>
      </c>
      <c r="AA258" s="2384" t="s">
        <v>45</v>
      </c>
      <c r="AB258" s="698" t="s">
        <v>115</v>
      </c>
      <c r="AC258" s="698" t="s">
        <v>45</v>
      </c>
      <c r="AD258" s="698" t="s">
        <v>38</v>
      </c>
      <c r="AE258" s="2222"/>
      <c r="AF258" s="1449" t="s">
        <v>6232</v>
      </c>
      <c r="AG258" s="1277" t="s">
        <v>2268</v>
      </c>
      <c r="AH258" s="1376">
        <f t="shared" ca="1" si="21"/>
        <v>45308</v>
      </c>
      <c r="AI258" s="906"/>
      <c r="AJ258" s="906"/>
    </row>
    <row r="259" spans="1:36" s="2429" customFormat="1" ht="52">
      <c r="A259" s="749"/>
      <c r="B259" s="725" t="s">
        <v>56</v>
      </c>
      <c r="C259" s="726" t="s">
        <v>60</v>
      </c>
      <c r="D259" s="727" t="s">
        <v>122</v>
      </c>
      <c r="E259" s="794" t="s">
        <v>449</v>
      </c>
      <c r="F259" s="727" t="s">
        <v>122</v>
      </c>
      <c r="G259" s="2187" t="s">
        <v>362</v>
      </c>
      <c r="H259" s="730" t="s">
        <v>4946</v>
      </c>
      <c r="I259" s="726" t="s">
        <v>47</v>
      </c>
      <c r="J259" s="729" t="s">
        <v>5344</v>
      </c>
      <c r="K259" s="726"/>
      <c r="L259" s="730">
        <v>12</v>
      </c>
      <c r="M259" s="731">
        <v>44713</v>
      </c>
      <c r="N259" s="712">
        <f>IF(O259="tbc","",(IFERROR(EDATE(O259,-L259),"Invalid procurement method or date entered")))</f>
        <v>44743</v>
      </c>
      <c r="O259" s="759">
        <v>45108</v>
      </c>
      <c r="P259" s="760" t="s">
        <v>60</v>
      </c>
      <c r="Q259" s="761" t="s">
        <v>60</v>
      </c>
      <c r="R259" s="742">
        <v>2641000</v>
      </c>
      <c r="S259" s="937">
        <f t="shared" si="20"/>
        <v>3169200</v>
      </c>
      <c r="T259" s="1286"/>
      <c r="U259" s="2476" t="s">
        <v>6226</v>
      </c>
      <c r="V259" s="2563" t="s">
        <v>75</v>
      </c>
      <c r="W259" s="2274" t="s">
        <v>310</v>
      </c>
      <c r="X259" s="711" t="s">
        <v>60</v>
      </c>
      <c r="Y259" s="711"/>
      <c r="Z259" s="726" t="s">
        <v>714</v>
      </c>
      <c r="AA259" s="730" t="s">
        <v>351</v>
      </c>
      <c r="AB259" s="762" t="s">
        <v>1087</v>
      </c>
      <c r="AC259" s="762" t="s">
        <v>69</v>
      </c>
      <c r="AD259" s="695" t="s">
        <v>70</v>
      </c>
      <c r="AE259" s="2222">
        <v>45051</v>
      </c>
      <c r="AF259" s="916" t="s">
        <v>6233</v>
      </c>
      <c r="AG259" s="1286"/>
      <c r="AH259" s="1376">
        <f t="shared" ca="1" si="21"/>
        <v>257</v>
      </c>
    </row>
    <row r="260" spans="1:36" s="906" customFormat="1" ht="52">
      <c r="A260" s="2428" t="s">
        <v>4941</v>
      </c>
      <c r="B260" s="2438" t="s">
        <v>56</v>
      </c>
      <c r="C260" s="2410" t="s">
        <v>45</v>
      </c>
      <c r="D260" s="2410" t="s">
        <v>1551</v>
      </c>
      <c r="E260" s="2416" t="s">
        <v>4704</v>
      </c>
      <c r="F260" s="2418" t="s">
        <v>361</v>
      </c>
      <c r="G260" s="2418" t="s">
        <v>4943</v>
      </c>
      <c r="H260" s="710" t="s">
        <v>4956</v>
      </c>
      <c r="I260" s="2410"/>
      <c r="J260" s="2404" t="s">
        <v>6234</v>
      </c>
      <c r="K260" s="2410"/>
      <c r="L260" s="2410"/>
      <c r="M260" s="2411">
        <v>45078</v>
      </c>
      <c r="N260" s="2410"/>
      <c r="O260" s="2430">
        <v>44935</v>
      </c>
      <c r="P260" s="2410"/>
      <c r="Q260" s="2410"/>
      <c r="R260" s="742">
        <v>2100000</v>
      </c>
      <c r="S260" s="937">
        <f t="shared" si="20"/>
        <v>2520000</v>
      </c>
      <c r="T260" s="2561"/>
      <c r="U260" s="1493" t="s">
        <v>2389</v>
      </c>
      <c r="V260" s="2410" t="s">
        <v>6235</v>
      </c>
      <c r="W260" s="2410"/>
      <c r="X260" s="2410"/>
      <c r="Y260" s="2418"/>
      <c r="Z260" s="2410"/>
      <c r="AA260" s="2439" t="s">
        <v>3955</v>
      </c>
      <c r="AB260" s="2410"/>
      <c r="AC260" s="2423"/>
      <c r="AD260" s="2410"/>
      <c r="AE260" s="2571">
        <v>45061</v>
      </c>
      <c r="AF260" s="2487" t="s">
        <v>6236</v>
      </c>
      <c r="AG260" s="2464"/>
      <c r="AH260" s="1376">
        <f t="shared" ca="1" si="21"/>
        <v>247</v>
      </c>
    </row>
    <row r="261" spans="1:36" s="2323" customFormat="1" ht="52">
      <c r="A261" s="2428" t="s">
        <v>4941</v>
      </c>
      <c r="B261" s="2428" t="s">
        <v>56</v>
      </c>
      <c r="C261" s="2410" t="s">
        <v>45</v>
      </c>
      <c r="D261" s="2410" t="s">
        <v>1551</v>
      </c>
      <c r="E261" s="2418" t="s">
        <v>4947</v>
      </c>
      <c r="F261" s="2410" t="s">
        <v>1270</v>
      </c>
      <c r="G261" s="2410" t="s">
        <v>4945</v>
      </c>
      <c r="H261" s="2410" t="s">
        <v>4946</v>
      </c>
      <c r="I261" s="2418" t="s">
        <v>47</v>
      </c>
      <c r="J261" s="2404" t="s">
        <v>6237</v>
      </c>
      <c r="K261" s="2410"/>
      <c r="L261" s="2410"/>
      <c r="M261" s="2410"/>
      <c r="N261" s="2410"/>
      <c r="O261" s="2411" t="s">
        <v>45</v>
      </c>
      <c r="P261" s="2410" t="s">
        <v>1170</v>
      </c>
      <c r="Q261" s="2410" t="s">
        <v>1170</v>
      </c>
      <c r="R261" s="2457" t="s">
        <v>1230</v>
      </c>
      <c r="S261" s="937" t="str">
        <f t="shared" si="20"/>
        <v/>
      </c>
      <c r="T261" s="2431" t="s">
        <v>1170</v>
      </c>
      <c r="U261" s="2482" t="s">
        <v>45</v>
      </c>
      <c r="V261" s="2410" t="s">
        <v>45</v>
      </c>
      <c r="W261" s="2410"/>
      <c r="X261" s="2410"/>
      <c r="Y261" s="2410" t="s">
        <v>1210</v>
      </c>
      <c r="Z261" s="2410" t="s">
        <v>5610</v>
      </c>
      <c r="AA261" s="2410" t="s">
        <v>45</v>
      </c>
      <c r="AB261" s="2410" t="s">
        <v>115</v>
      </c>
      <c r="AC261" s="2410"/>
      <c r="AD261" s="2410"/>
      <c r="AE261" s="2571">
        <v>45061</v>
      </c>
      <c r="AF261" s="2427" t="s">
        <v>6238</v>
      </c>
      <c r="AG261" s="2427"/>
      <c r="AH261" s="1376">
        <f t="shared" ca="1" si="21"/>
        <v>247</v>
      </c>
    </row>
    <row r="262" spans="1:36" s="906" customFormat="1" ht="25.5" customHeight="1">
      <c r="A262" s="749">
        <v>44991</v>
      </c>
      <c r="B262" s="890" t="s">
        <v>56</v>
      </c>
      <c r="C262" s="726" t="s">
        <v>60</v>
      </c>
      <c r="D262" s="726" t="s">
        <v>57</v>
      </c>
      <c r="E262" s="794" t="s">
        <v>449</v>
      </c>
      <c r="F262" s="727" t="s">
        <v>630</v>
      </c>
      <c r="G262" s="2192" t="s">
        <v>1360</v>
      </c>
      <c r="H262" s="730" t="s">
        <v>4946</v>
      </c>
      <c r="I262" s="726" t="s">
        <v>47</v>
      </c>
      <c r="J262" s="729" t="s">
        <v>6239</v>
      </c>
      <c r="K262" s="726"/>
      <c r="L262" s="730">
        <v>3</v>
      </c>
      <c r="M262" s="731">
        <v>45022</v>
      </c>
      <c r="N262" s="712" t="s">
        <v>60</v>
      </c>
      <c r="O262" s="759">
        <v>45082</v>
      </c>
      <c r="P262" s="891">
        <v>3</v>
      </c>
      <c r="Q262" s="891">
        <v>3</v>
      </c>
      <c r="R262" s="742">
        <v>776702</v>
      </c>
      <c r="S262" s="937">
        <f t="shared" si="20"/>
        <v>932042.4</v>
      </c>
      <c r="T262" s="1165"/>
      <c r="U262" s="2476" t="s">
        <v>6226</v>
      </c>
      <c r="V262" s="711" t="s">
        <v>61</v>
      </c>
      <c r="W262" s="757" t="s">
        <v>70</v>
      </c>
      <c r="X262" s="711">
        <v>44895</v>
      </c>
      <c r="Y262" s="711"/>
      <c r="Z262" s="726" t="s">
        <v>5140</v>
      </c>
      <c r="AA262" s="730" t="s">
        <v>312</v>
      </c>
      <c r="AB262" s="1419" t="s">
        <v>727</v>
      </c>
      <c r="AC262" s="762"/>
      <c r="AD262" s="695" t="s">
        <v>70</v>
      </c>
      <c r="AE262" s="2222">
        <v>45078</v>
      </c>
      <c r="AF262" s="2587" t="s">
        <v>6240</v>
      </c>
      <c r="AG262" s="1165"/>
      <c r="AH262" s="1376">
        <f t="shared" ca="1" si="21"/>
        <v>230</v>
      </c>
    </row>
    <row r="263" spans="1:36" s="2589" customFormat="1" ht="15" customHeight="1">
      <c r="A263" s="749">
        <v>44949</v>
      </c>
      <c r="B263" s="782" t="s">
        <v>44</v>
      </c>
      <c r="C263" s="695"/>
      <c r="D263" s="710" t="s">
        <v>709</v>
      </c>
      <c r="E263" s="794" t="s">
        <v>449</v>
      </c>
      <c r="F263" s="710" t="s">
        <v>361</v>
      </c>
      <c r="G263" s="709" t="s">
        <v>569</v>
      </c>
      <c r="H263" s="710" t="s">
        <v>33</v>
      </c>
      <c r="I263" s="710" t="s">
        <v>47</v>
      </c>
      <c r="J263" s="748" t="s">
        <v>4927</v>
      </c>
      <c r="K263" s="801" t="s">
        <v>4928</v>
      </c>
      <c r="L263" s="710">
        <v>4</v>
      </c>
      <c r="M263" s="769">
        <f>IFERROR(EDATE($N263,-3),"Invalid procurement method or date entered")</f>
        <v>45093</v>
      </c>
      <c r="N263" s="769">
        <f>IFERROR(EDATE(O263,-L263),"Invalid procurement method or date entered")</f>
        <v>45185</v>
      </c>
      <c r="O263" s="769">
        <v>45307</v>
      </c>
      <c r="P263" s="738">
        <v>12</v>
      </c>
      <c r="Q263" s="894" t="s">
        <v>50</v>
      </c>
      <c r="R263" s="937"/>
      <c r="S263" s="937" t="str">
        <f t="shared" ref="S263:S268" si="22">IF(ISNUMBER(R263),SUM(R263*20%)+R263,"")</f>
        <v/>
      </c>
      <c r="T263" s="719"/>
      <c r="U263" s="1407"/>
      <c r="V263" s="710" t="s">
        <v>84</v>
      </c>
      <c r="W263" s="710" t="s">
        <v>612</v>
      </c>
      <c r="X263" s="738" t="s">
        <v>38</v>
      </c>
      <c r="Y263" s="738"/>
      <c r="Z263" s="710" t="s">
        <v>1290</v>
      </c>
      <c r="AA263" s="915" t="s">
        <v>5005</v>
      </c>
      <c r="AB263" s="710" t="s">
        <v>115</v>
      </c>
      <c r="AC263" s="750"/>
      <c r="AD263" s="710"/>
      <c r="AE263" s="2222">
        <v>45078</v>
      </c>
      <c r="AF263" s="1122" t="s">
        <v>6241</v>
      </c>
      <c r="AG263" s="723" t="s">
        <v>806</v>
      </c>
      <c r="AH263" s="1376">
        <f t="shared" ref="AH263:AH268" ca="1" si="23">IFERROR(TODAY()-AE263,"N/A")</f>
        <v>230</v>
      </c>
      <c r="AI263" s="906"/>
      <c r="AJ263" s="906"/>
    </row>
    <row r="264" spans="1:36" s="906" customFormat="1" ht="25.5" customHeight="1">
      <c r="A264" s="749"/>
      <c r="B264" s="782" t="s">
        <v>44</v>
      </c>
      <c r="C264" s="738" t="s">
        <v>45</v>
      </c>
      <c r="D264" s="808" t="s">
        <v>32</v>
      </c>
      <c r="E264" s="794" t="s">
        <v>449</v>
      </c>
      <c r="F264" s="1311" t="s">
        <v>361</v>
      </c>
      <c r="G264" s="1455" t="s">
        <v>1440</v>
      </c>
      <c r="H264" s="710" t="s">
        <v>127</v>
      </c>
      <c r="I264" s="710" t="s">
        <v>34</v>
      </c>
      <c r="J264" s="709" t="s">
        <v>2041</v>
      </c>
      <c r="K264" s="710"/>
      <c r="L264" s="710">
        <v>6</v>
      </c>
      <c r="M264" s="769">
        <f>IFERROR(EDATE($N264,-3),"Invalid procurement method or date entered")</f>
        <v>45159</v>
      </c>
      <c r="N264" s="769">
        <f>IFERROR(EDATE(O264,-L264),"Invalid procurement method or date entered")</f>
        <v>45251</v>
      </c>
      <c r="O264" s="769">
        <v>45433</v>
      </c>
      <c r="P264" s="710">
        <v>120</v>
      </c>
      <c r="Q264" s="710" t="s">
        <v>6242</v>
      </c>
      <c r="R264" s="742">
        <v>6140000</v>
      </c>
      <c r="S264" s="2588">
        <f t="shared" si="22"/>
        <v>7368000</v>
      </c>
      <c r="T264" s="793"/>
      <c r="U264" s="793" t="s">
        <v>34</v>
      </c>
      <c r="V264" s="710" t="s">
        <v>130</v>
      </c>
      <c r="W264" s="882" t="s">
        <v>70</v>
      </c>
      <c r="X264" s="882" t="s">
        <v>45</v>
      </c>
      <c r="Y264" s="882"/>
      <c r="Z264" s="710" t="s">
        <v>5015</v>
      </c>
      <c r="AA264" s="2439" t="s">
        <v>1445</v>
      </c>
      <c r="AB264" s="1333" t="s">
        <v>40</v>
      </c>
      <c r="AC264" s="750" t="s">
        <v>87</v>
      </c>
      <c r="AD264" s="710" t="s">
        <v>70</v>
      </c>
      <c r="AE264" s="2222">
        <v>45084</v>
      </c>
      <c r="AF264" s="2595" t="s">
        <v>6243</v>
      </c>
      <c r="AG264" s="741" t="s">
        <v>127</v>
      </c>
      <c r="AH264" s="1376">
        <f t="shared" ca="1" si="23"/>
        <v>224</v>
      </c>
    </row>
    <row r="265" spans="1:36" s="906" customFormat="1" ht="25.5" customHeight="1">
      <c r="A265" s="749">
        <v>44980</v>
      </c>
      <c r="B265" s="737" t="s">
        <v>44</v>
      </c>
      <c r="C265" s="738" t="s">
        <v>4025</v>
      </c>
      <c r="D265" s="708" t="s">
        <v>32</v>
      </c>
      <c r="E265" s="794" t="s">
        <v>449</v>
      </c>
      <c r="F265" s="698" t="s">
        <v>630</v>
      </c>
      <c r="G265" s="1311" t="s">
        <v>1121</v>
      </c>
      <c r="H265" s="710" t="s">
        <v>4950</v>
      </c>
      <c r="I265" s="710" t="s">
        <v>268</v>
      </c>
      <c r="J265" s="709" t="s">
        <v>4026</v>
      </c>
      <c r="K265" s="710" t="s">
        <v>5223</v>
      </c>
      <c r="L265" s="710"/>
      <c r="M265" s="769">
        <v>44958</v>
      </c>
      <c r="N265" s="769">
        <f>IFERROR(EDATE(O265,-L265),"Invalid procurement method or date entered")</f>
        <v>45017</v>
      </c>
      <c r="O265" s="769">
        <v>45017</v>
      </c>
      <c r="P265" s="740" t="s">
        <v>6244</v>
      </c>
      <c r="Q265" s="723" t="s">
        <v>45</v>
      </c>
      <c r="R265" s="742">
        <v>1010367</v>
      </c>
      <c r="S265" s="937">
        <f t="shared" si="22"/>
        <v>1212440.3999999999</v>
      </c>
      <c r="T265" s="719"/>
      <c r="U265" s="2475" t="s">
        <v>45</v>
      </c>
      <c r="V265" s="710" t="s">
        <v>45</v>
      </c>
      <c r="W265" s="731" t="s">
        <v>45</v>
      </c>
      <c r="X265" s="731" t="s">
        <v>67</v>
      </c>
      <c r="Y265" s="731"/>
      <c r="Z265" s="710" t="s">
        <v>2982</v>
      </c>
      <c r="AA265" s="915" t="s">
        <v>1445</v>
      </c>
      <c r="AB265" s="710" t="s">
        <v>115</v>
      </c>
      <c r="AC265" s="710" t="s">
        <v>69</v>
      </c>
      <c r="AD265" s="752"/>
      <c r="AE265" s="2222">
        <v>45090</v>
      </c>
      <c r="AF265" s="2379" t="s">
        <v>6245</v>
      </c>
      <c r="AG265" s="719"/>
      <c r="AH265" s="1376">
        <f t="shared" ca="1" si="23"/>
        <v>218</v>
      </c>
    </row>
    <row r="266" spans="1:36" s="2596" customFormat="1" ht="15" customHeight="1">
      <c r="A266" s="749">
        <v>44972</v>
      </c>
      <c r="B266" s="782" t="s">
        <v>44</v>
      </c>
      <c r="C266" s="738" t="s">
        <v>45</v>
      </c>
      <c r="D266" s="808" t="s">
        <v>32</v>
      </c>
      <c r="E266" s="794" t="s">
        <v>449</v>
      </c>
      <c r="F266" s="808" t="s">
        <v>361</v>
      </c>
      <c r="G266" s="781" t="s">
        <v>1440</v>
      </c>
      <c r="H266" s="710" t="s">
        <v>127</v>
      </c>
      <c r="I266" s="710" t="s">
        <v>34</v>
      </c>
      <c r="J266" s="931" t="s">
        <v>1441</v>
      </c>
      <c r="K266" s="710" t="s">
        <v>1442</v>
      </c>
      <c r="L266" s="710">
        <v>5</v>
      </c>
      <c r="M266" s="769">
        <f>IFERROR(EDATE($N266,-3),"Invalid procurement method or date entered")</f>
        <v>45139</v>
      </c>
      <c r="N266" s="769">
        <f>IFERROR(EDATE(O266,-L266),"Invalid procurement method or date entered")</f>
        <v>45231</v>
      </c>
      <c r="O266" s="769">
        <v>45383</v>
      </c>
      <c r="P266" s="710">
        <v>48</v>
      </c>
      <c r="Q266" s="710" t="s">
        <v>5010</v>
      </c>
      <c r="R266" s="937">
        <v>100000</v>
      </c>
      <c r="S266" s="937">
        <f t="shared" si="22"/>
        <v>120000</v>
      </c>
      <c r="T266" s="793">
        <v>25000</v>
      </c>
      <c r="U266" s="1477" t="s">
        <v>34</v>
      </c>
      <c r="V266" s="710" t="s">
        <v>130</v>
      </c>
      <c r="W266" s="882" t="s">
        <v>38</v>
      </c>
      <c r="X266" s="882" t="s">
        <v>67</v>
      </c>
      <c r="Y266" s="882"/>
      <c r="Z266" s="710" t="s">
        <v>5015</v>
      </c>
      <c r="AA266" s="2439" t="s">
        <v>1445</v>
      </c>
      <c r="AB266" s="1333" t="s">
        <v>40</v>
      </c>
      <c r="AC266" s="750"/>
      <c r="AD266" s="710"/>
      <c r="AE266" s="2222">
        <v>45084</v>
      </c>
      <c r="AF266" s="2594" t="s">
        <v>6246</v>
      </c>
      <c r="AG266" s="741" t="s">
        <v>127</v>
      </c>
      <c r="AH266" s="1376">
        <f t="shared" ca="1" si="23"/>
        <v>224</v>
      </c>
      <c r="AI266" s="906"/>
      <c r="AJ266" s="906"/>
    </row>
    <row r="267" spans="1:36" s="2605" customFormat="1" ht="15" customHeight="1">
      <c r="A267" s="749"/>
      <c r="B267" s="695" t="s">
        <v>44</v>
      </c>
      <c r="C267" s="746"/>
      <c r="D267" s="808" t="s">
        <v>32</v>
      </c>
      <c r="E267" s="730" t="s">
        <v>449</v>
      </c>
      <c r="F267" s="1311" t="s">
        <v>1103</v>
      </c>
      <c r="G267" s="1455" t="s">
        <v>4998</v>
      </c>
      <c r="H267" s="1311" t="s">
        <v>399</v>
      </c>
      <c r="I267" s="695" t="s">
        <v>731</v>
      </c>
      <c r="J267" s="2633" t="s">
        <v>2020</v>
      </c>
      <c r="K267" s="1347" t="s">
        <v>6247</v>
      </c>
      <c r="L267" s="710">
        <v>3</v>
      </c>
      <c r="M267" s="769">
        <v>44756</v>
      </c>
      <c r="N267" s="769">
        <f>IFERROR(EDATE(O267,-L267),"Invalid procurement method or date entered")</f>
        <v>44927</v>
      </c>
      <c r="O267" s="1235">
        <v>45017</v>
      </c>
      <c r="P267" s="710" t="s">
        <v>45</v>
      </c>
      <c r="Q267" s="801" t="s">
        <v>45</v>
      </c>
      <c r="R267" s="1030">
        <v>150000</v>
      </c>
      <c r="S267" s="937">
        <f t="shared" si="22"/>
        <v>180000</v>
      </c>
      <c r="T267" s="2616">
        <v>150000</v>
      </c>
      <c r="U267" s="2475" t="s">
        <v>6226</v>
      </c>
      <c r="V267" s="710" t="s">
        <v>158</v>
      </c>
      <c r="W267" s="731" t="s">
        <v>38</v>
      </c>
      <c r="X267" s="731" t="s">
        <v>67</v>
      </c>
      <c r="Y267" s="731"/>
      <c r="Z267" s="801" t="s">
        <v>6248</v>
      </c>
      <c r="AA267" s="2275" t="s">
        <v>784</v>
      </c>
      <c r="AB267" s="710" t="s">
        <v>727</v>
      </c>
      <c r="AC267" s="710"/>
      <c r="AD267" s="695" t="s">
        <v>70</v>
      </c>
      <c r="AE267" s="2222">
        <v>45091</v>
      </c>
      <c r="AF267" s="918" t="s">
        <v>6249</v>
      </c>
      <c r="AG267" s="710" t="s">
        <v>399</v>
      </c>
      <c r="AH267" s="1376">
        <f t="shared" ca="1" si="23"/>
        <v>217</v>
      </c>
      <c r="AI267" s="2323"/>
      <c r="AJ267" s="2323"/>
    </row>
    <row r="268" spans="1:36" s="2596" customFormat="1" ht="15" customHeight="1">
      <c r="A268" s="749">
        <v>44798</v>
      </c>
      <c r="B268" s="737" t="s">
        <v>44</v>
      </c>
      <c r="C268" s="786" t="s">
        <v>45</v>
      </c>
      <c r="D268" s="1384" t="s">
        <v>709</v>
      </c>
      <c r="E268" s="794" t="s">
        <v>449</v>
      </c>
      <c r="F268" s="1326" t="s">
        <v>361</v>
      </c>
      <c r="G268" s="1431" t="s">
        <v>362</v>
      </c>
      <c r="H268" s="784" t="s">
        <v>46</v>
      </c>
      <c r="I268" s="784" t="s">
        <v>47</v>
      </c>
      <c r="J268" s="2634" t="s">
        <v>6250</v>
      </c>
      <c r="K268" s="2635" t="s">
        <v>67</v>
      </c>
      <c r="L268" s="784"/>
      <c r="M268" s="1247">
        <v>44805</v>
      </c>
      <c r="N268" s="1320" t="s">
        <v>45</v>
      </c>
      <c r="O268" s="947">
        <v>44562</v>
      </c>
      <c r="P268" s="740" t="s">
        <v>45</v>
      </c>
      <c r="Q268" s="741" t="s">
        <v>45</v>
      </c>
      <c r="R268" s="937">
        <v>50000</v>
      </c>
      <c r="S268" s="937">
        <f t="shared" si="22"/>
        <v>60000</v>
      </c>
      <c r="T268" s="793"/>
      <c r="U268" s="2475" t="s">
        <v>6226</v>
      </c>
      <c r="V268" s="789" t="s">
        <v>75</v>
      </c>
      <c r="W268" s="885" t="s">
        <v>38</v>
      </c>
      <c r="X268" s="886" t="s">
        <v>71</v>
      </c>
      <c r="Y268" s="886"/>
      <c r="Z268" s="710" t="s">
        <v>244</v>
      </c>
      <c r="AA268" s="2600" t="s">
        <v>784</v>
      </c>
      <c r="AB268" s="784" t="s">
        <v>115</v>
      </c>
      <c r="AC268" s="710"/>
      <c r="AD268" s="710"/>
      <c r="AE268" s="2222">
        <v>45091</v>
      </c>
      <c r="AF268" s="1275" t="s">
        <v>6251</v>
      </c>
      <c r="AG268" s="723" t="s">
        <v>46</v>
      </c>
      <c r="AH268" s="1376">
        <f t="shared" ca="1" si="23"/>
        <v>217</v>
      </c>
      <c r="AI268" s="906"/>
      <c r="AJ268" s="906"/>
    </row>
    <row r="269" spans="1:36" s="950" customFormat="1" ht="25.5" customHeight="1">
      <c r="A269" s="749">
        <v>44854</v>
      </c>
      <c r="B269" s="725" t="s">
        <v>56</v>
      </c>
      <c r="C269" s="726" t="s">
        <v>60</v>
      </c>
      <c r="D269" s="2400" t="s">
        <v>348</v>
      </c>
      <c r="E269" s="794" t="s">
        <v>449</v>
      </c>
      <c r="F269" s="739" t="s">
        <v>361</v>
      </c>
      <c r="G269" s="1311" t="s">
        <v>362</v>
      </c>
      <c r="H269" s="730" t="s">
        <v>4946</v>
      </c>
      <c r="I269" s="726" t="s">
        <v>47</v>
      </c>
      <c r="J269" s="729" t="s">
        <v>6252</v>
      </c>
      <c r="K269" s="726"/>
      <c r="L269" s="730"/>
      <c r="M269" s="731">
        <v>44854</v>
      </c>
      <c r="N269" s="712" t="s">
        <v>60</v>
      </c>
      <c r="O269" s="712">
        <v>45078</v>
      </c>
      <c r="P269" s="2447" t="s">
        <v>60</v>
      </c>
      <c r="Q269" s="761" t="s">
        <v>60</v>
      </c>
      <c r="R269" s="742" t="s">
        <v>60</v>
      </c>
      <c r="S269" s="937" t="str">
        <f t="shared" ref="S269:S274" si="24">IF(ISNUMBER(R269),SUM(R269*20%)+R269,"")</f>
        <v/>
      </c>
      <c r="T269" s="924"/>
      <c r="U269" s="2475" t="s">
        <v>45</v>
      </c>
      <c r="V269" s="734" t="s">
        <v>60</v>
      </c>
      <c r="W269" s="711" t="s">
        <v>589</v>
      </c>
      <c r="X269" s="711" t="s">
        <v>589</v>
      </c>
      <c r="Y269" s="711"/>
      <c r="Z269" s="730" t="s">
        <v>6253</v>
      </c>
      <c r="AA269" s="730" t="s">
        <v>60</v>
      </c>
      <c r="AB269" s="762" t="s">
        <v>115</v>
      </c>
      <c r="AC269" s="762" t="s">
        <v>69</v>
      </c>
      <c r="AD269" s="752"/>
      <c r="AE269" s="2222">
        <v>45092</v>
      </c>
      <c r="AF269" s="2602" t="s">
        <v>6254</v>
      </c>
      <c r="AG269" s="924"/>
      <c r="AH269" s="1376">
        <f t="shared" ref="AH269:AH274" ca="1" si="25">IFERROR(TODAY()-AE269,"N/A")</f>
        <v>216</v>
      </c>
      <c r="AI269" s="906"/>
      <c r="AJ269" s="906"/>
    </row>
    <row r="270" spans="1:36" s="906" customFormat="1" ht="25.5" customHeight="1">
      <c r="A270" s="749"/>
      <c r="B270" s="725" t="s">
        <v>56</v>
      </c>
      <c r="C270" s="726" t="s">
        <v>60</v>
      </c>
      <c r="D270" s="2400" t="s">
        <v>348</v>
      </c>
      <c r="E270" s="794" t="s">
        <v>449</v>
      </c>
      <c r="F270" s="739" t="s">
        <v>630</v>
      </c>
      <c r="G270" s="2192" t="s">
        <v>1360</v>
      </c>
      <c r="H270" s="730" t="s">
        <v>4959</v>
      </c>
      <c r="I270" s="726" t="s">
        <v>47</v>
      </c>
      <c r="J270" s="729" t="s">
        <v>5296</v>
      </c>
      <c r="K270" s="726"/>
      <c r="L270" s="730">
        <v>12</v>
      </c>
      <c r="M270" s="731">
        <v>44988</v>
      </c>
      <c r="N270" s="712">
        <f>IF(O270="tbc","",(IFERROR(EDATE(O270,-L270),"Invalid procurement method or date entered")))</f>
        <v>45047</v>
      </c>
      <c r="O270" s="759">
        <v>45413</v>
      </c>
      <c r="P270" s="760">
        <v>60</v>
      </c>
      <c r="Q270" s="761" t="s">
        <v>187</v>
      </c>
      <c r="R270" s="742">
        <v>2000000</v>
      </c>
      <c r="S270" s="937">
        <f t="shared" si="24"/>
        <v>2400000</v>
      </c>
      <c r="T270" s="924"/>
      <c r="U270" s="850" t="s">
        <v>1488</v>
      </c>
      <c r="V270" s="734" t="s">
        <v>91</v>
      </c>
      <c r="W270" s="711" t="s">
        <v>589</v>
      </c>
      <c r="X270" s="711" t="s">
        <v>589</v>
      </c>
      <c r="Y270" s="711"/>
      <c r="Z270" s="730" t="s">
        <v>4979</v>
      </c>
      <c r="AA270" s="2172"/>
      <c r="AB270" s="762" t="s">
        <v>115</v>
      </c>
      <c r="AC270" s="1308" t="s">
        <v>69</v>
      </c>
      <c r="AD270" s="695" t="s">
        <v>70</v>
      </c>
      <c r="AE270" s="2222">
        <v>45092</v>
      </c>
      <c r="AF270" s="2534" t="s">
        <v>6255</v>
      </c>
      <c r="AG270" s="924"/>
      <c r="AH270" s="1376">
        <f t="shared" ca="1" si="25"/>
        <v>216</v>
      </c>
    </row>
    <row r="271" spans="1:36" s="906" customFormat="1" ht="25.5" customHeight="1">
      <c r="A271" s="2428" t="s">
        <v>4941</v>
      </c>
      <c r="B271" s="2438" t="s">
        <v>56</v>
      </c>
      <c r="C271" s="2449" t="s">
        <v>6256</v>
      </c>
      <c r="D271" s="2418" t="s">
        <v>1551</v>
      </c>
      <c r="E271" s="2416" t="s">
        <v>4704</v>
      </c>
      <c r="F271" s="2441" t="s">
        <v>361</v>
      </c>
      <c r="G271" s="2573" t="s">
        <v>4943</v>
      </c>
      <c r="H271" s="2449" t="s">
        <v>4622</v>
      </c>
      <c r="I271" s="2449" t="s">
        <v>47</v>
      </c>
      <c r="J271" s="2507" t="s">
        <v>6257</v>
      </c>
      <c r="K271" s="2449"/>
      <c r="L271" s="2418"/>
      <c r="M271" s="2421">
        <v>45069</v>
      </c>
      <c r="N271" s="2418"/>
      <c r="O271" s="2421">
        <v>45016</v>
      </c>
      <c r="P271" s="2418">
        <v>12</v>
      </c>
      <c r="Q271" s="2418">
        <v>12</v>
      </c>
      <c r="R271" s="1638">
        <v>5000</v>
      </c>
      <c r="S271" s="937">
        <f t="shared" si="24"/>
        <v>6000</v>
      </c>
      <c r="T271" s="1289">
        <v>5000</v>
      </c>
      <c r="U271" s="1477" t="s">
        <v>37</v>
      </c>
      <c r="V271" s="2162" t="s">
        <v>37</v>
      </c>
      <c r="W271" s="2449" t="s">
        <v>38</v>
      </c>
      <c r="X271" s="2449"/>
      <c r="Y271" s="2449" t="s">
        <v>6258</v>
      </c>
      <c r="Z271" s="2418" t="s">
        <v>5093</v>
      </c>
      <c r="AA271" s="2608" t="s">
        <v>54</v>
      </c>
      <c r="AB271" s="2449" t="s">
        <v>727</v>
      </c>
      <c r="AC271" s="2415"/>
      <c r="AD271" s="2418" t="s">
        <v>38</v>
      </c>
      <c r="AE271" s="2222">
        <v>45079</v>
      </c>
      <c r="AF271" s="2433" t="s">
        <v>6259</v>
      </c>
      <c r="AG271" s="2390"/>
      <c r="AH271" s="1376">
        <f t="shared" ca="1" si="25"/>
        <v>229</v>
      </c>
    </row>
    <row r="272" spans="1:36" s="906" customFormat="1" ht="25.5" customHeight="1">
      <c r="A272" s="1444" t="s">
        <v>1170</v>
      </c>
      <c r="B272" s="1633" t="s">
        <v>56</v>
      </c>
      <c r="C272" s="1632" t="s">
        <v>1170</v>
      </c>
      <c r="D272" s="1632" t="s">
        <v>4780</v>
      </c>
      <c r="E272" s="1631" t="s">
        <v>1341</v>
      </c>
      <c r="F272" s="1630" t="s">
        <v>361</v>
      </c>
      <c r="G272" s="1490" t="s">
        <v>4943</v>
      </c>
      <c r="H272" s="710" t="s">
        <v>4622</v>
      </c>
      <c r="I272" s="1632" t="s">
        <v>34</v>
      </c>
      <c r="J272" s="2281" t="s">
        <v>6260</v>
      </c>
      <c r="K272" s="1632" t="s">
        <v>6261</v>
      </c>
      <c r="L272" s="1444" t="s">
        <v>1170</v>
      </c>
      <c r="M272" s="2544">
        <v>45170</v>
      </c>
      <c r="N272" s="1444" t="s">
        <v>1170</v>
      </c>
      <c r="O272" s="1637">
        <v>45597</v>
      </c>
      <c r="P272" s="1632">
        <v>48</v>
      </c>
      <c r="Q272" s="1632" t="s">
        <v>1354</v>
      </c>
      <c r="R272" s="1638">
        <v>120000</v>
      </c>
      <c r="S272" s="937">
        <f t="shared" si="24"/>
        <v>144000</v>
      </c>
      <c r="T272" s="1636">
        <v>30000</v>
      </c>
      <c r="U272" s="2476" t="s">
        <v>6226</v>
      </c>
      <c r="V272" s="1632" t="s">
        <v>4970</v>
      </c>
      <c r="W272" s="1632" t="s">
        <v>1170</v>
      </c>
      <c r="X272" s="1632" t="s">
        <v>1170</v>
      </c>
      <c r="Y272" s="1632"/>
      <c r="Z272" s="1632" t="s">
        <v>4997</v>
      </c>
      <c r="AA272" s="1632" t="s">
        <v>45</v>
      </c>
      <c r="AB272" s="1632" t="s">
        <v>727</v>
      </c>
      <c r="AC272" s="1634" t="s">
        <v>1170</v>
      </c>
      <c r="AD272" s="1632" t="s">
        <v>1170</v>
      </c>
      <c r="AE272" s="2222" t="s">
        <v>1170</v>
      </c>
      <c r="AF272" s="2379" t="s">
        <v>6262</v>
      </c>
      <c r="AG272" s="1447" t="s">
        <v>1170</v>
      </c>
      <c r="AH272" s="1376" t="str">
        <f t="shared" ca="1" si="25"/>
        <v>N/A</v>
      </c>
    </row>
    <row r="273" spans="1:36" s="906" customFormat="1" ht="25.5" customHeight="1">
      <c r="A273" s="2428" t="s">
        <v>4941</v>
      </c>
      <c r="B273" s="2438" t="s">
        <v>56</v>
      </c>
      <c r="C273" s="2410" t="s">
        <v>45</v>
      </c>
      <c r="D273" s="2461" t="s">
        <v>1551</v>
      </c>
      <c r="E273" s="2416" t="s">
        <v>4947</v>
      </c>
      <c r="F273" s="2439" t="s">
        <v>1270</v>
      </c>
      <c r="G273" s="2439" t="s">
        <v>4945</v>
      </c>
      <c r="H273" s="2423" t="s">
        <v>4946</v>
      </c>
      <c r="I273" s="2422" t="s">
        <v>47</v>
      </c>
      <c r="J273" s="2603" t="s">
        <v>6263</v>
      </c>
      <c r="K273" s="2461"/>
      <c r="L273" s="2410"/>
      <c r="M273" s="2411">
        <v>45047</v>
      </c>
      <c r="N273" s="2410"/>
      <c r="O273" s="2484">
        <v>45231</v>
      </c>
      <c r="P273" s="2461">
        <v>16</v>
      </c>
      <c r="Q273" s="2461">
        <v>16</v>
      </c>
      <c r="R273" s="742">
        <v>999583</v>
      </c>
      <c r="S273" s="937">
        <f t="shared" si="24"/>
        <v>1199499.6000000001</v>
      </c>
      <c r="T273" s="2408" t="s">
        <v>1170</v>
      </c>
      <c r="U273" s="794" t="s">
        <v>176</v>
      </c>
      <c r="V273" s="2461" t="s">
        <v>176</v>
      </c>
      <c r="W273" s="2461" t="s">
        <v>310</v>
      </c>
      <c r="X273" s="2410" t="s">
        <v>45</v>
      </c>
      <c r="Y273" s="2461" t="s">
        <v>1210</v>
      </c>
      <c r="Z273" s="2410" t="s">
        <v>6264</v>
      </c>
      <c r="AA273" s="2410" t="s">
        <v>45</v>
      </c>
      <c r="AB273" s="2410" t="s">
        <v>115</v>
      </c>
      <c r="AC273" s="2423"/>
      <c r="AD273" s="2410"/>
      <c r="AE273" s="2222">
        <v>45095</v>
      </c>
      <c r="AF273" s="2424" t="s">
        <v>6265</v>
      </c>
      <c r="AG273" s="2425"/>
      <c r="AH273" s="1376">
        <f t="shared" ca="1" si="25"/>
        <v>213</v>
      </c>
    </row>
    <row r="274" spans="1:36" s="2596" customFormat="1" ht="15" customHeight="1">
      <c r="A274" s="749"/>
      <c r="B274" s="725" t="s">
        <v>56</v>
      </c>
      <c r="C274" s="726" t="s">
        <v>60</v>
      </c>
      <c r="D274" s="2400" t="s">
        <v>348</v>
      </c>
      <c r="E274" s="794" t="s">
        <v>449</v>
      </c>
      <c r="F274" s="1311" t="s">
        <v>361</v>
      </c>
      <c r="G274" s="1455" t="s">
        <v>362</v>
      </c>
      <c r="H274" s="730" t="s">
        <v>5077</v>
      </c>
      <c r="I274" s="726" t="s">
        <v>34</v>
      </c>
      <c r="J274" s="729" t="s">
        <v>6266</v>
      </c>
      <c r="K274" s="726"/>
      <c r="L274" s="730">
        <v>12</v>
      </c>
      <c r="M274" s="731">
        <v>44687</v>
      </c>
      <c r="N274" s="712">
        <f>IF(O274="tbc","",(IFERROR(EDATE(O274,-L274),"Invalid procurement method or date entered")))</f>
        <v>44682</v>
      </c>
      <c r="O274" s="759">
        <v>45047</v>
      </c>
      <c r="P274" s="760">
        <v>12</v>
      </c>
      <c r="Q274" s="761">
        <v>12</v>
      </c>
      <c r="R274" s="937">
        <v>60000</v>
      </c>
      <c r="S274" s="937">
        <f t="shared" si="24"/>
        <v>72000</v>
      </c>
      <c r="T274" s="924"/>
      <c r="U274" s="793" t="s">
        <v>34</v>
      </c>
      <c r="V274" s="734" t="s">
        <v>130</v>
      </c>
      <c r="W274" s="711" t="s">
        <v>589</v>
      </c>
      <c r="X274" s="711" t="s">
        <v>589</v>
      </c>
      <c r="Y274" s="711"/>
      <c r="Z274" s="730" t="s">
        <v>4979</v>
      </c>
      <c r="AA274" s="730" t="s">
        <v>561</v>
      </c>
      <c r="AB274" s="812" t="s">
        <v>40</v>
      </c>
      <c r="AC274" s="1308" t="s">
        <v>154</v>
      </c>
      <c r="AD274" s="695" t="s">
        <v>70</v>
      </c>
      <c r="AE274" s="2222">
        <v>45098</v>
      </c>
      <c r="AF274" s="2534" t="s">
        <v>6267</v>
      </c>
      <c r="AG274" s="924"/>
      <c r="AH274" s="1376">
        <f t="shared" ca="1" si="25"/>
        <v>210</v>
      </c>
      <c r="AI274" s="906"/>
      <c r="AJ274" s="906"/>
    </row>
    <row r="275" spans="1:36" s="2636" customFormat="1" ht="15" customHeight="1">
      <c r="A275" s="749" t="s">
        <v>71</v>
      </c>
      <c r="B275" s="782" t="s">
        <v>44</v>
      </c>
      <c r="C275" s="738"/>
      <c r="D275" s="710" t="s">
        <v>32</v>
      </c>
      <c r="E275" s="794" t="s">
        <v>449</v>
      </c>
      <c r="F275" s="1311" t="s">
        <v>1067</v>
      </c>
      <c r="G275" s="781" t="s">
        <v>502</v>
      </c>
      <c r="H275" s="710" t="s">
        <v>514</v>
      </c>
      <c r="I275" s="710" t="s">
        <v>34</v>
      </c>
      <c r="J275" s="709" t="s">
        <v>885</v>
      </c>
      <c r="K275" s="710" t="s">
        <v>886</v>
      </c>
      <c r="L275" s="710">
        <v>6</v>
      </c>
      <c r="M275" s="769">
        <f>IFERROR(EDATE(N275,-3),"Invalid procurement method or date entered")</f>
        <v>45211</v>
      </c>
      <c r="N275" s="769">
        <f>IFERROR(EDATE(O275,-L275),"Invalid procurement method or date entered")</f>
        <v>45303</v>
      </c>
      <c r="O275" s="947">
        <v>45485</v>
      </c>
      <c r="P275" s="707">
        <v>48</v>
      </c>
      <c r="Q275" s="876" t="s">
        <v>6268</v>
      </c>
      <c r="R275" s="937">
        <v>130000</v>
      </c>
      <c r="S275" s="937">
        <f>IF(ISNUMBER(R275),SUM(R275*20%)+R275,"")</f>
        <v>156000</v>
      </c>
      <c r="T275" s="1288"/>
      <c r="U275" s="793" t="s">
        <v>34</v>
      </c>
      <c r="V275" s="710" t="s">
        <v>130</v>
      </c>
      <c r="W275" s="744" t="s">
        <v>38</v>
      </c>
      <c r="X275" s="770" t="s">
        <v>67</v>
      </c>
      <c r="Y275" s="770"/>
      <c r="Z275" s="710" t="s">
        <v>888</v>
      </c>
      <c r="AA275" s="2439" t="s">
        <v>1334</v>
      </c>
      <c r="AB275" s="710" t="s">
        <v>40</v>
      </c>
      <c r="AC275" s="750"/>
      <c r="AD275" s="710" t="s">
        <v>38</v>
      </c>
      <c r="AE275" s="2222">
        <v>45106</v>
      </c>
      <c r="AF275" s="717" t="s">
        <v>5719</v>
      </c>
      <c r="AG275" s="723" t="s">
        <v>506</v>
      </c>
      <c r="AH275" s="1376">
        <f t="shared" ref="AH275:AH280" ca="1" si="26">IFERROR(TODAY()-AE275,"N/A")</f>
        <v>202</v>
      </c>
      <c r="AI275" s="906"/>
      <c r="AJ275" s="906"/>
    </row>
    <row r="276" spans="1:36" s="906" customFormat="1" ht="65">
      <c r="A276" s="749">
        <v>44904</v>
      </c>
      <c r="B276" s="755" t="s">
        <v>56</v>
      </c>
      <c r="C276" s="707" t="s">
        <v>45</v>
      </c>
      <c r="D276" s="710" t="s">
        <v>847</v>
      </c>
      <c r="E276" s="794" t="s">
        <v>449</v>
      </c>
      <c r="F276" s="739" t="s">
        <v>361</v>
      </c>
      <c r="G276" s="2192" t="s">
        <v>362</v>
      </c>
      <c r="H276" s="710" t="s">
        <v>4946</v>
      </c>
      <c r="I276" s="710" t="s">
        <v>47</v>
      </c>
      <c r="J276" s="709" t="s">
        <v>6269</v>
      </c>
      <c r="K276" s="710"/>
      <c r="L276" s="710">
        <v>3</v>
      </c>
      <c r="M276" s="711">
        <v>45078</v>
      </c>
      <c r="N276" s="712" t="s">
        <v>60</v>
      </c>
      <c r="O276" s="713">
        <v>45139</v>
      </c>
      <c r="P276" s="777">
        <v>2</v>
      </c>
      <c r="Q276" s="777">
        <v>2</v>
      </c>
      <c r="R276" s="742">
        <f>942000+30000+150000</f>
        <v>1122000</v>
      </c>
      <c r="S276" s="937">
        <f>IF(ISNUMBER(R276),SUM(R276*20%)+R276,"")</f>
        <v>1346400</v>
      </c>
      <c r="T276" s="723"/>
      <c r="U276" s="2471" t="s">
        <v>6226</v>
      </c>
      <c r="V276" s="710" t="s">
        <v>61</v>
      </c>
      <c r="W276" s="710" t="s">
        <v>45</v>
      </c>
      <c r="X276" s="710" t="s">
        <v>45</v>
      </c>
      <c r="Y276" s="710"/>
      <c r="Z276" s="710" t="s">
        <v>5082</v>
      </c>
      <c r="AA276" s="710" t="s">
        <v>5037</v>
      </c>
      <c r="AB276" s="710" t="s">
        <v>115</v>
      </c>
      <c r="AC276" s="750" t="s">
        <v>45</v>
      </c>
      <c r="AD276" s="724" t="s">
        <v>70</v>
      </c>
      <c r="AE276" s="2222">
        <v>45106</v>
      </c>
      <c r="AF276" s="857" t="s">
        <v>6270</v>
      </c>
      <c r="AG276" s="723"/>
      <c r="AH276" s="1376">
        <f t="shared" ca="1" si="26"/>
        <v>202</v>
      </c>
    </row>
    <row r="277" spans="1:36" s="906" customFormat="1" ht="24" customHeight="1">
      <c r="A277" s="749"/>
      <c r="B277" s="782" t="s">
        <v>44</v>
      </c>
      <c r="C277" s="738">
        <v>49924</v>
      </c>
      <c r="D277" s="808" t="s">
        <v>32</v>
      </c>
      <c r="E277" s="794" t="s">
        <v>449</v>
      </c>
      <c r="F277" s="1271" t="s">
        <v>361</v>
      </c>
      <c r="G277" s="2188" t="s">
        <v>4955</v>
      </c>
      <c r="H277" s="710" t="s">
        <v>33</v>
      </c>
      <c r="I277" s="710" t="s">
        <v>34</v>
      </c>
      <c r="J277" s="780" t="s">
        <v>261</v>
      </c>
      <c r="K277" s="1253" t="s">
        <v>5385</v>
      </c>
      <c r="L277" s="710" t="e">
        <f>IF(OR(V277=#REF!,V277=#REF!,V277=#REF!,V277=#REF!,V277=#REF!,V277=#REF!,V277=#REF!,V277=#REF!),12,IF(OR(V277=#REF!,V277=#REF!,V277=#REF!,V277=#REF!,V277=#REF!,V277=#REF!,V277=#REF!),3,IF(V277=#REF!,1,IF(V277=#REF!,18,IF(OR(V277=#REF!,V277=#REF!,V277=#REF!,V277=#REF!,V277=#REF!),14,"Invalid proposed procurement method")))))</f>
        <v>#REF!</v>
      </c>
      <c r="M277" s="769" t="str">
        <f>IFERROR(EDATE($N277,-3),"Invalid procurement method or date entered")</f>
        <v>Invalid procurement method or date entered</v>
      </c>
      <c r="N277" s="769" t="str">
        <f>IFERROR(EDATE(O277,-L277),"Invalid procurement method or date entered")</f>
        <v>Invalid procurement method or date entered</v>
      </c>
      <c r="O277" s="769">
        <v>45383</v>
      </c>
      <c r="P277" s="710">
        <v>48</v>
      </c>
      <c r="Q277" s="695" t="s">
        <v>1075</v>
      </c>
      <c r="R277" s="742">
        <v>620000</v>
      </c>
      <c r="S277" s="937">
        <f>IF(ISNUMBER(R277),SUM(R277*20%)+R277,"")</f>
        <v>744000</v>
      </c>
      <c r="T277" s="1255"/>
      <c r="U277" s="793" t="s">
        <v>34</v>
      </c>
      <c r="V277" s="710" t="s">
        <v>130</v>
      </c>
      <c r="W277" s="885" t="s">
        <v>62</v>
      </c>
      <c r="X277" s="886" t="s">
        <v>67</v>
      </c>
      <c r="Y277" s="886"/>
      <c r="Z277" s="710" t="s">
        <v>262</v>
      </c>
      <c r="AA277" s="2286" t="s">
        <v>1334</v>
      </c>
      <c r="AB277" s="710" t="s">
        <v>4996</v>
      </c>
      <c r="AC277" s="750" t="s">
        <v>69</v>
      </c>
      <c r="AD277" s="710" t="s">
        <v>70</v>
      </c>
      <c r="AE277" s="2222">
        <v>45106</v>
      </c>
      <c r="AF277" s="717" t="s">
        <v>6271</v>
      </c>
      <c r="AG277" s="723" t="s">
        <v>264</v>
      </c>
      <c r="AH277" s="1376">
        <f t="shared" ca="1" si="26"/>
        <v>202</v>
      </c>
    </row>
    <row r="278" spans="1:36" s="906" customFormat="1" ht="65">
      <c r="A278" s="749">
        <v>45113</v>
      </c>
      <c r="B278" s="1392" t="s">
        <v>44</v>
      </c>
      <c r="C278" s="786" t="s">
        <v>45</v>
      </c>
      <c r="D278" s="784" t="s">
        <v>57</v>
      </c>
      <c r="E278" s="794" t="s">
        <v>4993</v>
      </c>
      <c r="F278" s="1384" t="s">
        <v>630</v>
      </c>
      <c r="G278" s="2610" t="s">
        <v>1315</v>
      </c>
      <c r="H278" s="808" t="s">
        <v>33</v>
      </c>
      <c r="I278" s="710" t="s">
        <v>47</v>
      </c>
      <c r="J278" s="709" t="s">
        <v>6272</v>
      </c>
      <c r="K278" s="710" t="s">
        <v>793</v>
      </c>
      <c r="L278" s="710"/>
      <c r="M278" s="769"/>
      <c r="N278" s="769"/>
      <c r="O278" s="947" t="s">
        <v>45</v>
      </c>
      <c r="P278" s="707"/>
      <c r="Q278" s="707"/>
      <c r="R278" s="742"/>
      <c r="S278" s="937"/>
      <c r="T278" s="1288">
        <v>170000</v>
      </c>
      <c r="U278" s="2476" t="s">
        <v>45</v>
      </c>
      <c r="V278" s="710"/>
      <c r="W278" s="744"/>
      <c r="X278" s="770"/>
      <c r="Y278" s="770"/>
      <c r="Z278" s="710" t="s">
        <v>6273</v>
      </c>
      <c r="AA278" s="915" t="s">
        <v>5005</v>
      </c>
      <c r="AB278" s="710"/>
      <c r="AC278" s="750"/>
      <c r="AD278" s="710" t="s">
        <v>38</v>
      </c>
      <c r="AE278" s="2222">
        <v>45113</v>
      </c>
      <c r="AF278" s="717" t="s">
        <v>5925</v>
      </c>
      <c r="AG278" s="723"/>
      <c r="AH278" s="1376">
        <f t="shared" ca="1" si="26"/>
        <v>195</v>
      </c>
    </row>
    <row r="279" spans="1:36" s="906" customFormat="1" ht="52">
      <c r="A279" s="749">
        <v>45098</v>
      </c>
      <c r="B279" s="706" t="s">
        <v>44</v>
      </c>
      <c r="C279" s="707" t="s">
        <v>45</v>
      </c>
      <c r="D279" s="708" t="s">
        <v>415</v>
      </c>
      <c r="E279" s="794" t="s">
        <v>4993</v>
      </c>
      <c r="F279" s="698" t="s">
        <v>1270</v>
      </c>
      <c r="G279" s="1449" t="s">
        <v>1271</v>
      </c>
      <c r="H279" s="710" t="s">
        <v>514</v>
      </c>
      <c r="I279" s="710" t="s">
        <v>47</v>
      </c>
      <c r="J279" s="709" t="s">
        <v>6274</v>
      </c>
      <c r="K279" s="710"/>
      <c r="L279" s="710"/>
      <c r="M279" s="711">
        <v>44734</v>
      </c>
      <c r="N279" s="712"/>
      <c r="O279" s="713" t="s">
        <v>45</v>
      </c>
      <c r="P279" s="714"/>
      <c r="Q279" s="715"/>
      <c r="R279" s="742"/>
      <c r="S279" s="937" t="str">
        <f>IF(ISNUMBER(R279),SUM(R279*20%)+R279,"")</f>
        <v/>
      </c>
      <c r="T279" s="1287">
        <v>82500</v>
      </c>
      <c r="U279" s="2408"/>
      <c r="V279" s="708"/>
      <c r="W279" s="707"/>
      <c r="X279" s="711"/>
      <c r="Y279" s="711"/>
      <c r="Z279" s="710" t="s">
        <v>3746</v>
      </c>
      <c r="AA279" s="710" t="s">
        <v>413</v>
      </c>
      <c r="AB279" s="784" t="s">
        <v>727</v>
      </c>
      <c r="AC279" s="710" t="s">
        <v>69</v>
      </c>
      <c r="AD279" s="724" t="s">
        <v>38</v>
      </c>
      <c r="AE279" s="2222">
        <v>45112</v>
      </c>
      <c r="AF279" s="717" t="s">
        <v>6275</v>
      </c>
      <c r="AG279" s="723"/>
      <c r="AH279" s="1376">
        <f t="shared" ca="1" si="26"/>
        <v>196</v>
      </c>
    </row>
    <row r="280" spans="1:36" s="906" customFormat="1" ht="52">
      <c r="A280" s="749">
        <v>45098</v>
      </c>
      <c r="B280" s="706" t="s">
        <v>44</v>
      </c>
      <c r="C280" s="707" t="s">
        <v>45</v>
      </c>
      <c r="D280" s="708" t="s">
        <v>415</v>
      </c>
      <c r="E280" s="794" t="s">
        <v>4993</v>
      </c>
      <c r="F280" s="698" t="s">
        <v>1270</v>
      </c>
      <c r="G280" s="1449" t="s">
        <v>1271</v>
      </c>
      <c r="H280" s="710" t="s">
        <v>514</v>
      </c>
      <c r="I280" s="710" t="s">
        <v>47</v>
      </c>
      <c r="J280" s="709" t="s">
        <v>6276</v>
      </c>
      <c r="K280" s="710"/>
      <c r="L280" s="710"/>
      <c r="M280" s="711">
        <v>44734</v>
      </c>
      <c r="N280" s="712"/>
      <c r="O280" s="713" t="s">
        <v>45</v>
      </c>
      <c r="P280" s="714"/>
      <c r="Q280" s="715"/>
      <c r="R280" s="742"/>
      <c r="S280" s="937" t="str">
        <f>IF(ISNUMBER(R280),SUM(R280*20%)+R280,"")</f>
        <v/>
      </c>
      <c r="T280" s="1287">
        <v>73110</v>
      </c>
      <c r="U280" s="2408"/>
      <c r="V280" s="708"/>
      <c r="W280" s="707"/>
      <c r="X280" s="711"/>
      <c r="Y280" s="711"/>
      <c r="Z280" s="710" t="s">
        <v>3746</v>
      </c>
      <c r="AA280" s="710" t="s">
        <v>413</v>
      </c>
      <c r="AB280" s="784" t="s">
        <v>727</v>
      </c>
      <c r="AC280" s="710" t="s">
        <v>69</v>
      </c>
      <c r="AD280" s="724" t="s">
        <v>38</v>
      </c>
      <c r="AE280" s="2222">
        <v>45112</v>
      </c>
      <c r="AF280" s="717" t="s">
        <v>6275</v>
      </c>
      <c r="AG280" s="723"/>
      <c r="AH280" s="1376">
        <f t="shared" ca="1" si="26"/>
        <v>196</v>
      </c>
    </row>
    <row r="281" spans="1:36" s="906" customFormat="1" ht="65">
      <c r="A281" s="2314">
        <v>45118</v>
      </c>
      <c r="B281" s="719" t="s">
        <v>56</v>
      </c>
      <c r="C281" s="719"/>
      <c r="D281" s="751"/>
      <c r="E281" s="719" t="s">
        <v>6277</v>
      </c>
      <c r="F281" s="719"/>
      <c r="G281" s="751" t="s">
        <v>1366</v>
      </c>
      <c r="H281" s="751"/>
      <c r="I281" s="719" t="s">
        <v>34</v>
      </c>
      <c r="J281" s="2612" t="s">
        <v>6278</v>
      </c>
      <c r="K281" s="719" t="s">
        <v>6279</v>
      </c>
      <c r="L281" s="719"/>
      <c r="M281" s="1563"/>
      <c r="N281" s="2314"/>
      <c r="O281" s="1563">
        <v>45139</v>
      </c>
      <c r="P281" s="719">
        <v>48</v>
      </c>
      <c r="Q281" s="719" t="s">
        <v>6280</v>
      </c>
      <c r="R281" s="719" t="s">
        <v>45</v>
      </c>
      <c r="S281" s="719" t="s">
        <v>45</v>
      </c>
      <c r="T281" s="719" t="s">
        <v>45</v>
      </c>
      <c r="U281" s="719" t="s">
        <v>34</v>
      </c>
      <c r="V281" s="751" t="s">
        <v>130</v>
      </c>
      <c r="W281" s="719"/>
      <c r="X281" s="719"/>
      <c r="Y281" s="719"/>
      <c r="Z281" s="751" t="s">
        <v>6281</v>
      </c>
      <c r="AA281" s="773" t="s">
        <v>3955</v>
      </c>
      <c r="AB281" s="719" t="s">
        <v>727</v>
      </c>
      <c r="AC281" s="719" t="s">
        <v>45</v>
      </c>
      <c r="AD281" s="719"/>
      <c r="AE281" s="2279">
        <v>45118</v>
      </c>
      <c r="AF281" s="1377" t="s">
        <v>6282</v>
      </c>
      <c r="AG281" s="719"/>
      <c r="AH281" s="1345"/>
    </row>
    <row r="282" spans="1:36" s="907" customFormat="1" ht="52">
      <c r="A282" s="749">
        <v>44908</v>
      </c>
      <c r="B282" s="706" t="s">
        <v>56</v>
      </c>
      <c r="C282" s="707" t="s">
        <v>45</v>
      </c>
      <c r="D282" s="708" t="s">
        <v>847</v>
      </c>
      <c r="E282" s="794" t="s">
        <v>449</v>
      </c>
      <c r="F282" s="1311" t="s">
        <v>361</v>
      </c>
      <c r="G282" s="1455" t="s">
        <v>362</v>
      </c>
      <c r="H282" s="730" t="s">
        <v>4946</v>
      </c>
      <c r="I282" s="710" t="s">
        <v>47</v>
      </c>
      <c r="J282" s="709" t="s">
        <v>6283</v>
      </c>
      <c r="K282" s="710"/>
      <c r="L282" s="710">
        <v>3</v>
      </c>
      <c r="M282" s="711">
        <v>44986</v>
      </c>
      <c r="N282" s="712" t="s">
        <v>60</v>
      </c>
      <c r="O282" s="713">
        <v>45108</v>
      </c>
      <c r="P282" s="714">
        <v>5</v>
      </c>
      <c r="Q282" s="715" t="s">
        <v>60</v>
      </c>
      <c r="R282" s="742">
        <v>652000</v>
      </c>
      <c r="S282" s="937">
        <f t="shared" ref="S282:S288" si="27">IF(ISNUMBER(R282),SUM(R282*20%)+R282,"")</f>
        <v>782400</v>
      </c>
      <c r="T282" s="843"/>
      <c r="U282" s="2475" t="s">
        <v>6226</v>
      </c>
      <c r="V282" s="708" t="s">
        <v>61</v>
      </c>
      <c r="W282" s="710" t="s">
        <v>45</v>
      </c>
      <c r="X282" s="710" t="s">
        <v>45</v>
      </c>
      <c r="Y282" s="710"/>
      <c r="Z282" s="710" t="s">
        <v>5102</v>
      </c>
      <c r="AA282" s="710" t="s">
        <v>5138</v>
      </c>
      <c r="AB282" s="710" t="s">
        <v>115</v>
      </c>
      <c r="AC282" s="710" t="s">
        <v>45</v>
      </c>
      <c r="AD282" s="724" t="s">
        <v>70</v>
      </c>
      <c r="AE282" s="2222">
        <v>45124</v>
      </c>
      <c r="AF282" s="857" t="s">
        <v>6284</v>
      </c>
      <c r="AG282" s="723"/>
      <c r="AH282" s="1376">
        <f t="shared" ref="AH282:AH288" ca="1" si="28">IFERROR(TODAY()-AE282,"N/A")</f>
        <v>184</v>
      </c>
      <c r="AI282" s="906"/>
      <c r="AJ282" s="906"/>
    </row>
    <row r="283" spans="1:36" s="906" customFormat="1" ht="52">
      <c r="A283" s="749">
        <v>45070</v>
      </c>
      <c r="B283" s="890" t="s">
        <v>56</v>
      </c>
      <c r="C283" s="726" t="s">
        <v>45</v>
      </c>
      <c r="D283" s="730" t="s">
        <v>1270</v>
      </c>
      <c r="E283" s="794" t="s">
        <v>4993</v>
      </c>
      <c r="F283" s="1385" t="s">
        <v>1270</v>
      </c>
      <c r="G283" s="1455" t="s">
        <v>4994</v>
      </c>
      <c r="H283" s="730" t="s">
        <v>4946</v>
      </c>
      <c r="I283" s="726" t="s">
        <v>47</v>
      </c>
      <c r="J283" s="2406" t="s">
        <v>6285</v>
      </c>
      <c r="K283" s="726"/>
      <c r="L283" s="730"/>
      <c r="M283" s="731">
        <v>45139</v>
      </c>
      <c r="N283" s="712" t="s">
        <v>589</v>
      </c>
      <c r="O283" s="759">
        <v>45200</v>
      </c>
      <c r="P283" s="891">
        <v>4</v>
      </c>
      <c r="Q283" s="891">
        <v>4</v>
      </c>
      <c r="R283" s="937">
        <v>90000</v>
      </c>
      <c r="S283" s="937">
        <f t="shared" si="27"/>
        <v>108000</v>
      </c>
      <c r="T283" s="2598">
        <v>90000</v>
      </c>
      <c r="U283" s="1385" t="s">
        <v>176</v>
      </c>
      <c r="V283" s="711" t="s">
        <v>176</v>
      </c>
      <c r="W283" s="711" t="s">
        <v>38</v>
      </c>
      <c r="X283" s="711"/>
      <c r="Y283" s="711"/>
      <c r="Z283" s="794" t="s">
        <v>5598</v>
      </c>
      <c r="AA283" s="1630" t="s">
        <v>3955</v>
      </c>
      <c r="AB283" s="762" t="s">
        <v>594</v>
      </c>
      <c r="AC283" s="1309" t="s">
        <v>60</v>
      </c>
      <c r="AD283" s="695" t="s">
        <v>38</v>
      </c>
      <c r="AE283" s="2222">
        <v>45124</v>
      </c>
      <c r="AF283" s="2536" t="s">
        <v>6286</v>
      </c>
      <c r="AG283" s="924"/>
      <c r="AH283" s="1376">
        <f t="shared" ca="1" si="28"/>
        <v>184</v>
      </c>
    </row>
    <row r="284" spans="1:36" s="2674" customFormat="1" ht="39">
      <c r="A284" s="749">
        <v>44777</v>
      </c>
      <c r="B284" s="737" t="s">
        <v>56</v>
      </c>
      <c r="C284" s="738"/>
      <c r="D284" s="785" t="s">
        <v>32</v>
      </c>
      <c r="E284" s="794" t="s">
        <v>449</v>
      </c>
      <c r="F284" s="785" t="s">
        <v>361</v>
      </c>
      <c r="G284" s="1449" t="s">
        <v>362</v>
      </c>
      <c r="H284" s="710" t="s">
        <v>4622</v>
      </c>
      <c r="I284" s="738" t="s">
        <v>268</v>
      </c>
      <c r="J284" s="709" t="s">
        <v>6287</v>
      </c>
      <c r="K284" s="710" t="s">
        <v>960</v>
      </c>
      <c r="L284" s="710">
        <v>1</v>
      </c>
      <c r="M284" s="711">
        <f>IFERROR(EDATE($N284,-3),"Invalid procurement method or date entered")</f>
        <v>45047</v>
      </c>
      <c r="N284" s="711">
        <f>IFERROR(EDATE(O284,-L284),"Invalid procurement method or date entered")</f>
        <v>45139</v>
      </c>
      <c r="O284" s="770">
        <v>45170</v>
      </c>
      <c r="P284" s="740" t="s">
        <v>45</v>
      </c>
      <c r="Q284" s="773" t="s">
        <v>45</v>
      </c>
      <c r="R284" s="937" t="s">
        <v>45</v>
      </c>
      <c r="S284" s="937" t="str">
        <f t="shared" si="27"/>
        <v/>
      </c>
      <c r="T284" s="937" t="s">
        <v>45</v>
      </c>
      <c r="U284" s="849" t="s">
        <v>268</v>
      </c>
      <c r="V284" s="710" t="s">
        <v>270</v>
      </c>
      <c r="W284" s="885" t="s">
        <v>38</v>
      </c>
      <c r="X284" s="886" t="s">
        <v>67</v>
      </c>
      <c r="Y284" s="886"/>
      <c r="Z284" s="710" t="s">
        <v>6288</v>
      </c>
      <c r="AA284" s="2172" t="s">
        <v>561</v>
      </c>
      <c r="AB284" s="762" t="s">
        <v>40</v>
      </c>
      <c r="AC284" s="710"/>
      <c r="AD284" s="724" t="s">
        <v>70</v>
      </c>
      <c r="AE284" s="2222">
        <v>45121</v>
      </c>
      <c r="AF284" s="717" t="s">
        <v>6289</v>
      </c>
      <c r="AG284" s="723"/>
      <c r="AH284" s="1376">
        <f t="shared" ca="1" si="28"/>
        <v>187</v>
      </c>
      <c r="AI284" s="906"/>
      <c r="AJ284" s="906"/>
    </row>
    <row r="285" spans="1:36" s="906" customFormat="1" ht="52">
      <c r="A285" s="749">
        <v>45012</v>
      </c>
      <c r="B285" s="725" t="s">
        <v>56</v>
      </c>
      <c r="C285" s="726" t="s">
        <v>60</v>
      </c>
      <c r="D285" s="727" t="s">
        <v>32</v>
      </c>
      <c r="E285" s="794" t="s">
        <v>449</v>
      </c>
      <c r="F285" s="1385" t="s">
        <v>361</v>
      </c>
      <c r="G285" s="1451" t="s">
        <v>362</v>
      </c>
      <c r="H285" s="730" t="s">
        <v>4946</v>
      </c>
      <c r="I285" s="726" t="s">
        <v>47</v>
      </c>
      <c r="J285" s="729" t="s">
        <v>6290</v>
      </c>
      <c r="K285" s="726" t="s">
        <v>71</v>
      </c>
      <c r="L285" s="730">
        <v>12</v>
      </c>
      <c r="M285" s="731">
        <v>45017</v>
      </c>
      <c r="N285" s="712">
        <v>45033</v>
      </c>
      <c r="O285" s="759">
        <v>45108</v>
      </c>
      <c r="P285" s="760">
        <v>3</v>
      </c>
      <c r="Q285" s="761">
        <v>3</v>
      </c>
      <c r="R285" s="742">
        <v>150000</v>
      </c>
      <c r="S285" s="937">
        <f t="shared" si="27"/>
        <v>180000</v>
      </c>
      <c r="T285" s="2528"/>
      <c r="U285" s="2475" t="s">
        <v>6226</v>
      </c>
      <c r="V285" s="711" t="s">
        <v>75</v>
      </c>
      <c r="W285" s="711" t="s">
        <v>62</v>
      </c>
      <c r="X285" s="711" t="s">
        <v>60</v>
      </c>
      <c r="Y285" s="711"/>
      <c r="Z285" s="730" t="s">
        <v>714</v>
      </c>
      <c r="AA285" s="730" t="s">
        <v>312</v>
      </c>
      <c r="AB285" s="762" t="s">
        <v>594</v>
      </c>
      <c r="AC285" s="762"/>
      <c r="AD285" s="695" t="s">
        <v>70</v>
      </c>
      <c r="AE285" s="2222">
        <v>45126</v>
      </c>
      <c r="AF285" s="2659" t="s">
        <v>6291</v>
      </c>
      <c r="AG285" s="924"/>
      <c r="AH285" s="1376">
        <f t="shared" ca="1" si="28"/>
        <v>182</v>
      </c>
    </row>
    <row r="286" spans="1:36" s="906" customFormat="1" ht="52">
      <c r="A286" s="749">
        <v>44904</v>
      </c>
      <c r="B286" s="755" t="s">
        <v>56</v>
      </c>
      <c r="C286" s="707" t="s">
        <v>45</v>
      </c>
      <c r="D286" s="708" t="s">
        <v>847</v>
      </c>
      <c r="E286" s="794" t="s">
        <v>449</v>
      </c>
      <c r="F286" s="1311" t="s">
        <v>361</v>
      </c>
      <c r="G286" s="1455" t="s">
        <v>362</v>
      </c>
      <c r="H286" s="710" t="s">
        <v>4946</v>
      </c>
      <c r="I286" s="710" t="s">
        <v>47</v>
      </c>
      <c r="J286" s="709" t="s">
        <v>6292</v>
      </c>
      <c r="K286" s="710"/>
      <c r="L286" s="710">
        <v>3</v>
      </c>
      <c r="M286" s="711">
        <v>45108</v>
      </c>
      <c r="N286" s="712" t="s">
        <v>60</v>
      </c>
      <c r="O286" s="713">
        <v>45200</v>
      </c>
      <c r="P286" s="777">
        <v>1</v>
      </c>
      <c r="Q286" s="777">
        <v>1</v>
      </c>
      <c r="R286" s="742">
        <v>232000</v>
      </c>
      <c r="S286" s="937">
        <f t="shared" si="27"/>
        <v>278400</v>
      </c>
      <c r="T286" s="723"/>
      <c r="U286" s="2471" t="s">
        <v>6226</v>
      </c>
      <c r="V286" s="710" t="s">
        <v>61</v>
      </c>
      <c r="W286" s="710" t="s">
        <v>62</v>
      </c>
      <c r="X286" s="710" t="s">
        <v>45</v>
      </c>
      <c r="Y286" s="710"/>
      <c r="Z286" s="843" t="s">
        <v>5079</v>
      </c>
      <c r="AA286" s="698" t="s">
        <v>312</v>
      </c>
      <c r="AB286" s="710" t="s">
        <v>115</v>
      </c>
      <c r="AC286" s="750" t="s">
        <v>45</v>
      </c>
      <c r="AD286" s="724" t="s">
        <v>70</v>
      </c>
      <c r="AE286" s="2222">
        <v>45126</v>
      </c>
      <c r="AF286" s="857" t="s">
        <v>6293</v>
      </c>
      <c r="AG286" s="723"/>
      <c r="AH286" s="1376">
        <f t="shared" ca="1" si="28"/>
        <v>182</v>
      </c>
    </row>
    <row r="287" spans="1:36" s="2677" customFormat="1" ht="15" customHeight="1">
      <c r="A287" s="1166">
        <v>45044</v>
      </c>
      <c r="B287" s="1407" t="s">
        <v>44</v>
      </c>
      <c r="C287" s="1277">
        <v>48792</v>
      </c>
      <c r="D287" s="1311" t="s">
        <v>110</v>
      </c>
      <c r="E287" s="1385" t="s">
        <v>449</v>
      </c>
      <c r="F287" s="698" t="s">
        <v>110</v>
      </c>
      <c r="G287" s="2192" t="s">
        <v>569</v>
      </c>
      <c r="H287" s="698" t="s">
        <v>33</v>
      </c>
      <c r="I287" s="698" t="s">
        <v>34</v>
      </c>
      <c r="J287" s="1449" t="s">
        <v>6294</v>
      </c>
      <c r="K287" s="698" t="s">
        <v>5671</v>
      </c>
      <c r="L287" s="698" t="e">
        <f>IF(OR(V287=#REF!,V287=#REF!,V287=#REF!,V287=#REF!,V287=#REF!,V287=#REF!,V287=#REF!,V287=#REF!),12,IF(OR(V287=#REF!,V287=#REF!,V287=#REF!,V287=#REF!,V287=#REF!,V287=#REF!,V287=#REF!),3,IF(V287=#REF!,1,IF(V287=#REF!,18,IF(OR(V287=#REF!,V287=#REF!,V287=#REF!,V287=#REF!,V287=#REF!),14,"Invalid proposed procurement method")))))</f>
        <v>#REF!</v>
      </c>
      <c r="M287" s="1457" t="str">
        <f>IFERROR(EDATE($N287,-3),"Invalid procurement method or date entered")</f>
        <v>Invalid procurement method or date entered</v>
      </c>
      <c r="N287" s="1457" t="str">
        <f>IFERROR(EDATE(O287,-L287),"Invalid procurement method or date entered")</f>
        <v>Invalid procurement method or date entered</v>
      </c>
      <c r="O287" s="1457">
        <v>45774</v>
      </c>
      <c r="P287" s="698">
        <v>36</v>
      </c>
      <c r="Q287" s="1468" t="s">
        <v>6295</v>
      </c>
      <c r="R287" s="1471">
        <v>57400</v>
      </c>
      <c r="S287" s="937">
        <f t="shared" si="27"/>
        <v>68880</v>
      </c>
      <c r="T287" s="793">
        <v>19000</v>
      </c>
      <c r="U287" s="1477" t="s">
        <v>34</v>
      </c>
      <c r="V287" s="698" t="s">
        <v>130</v>
      </c>
      <c r="W287" s="1481" t="s">
        <v>38</v>
      </c>
      <c r="X287" s="1481" t="s">
        <v>67</v>
      </c>
      <c r="Y287" s="1481" t="s">
        <v>6296</v>
      </c>
      <c r="Z287" s="698" t="s">
        <v>6297</v>
      </c>
      <c r="AA287" s="2565" t="s">
        <v>45</v>
      </c>
      <c r="AB287" s="698" t="s">
        <v>115</v>
      </c>
      <c r="AC287" s="698" t="s">
        <v>69</v>
      </c>
      <c r="AD287" s="698" t="s">
        <v>38</v>
      </c>
      <c r="AE287" s="2222"/>
      <c r="AF287" s="1449" t="s">
        <v>6298</v>
      </c>
      <c r="AG287" s="698" t="s">
        <v>806</v>
      </c>
      <c r="AH287" s="1376">
        <f t="shared" ca="1" si="28"/>
        <v>45308</v>
      </c>
      <c r="AI287" s="906"/>
      <c r="AJ287" s="906"/>
    </row>
    <row r="288" spans="1:36" s="2658" customFormat="1" ht="15" customHeight="1">
      <c r="A288" s="1166">
        <v>45078</v>
      </c>
      <c r="B288" s="1407" t="s">
        <v>44</v>
      </c>
      <c r="C288" s="1277" t="s">
        <v>4149</v>
      </c>
      <c r="D288" s="698" t="s">
        <v>32</v>
      </c>
      <c r="E288" s="1385" t="s">
        <v>449</v>
      </c>
      <c r="F288" s="1311" t="s">
        <v>110</v>
      </c>
      <c r="G288" s="2277" t="s">
        <v>569</v>
      </c>
      <c r="H288" s="2278" t="s">
        <v>33</v>
      </c>
      <c r="I288" s="2278" t="s">
        <v>34</v>
      </c>
      <c r="J288" s="1449" t="s">
        <v>5338</v>
      </c>
      <c r="K288" s="698" t="s">
        <v>5339</v>
      </c>
      <c r="L288" s="698"/>
      <c r="M288" s="1457" t="str">
        <f>IFERROR(EDATE($N288,-3),"Invalid procurement method or date entered")</f>
        <v>Invalid procurement method or date entered</v>
      </c>
      <c r="N288" s="1457"/>
      <c r="O288" s="2737">
        <v>45857</v>
      </c>
      <c r="P288" s="2289">
        <v>60</v>
      </c>
      <c r="Q288" s="2738" t="s">
        <v>1460</v>
      </c>
      <c r="R288" s="2723">
        <v>221600</v>
      </c>
      <c r="S288" s="2510">
        <f t="shared" si="27"/>
        <v>265920</v>
      </c>
      <c r="T288" s="2739">
        <v>62000</v>
      </c>
      <c r="U288" s="2512" t="s">
        <v>34</v>
      </c>
      <c r="V288" s="2723"/>
      <c r="W288" s="1279"/>
      <c r="X288" s="2289"/>
      <c r="Y288" s="2289"/>
      <c r="Z288" s="1279" t="s">
        <v>5340</v>
      </c>
      <c r="AA288" s="2740" t="s">
        <v>45</v>
      </c>
      <c r="AB288" s="2741" t="s">
        <v>115</v>
      </c>
      <c r="AC288" s="698" t="s">
        <v>87</v>
      </c>
      <c r="AD288" s="698" t="s">
        <v>70</v>
      </c>
      <c r="AE288" s="2222"/>
      <c r="AF288" s="1449" t="s">
        <v>6298</v>
      </c>
      <c r="AG288" s="698"/>
      <c r="AH288" s="1376">
        <f t="shared" ca="1" si="28"/>
        <v>45308</v>
      </c>
      <c r="AI288" s="906"/>
      <c r="AJ288" s="906"/>
    </row>
    <row r="289" spans="1:36" s="906" customFormat="1" ht="40.5" customHeight="1">
      <c r="A289" s="2428" t="s">
        <v>4941</v>
      </c>
      <c r="B289" s="2438" t="s">
        <v>44</v>
      </c>
      <c r="C289" s="2418" t="s">
        <v>6299</v>
      </c>
      <c r="D289" s="2418" t="s">
        <v>1551</v>
      </c>
      <c r="E289" s="2416" t="s">
        <v>4704</v>
      </c>
      <c r="F289" s="2418" t="s">
        <v>1270</v>
      </c>
      <c r="G289" s="2573" t="s">
        <v>569</v>
      </c>
      <c r="H289" s="2418" t="s">
        <v>33</v>
      </c>
      <c r="I289" s="710" t="s">
        <v>47</v>
      </c>
      <c r="J289" s="2404" t="s">
        <v>6300</v>
      </c>
      <c r="K289" s="2418"/>
      <c r="L289" s="2418"/>
      <c r="M289" s="2421">
        <v>45108</v>
      </c>
      <c r="N289" s="2418"/>
      <c r="O289" s="2421">
        <v>45382</v>
      </c>
      <c r="P289" s="2418"/>
      <c r="Q289" s="2418"/>
      <c r="R289" s="742">
        <v>165319.25</v>
      </c>
      <c r="S289" s="937">
        <f t="shared" ref="S289:S307" si="29">IF(ISNUMBER(R289),SUM(R289*20%)+R289,"")</f>
        <v>198383.1</v>
      </c>
      <c r="T289" s="2559"/>
      <c r="U289" s="1477" t="s">
        <v>45</v>
      </c>
      <c r="V289" s="2418" t="s">
        <v>45</v>
      </c>
      <c r="W289" s="2418"/>
      <c r="X289" s="2418"/>
      <c r="Y289" s="2418" t="s">
        <v>3335</v>
      </c>
      <c r="Z289" s="2418" t="s">
        <v>6301</v>
      </c>
      <c r="AA289" s="2439" t="s">
        <v>780</v>
      </c>
      <c r="AB289" s="2418" t="s">
        <v>727</v>
      </c>
      <c r="AC289" s="2415"/>
      <c r="AD289" s="2418"/>
      <c r="AE289" s="2222">
        <v>45132</v>
      </c>
      <c r="AF289" s="2433" t="s">
        <v>6302</v>
      </c>
      <c r="AG289" s="2434"/>
      <c r="AH289" s="1376">
        <f t="shared" ref="AH289:AH308" ca="1" si="30">IFERROR(TODAY()-AE289,"N/A")</f>
        <v>176</v>
      </c>
      <c r="AI289" s="1395"/>
    </row>
    <row r="290" spans="1:36" s="906" customFormat="1" ht="104">
      <c r="A290" s="749">
        <v>44904</v>
      </c>
      <c r="B290" s="755" t="s">
        <v>56</v>
      </c>
      <c r="C290" s="707" t="s">
        <v>45</v>
      </c>
      <c r="D290" s="710" t="s">
        <v>847</v>
      </c>
      <c r="E290" s="794" t="s">
        <v>449</v>
      </c>
      <c r="F290" s="730" t="s">
        <v>630</v>
      </c>
      <c r="G290" s="1369" t="s">
        <v>1360</v>
      </c>
      <c r="H290" s="700" t="s">
        <v>4946</v>
      </c>
      <c r="I290" s="700" t="s">
        <v>47</v>
      </c>
      <c r="J290" s="699" t="s">
        <v>6303</v>
      </c>
      <c r="K290" s="700"/>
      <c r="L290" s="710">
        <v>3</v>
      </c>
      <c r="M290" s="711">
        <v>45078</v>
      </c>
      <c r="N290" s="712" t="s">
        <v>60</v>
      </c>
      <c r="O290" s="713">
        <v>45170</v>
      </c>
      <c r="P290" s="2656" t="s">
        <v>60</v>
      </c>
      <c r="Q290" s="777" t="s">
        <v>60</v>
      </c>
      <c r="R290" s="742">
        <v>407500</v>
      </c>
      <c r="S290" s="937">
        <f t="shared" si="29"/>
        <v>489000</v>
      </c>
      <c r="T290" s="1179"/>
      <c r="U290" s="2476" t="s">
        <v>6226</v>
      </c>
      <c r="V290" s="1169" t="s">
        <v>61</v>
      </c>
      <c r="W290" s="710" t="s">
        <v>45</v>
      </c>
      <c r="X290" s="1169" t="s">
        <v>45</v>
      </c>
      <c r="Y290" s="1169"/>
      <c r="Z290" s="700" t="s">
        <v>5140</v>
      </c>
      <c r="AA290" s="710" t="s">
        <v>5037</v>
      </c>
      <c r="AB290" s="700" t="s">
        <v>115</v>
      </c>
      <c r="AC290" s="710" t="s">
        <v>45</v>
      </c>
      <c r="AD290" s="724" t="s">
        <v>70</v>
      </c>
      <c r="AE290" s="2222">
        <v>45133</v>
      </c>
      <c r="AF290" s="857" t="s">
        <v>6304</v>
      </c>
      <c r="AG290" s="723"/>
      <c r="AH290" s="1376">
        <f t="shared" ca="1" si="30"/>
        <v>175</v>
      </c>
    </row>
    <row r="291" spans="1:36" s="906" customFormat="1" ht="40.5" customHeight="1">
      <c r="A291" s="749">
        <v>45070</v>
      </c>
      <c r="B291" s="890" t="s">
        <v>56</v>
      </c>
      <c r="C291" s="726" t="s">
        <v>45</v>
      </c>
      <c r="D291" s="730" t="s">
        <v>1270</v>
      </c>
      <c r="E291" s="794" t="s">
        <v>4993</v>
      </c>
      <c r="F291" s="1385" t="s">
        <v>1270</v>
      </c>
      <c r="G291" s="1311" t="s">
        <v>4994</v>
      </c>
      <c r="H291" s="730" t="s">
        <v>4946</v>
      </c>
      <c r="I291" s="726" t="s">
        <v>47</v>
      </c>
      <c r="J291" s="2406" t="s">
        <v>6305</v>
      </c>
      <c r="K291" s="726"/>
      <c r="L291" s="730"/>
      <c r="M291" s="731">
        <v>45139</v>
      </c>
      <c r="N291" s="712" t="s">
        <v>60</v>
      </c>
      <c r="O291" s="759">
        <v>45231</v>
      </c>
      <c r="P291" s="891">
        <v>4</v>
      </c>
      <c r="Q291" s="891">
        <v>4</v>
      </c>
      <c r="R291" s="742">
        <v>70000</v>
      </c>
      <c r="S291" s="937">
        <f t="shared" si="29"/>
        <v>84000</v>
      </c>
      <c r="T291" s="924">
        <v>70000</v>
      </c>
      <c r="U291" s="1385" t="s">
        <v>176</v>
      </c>
      <c r="V291" s="711" t="s">
        <v>176</v>
      </c>
      <c r="W291" s="711" t="s">
        <v>38</v>
      </c>
      <c r="X291" s="711"/>
      <c r="Y291" s="711"/>
      <c r="Z291" s="730" t="s">
        <v>5598</v>
      </c>
      <c r="AA291" s="1632" t="s">
        <v>60</v>
      </c>
      <c r="AB291" s="762" t="s">
        <v>594</v>
      </c>
      <c r="AC291" s="1309" t="s">
        <v>60</v>
      </c>
      <c r="AD291" s="695" t="s">
        <v>38</v>
      </c>
      <c r="AE291" s="2222">
        <v>45134</v>
      </c>
      <c r="AF291" s="2536" t="s">
        <v>6306</v>
      </c>
      <c r="AG291" s="924"/>
      <c r="AH291" s="1376">
        <f t="shared" ca="1" si="30"/>
        <v>174</v>
      </c>
    </row>
    <row r="292" spans="1:36" s="906" customFormat="1" ht="40.5" customHeight="1">
      <c r="A292" s="749">
        <v>45070</v>
      </c>
      <c r="B292" s="890" t="s">
        <v>56</v>
      </c>
      <c r="C292" s="726" t="s">
        <v>45</v>
      </c>
      <c r="D292" s="730" t="s">
        <v>1270</v>
      </c>
      <c r="E292" s="794" t="s">
        <v>4993</v>
      </c>
      <c r="F292" s="1385" t="s">
        <v>1270</v>
      </c>
      <c r="G292" s="1311" t="s">
        <v>4994</v>
      </c>
      <c r="H292" s="730" t="s">
        <v>4946</v>
      </c>
      <c r="I292" s="726" t="s">
        <v>47</v>
      </c>
      <c r="J292" s="2406" t="s">
        <v>6307</v>
      </c>
      <c r="K292" s="726"/>
      <c r="L292" s="730"/>
      <c r="M292" s="731">
        <v>45139</v>
      </c>
      <c r="N292" s="712" t="s">
        <v>60</v>
      </c>
      <c r="O292" s="1415">
        <v>45231</v>
      </c>
      <c r="P292" s="2386">
        <v>4</v>
      </c>
      <c r="Q292" s="2386">
        <v>4</v>
      </c>
      <c r="R292" s="2510">
        <v>60000</v>
      </c>
      <c r="S292" s="2510">
        <f t="shared" si="29"/>
        <v>72000</v>
      </c>
      <c r="T292" s="2726">
        <v>60000</v>
      </c>
      <c r="U292" s="2495" t="s">
        <v>176</v>
      </c>
      <c r="V292" s="788" t="s">
        <v>176</v>
      </c>
      <c r="W292" s="711" t="s">
        <v>38</v>
      </c>
      <c r="X292" s="711"/>
      <c r="Y292" s="711"/>
      <c r="Z292" s="730" t="s">
        <v>5598</v>
      </c>
      <c r="AA292" s="1632" t="s">
        <v>60</v>
      </c>
      <c r="AB292" s="762" t="s">
        <v>594</v>
      </c>
      <c r="AC292" s="1309" t="s">
        <v>60</v>
      </c>
      <c r="AD292" s="695" t="s">
        <v>38</v>
      </c>
      <c r="AE292" s="2222">
        <v>45134</v>
      </c>
      <c r="AF292" s="2536" t="s">
        <v>6306</v>
      </c>
      <c r="AG292" s="924"/>
      <c r="AH292" s="1376">
        <f t="shared" ca="1" si="30"/>
        <v>174</v>
      </c>
      <c r="AI292" s="950"/>
      <c r="AJ292" s="950"/>
    </row>
    <row r="293" spans="1:36" s="906" customFormat="1" ht="40.5" customHeight="1">
      <c r="A293" s="2428" t="s">
        <v>4941</v>
      </c>
      <c r="B293" s="2438" t="s">
        <v>56</v>
      </c>
      <c r="C293" s="2418" t="s">
        <v>6308</v>
      </c>
      <c r="D293" s="2418" t="s">
        <v>1551</v>
      </c>
      <c r="E293" s="2416" t="s">
        <v>5021</v>
      </c>
      <c r="F293" s="2418" t="s">
        <v>1270</v>
      </c>
      <c r="G293" s="2418" t="s">
        <v>1366</v>
      </c>
      <c r="H293" s="2418" t="s">
        <v>4956</v>
      </c>
      <c r="I293" s="2418" t="s">
        <v>47</v>
      </c>
      <c r="J293" s="2435" t="s">
        <v>6309</v>
      </c>
      <c r="K293" s="2418"/>
      <c r="L293" s="2418"/>
      <c r="M293" s="2421">
        <v>45139</v>
      </c>
      <c r="N293" s="2418"/>
      <c r="O293" s="2727">
        <v>45295</v>
      </c>
      <c r="P293" s="2449"/>
      <c r="Q293" s="2449"/>
      <c r="R293" s="2459">
        <v>190000</v>
      </c>
      <c r="S293" s="1471">
        <f t="shared" si="29"/>
        <v>228000</v>
      </c>
      <c r="T293" s="2574"/>
      <c r="U293" s="1477" t="s">
        <v>45</v>
      </c>
      <c r="V293" s="2449" t="s">
        <v>45</v>
      </c>
      <c r="W293" s="2418"/>
      <c r="X293" s="2418"/>
      <c r="Y293" s="2418" t="s">
        <v>6141</v>
      </c>
      <c r="Z293" s="2418"/>
      <c r="AA293" s="1632" t="s">
        <v>45</v>
      </c>
      <c r="AB293" s="2418"/>
      <c r="AC293" s="2415"/>
      <c r="AD293" s="2418" t="s">
        <v>2569</v>
      </c>
      <c r="AE293" s="2222">
        <v>45134</v>
      </c>
      <c r="AF293" s="2536" t="s">
        <v>6306</v>
      </c>
      <c r="AG293" s="2420"/>
      <c r="AH293" s="1376">
        <f t="shared" ca="1" si="30"/>
        <v>174</v>
      </c>
    </row>
    <row r="294" spans="1:36" s="2323" customFormat="1" ht="40.5" customHeight="1">
      <c r="A294" s="749">
        <v>45036</v>
      </c>
      <c r="B294" s="726" t="s">
        <v>56</v>
      </c>
      <c r="C294" s="726" t="s">
        <v>45</v>
      </c>
      <c r="D294" s="730" t="s">
        <v>1551</v>
      </c>
      <c r="E294" s="730" t="s">
        <v>4704</v>
      </c>
      <c r="F294" s="730" t="s">
        <v>1270</v>
      </c>
      <c r="G294" s="808" t="s">
        <v>4994</v>
      </c>
      <c r="H294" s="730" t="s">
        <v>4946</v>
      </c>
      <c r="I294" s="726" t="s">
        <v>47</v>
      </c>
      <c r="J294" s="2406" t="s">
        <v>6310</v>
      </c>
      <c r="K294" s="726"/>
      <c r="L294" s="730">
        <v>3</v>
      </c>
      <c r="M294" s="1458" t="s">
        <v>60</v>
      </c>
      <c r="N294" s="1461" t="s">
        <v>60</v>
      </c>
      <c r="O294" s="759" t="s">
        <v>837</v>
      </c>
      <c r="P294" s="891">
        <v>2</v>
      </c>
      <c r="Q294" s="891">
        <v>2</v>
      </c>
      <c r="R294" s="772">
        <v>58000</v>
      </c>
      <c r="S294" s="937">
        <f t="shared" si="29"/>
        <v>69600</v>
      </c>
      <c r="T294" s="920"/>
      <c r="U294" s="730" t="s">
        <v>176</v>
      </c>
      <c r="V294" s="711" t="s">
        <v>176</v>
      </c>
      <c r="W294" s="711" t="s">
        <v>60</v>
      </c>
      <c r="X294" s="711" t="s">
        <v>60</v>
      </c>
      <c r="Y294" s="711"/>
      <c r="Z294" s="730" t="s">
        <v>6311</v>
      </c>
      <c r="AA294" s="1632" t="s">
        <v>60</v>
      </c>
      <c r="AB294" s="762" t="s">
        <v>594</v>
      </c>
      <c r="AC294" s="762" t="s">
        <v>60</v>
      </c>
      <c r="AD294" s="695" t="s">
        <v>38</v>
      </c>
      <c r="AE294" s="2222">
        <v>45057</v>
      </c>
      <c r="AF294" s="2537" t="s">
        <v>6312</v>
      </c>
      <c r="AG294" s="920"/>
      <c r="AH294" s="1376">
        <f t="shared" ca="1" si="30"/>
        <v>251</v>
      </c>
      <c r="AI294" s="906"/>
      <c r="AJ294" s="906"/>
    </row>
    <row r="295" spans="1:36" s="2323" customFormat="1" ht="40.5" customHeight="1">
      <c r="A295" s="749">
        <v>45070</v>
      </c>
      <c r="B295" s="726" t="s">
        <v>56</v>
      </c>
      <c r="C295" s="726" t="s">
        <v>45</v>
      </c>
      <c r="D295" s="730" t="s">
        <v>1270</v>
      </c>
      <c r="E295" s="730" t="s">
        <v>4993</v>
      </c>
      <c r="F295" s="730" t="s">
        <v>1270</v>
      </c>
      <c r="G295" s="808" t="s">
        <v>4994</v>
      </c>
      <c r="H295" s="730" t="s">
        <v>4946</v>
      </c>
      <c r="I295" s="726" t="s">
        <v>47</v>
      </c>
      <c r="J295" s="2406" t="s">
        <v>6313</v>
      </c>
      <c r="K295" s="726"/>
      <c r="L295" s="730"/>
      <c r="M295" s="731" t="s">
        <v>60</v>
      </c>
      <c r="N295" s="712" t="s">
        <v>60</v>
      </c>
      <c r="O295" s="759" t="s">
        <v>837</v>
      </c>
      <c r="P295" s="891">
        <v>4</v>
      </c>
      <c r="Q295" s="891">
        <v>4</v>
      </c>
      <c r="R295" s="772" t="s">
        <v>60</v>
      </c>
      <c r="S295" s="937" t="str">
        <f t="shared" si="29"/>
        <v/>
      </c>
      <c r="T295" s="920"/>
      <c r="U295" s="730" t="s">
        <v>176</v>
      </c>
      <c r="V295" s="711" t="s">
        <v>176</v>
      </c>
      <c r="W295" s="711" t="s">
        <v>38</v>
      </c>
      <c r="X295" s="711"/>
      <c r="Y295" s="711"/>
      <c r="Z295" s="730" t="s">
        <v>5598</v>
      </c>
      <c r="AA295" s="1632" t="s">
        <v>60</v>
      </c>
      <c r="AB295" s="762" t="s">
        <v>594</v>
      </c>
      <c r="AC295" s="762" t="s">
        <v>60</v>
      </c>
      <c r="AD295" s="695" t="s">
        <v>38</v>
      </c>
      <c r="AE295" s="2222">
        <v>45134</v>
      </c>
      <c r="AF295" s="2536" t="s">
        <v>6306</v>
      </c>
      <c r="AG295" s="920"/>
      <c r="AH295" s="1376">
        <f t="shared" ca="1" si="30"/>
        <v>174</v>
      </c>
      <c r="AI295" s="399"/>
      <c r="AJ295" s="399"/>
    </row>
    <row r="296" spans="1:36" s="2323" customFormat="1" ht="40.5" customHeight="1">
      <c r="A296" s="749">
        <v>45070</v>
      </c>
      <c r="B296" s="726" t="s">
        <v>56</v>
      </c>
      <c r="C296" s="726" t="s">
        <v>45</v>
      </c>
      <c r="D296" s="730" t="s">
        <v>1270</v>
      </c>
      <c r="E296" s="730" t="s">
        <v>4993</v>
      </c>
      <c r="F296" s="730" t="s">
        <v>1270</v>
      </c>
      <c r="G296" s="808" t="s">
        <v>4994</v>
      </c>
      <c r="H296" s="730" t="s">
        <v>4946</v>
      </c>
      <c r="I296" s="726" t="s">
        <v>47</v>
      </c>
      <c r="J296" s="2406" t="s">
        <v>6314</v>
      </c>
      <c r="K296" s="1502"/>
      <c r="L296" s="730"/>
      <c r="M296" s="731" t="s">
        <v>60</v>
      </c>
      <c r="N296" s="712" t="s">
        <v>60</v>
      </c>
      <c r="O296" s="759" t="s">
        <v>837</v>
      </c>
      <c r="P296" s="891">
        <v>4</v>
      </c>
      <c r="Q296" s="891">
        <v>4</v>
      </c>
      <c r="R296" s="772" t="s">
        <v>45</v>
      </c>
      <c r="S296" s="937" t="str">
        <f t="shared" si="29"/>
        <v/>
      </c>
      <c r="T296" s="920"/>
      <c r="U296" s="730" t="s">
        <v>176</v>
      </c>
      <c r="V296" s="711" t="s">
        <v>176</v>
      </c>
      <c r="W296" s="711" t="s">
        <v>38</v>
      </c>
      <c r="X296" s="711"/>
      <c r="Y296" s="711"/>
      <c r="Z296" s="730" t="s">
        <v>5598</v>
      </c>
      <c r="AA296" s="1632" t="s">
        <v>60</v>
      </c>
      <c r="AB296" s="762" t="s">
        <v>594</v>
      </c>
      <c r="AC296" s="762" t="s">
        <v>60</v>
      </c>
      <c r="AD296" s="695" t="s">
        <v>38</v>
      </c>
      <c r="AE296" s="2222">
        <v>45134</v>
      </c>
      <c r="AF296" s="2536" t="s">
        <v>6306</v>
      </c>
      <c r="AG296" s="920"/>
      <c r="AH296" s="1376">
        <f t="shared" ca="1" si="30"/>
        <v>174</v>
      </c>
      <c r="AI296" s="399"/>
      <c r="AJ296" s="399"/>
    </row>
    <row r="297" spans="1:36" s="2323" customFormat="1" ht="40.5" customHeight="1">
      <c r="A297" s="749">
        <v>45070</v>
      </c>
      <c r="B297" s="726" t="s">
        <v>56</v>
      </c>
      <c r="C297" s="726" t="s">
        <v>45</v>
      </c>
      <c r="D297" s="730" t="s">
        <v>1270</v>
      </c>
      <c r="E297" s="730" t="s">
        <v>4993</v>
      </c>
      <c r="F297" s="730" t="s">
        <v>1270</v>
      </c>
      <c r="G297" s="808" t="s">
        <v>4994</v>
      </c>
      <c r="H297" s="730" t="s">
        <v>4946</v>
      </c>
      <c r="I297" s="726" t="s">
        <v>47</v>
      </c>
      <c r="J297" s="2406" t="s">
        <v>6315</v>
      </c>
      <c r="K297" s="726"/>
      <c r="L297" s="730"/>
      <c r="M297" s="731" t="s">
        <v>60</v>
      </c>
      <c r="N297" s="712" t="s">
        <v>60</v>
      </c>
      <c r="O297" s="759" t="s">
        <v>837</v>
      </c>
      <c r="P297" s="891">
        <v>4</v>
      </c>
      <c r="Q297" s="891">
        <v>4</v>
      </c>
      <c r="R297" s="742" t="s">
        <v>45</v>
      </c>
      <c r="S297" s="937" t="str">
        <f t="shared" si="29"/>
        <v/>
      </c>
      <c r="T297" s="920"/>
      <c r="U297" s="730" t="s">
        <v>176</v>
      </c>
      <c r="V297" s="711" t="s">
        <v>176</v>
      </c>
      <c r="W297" s="711" t="s">
        <v>38</v>
      </c>
      <c r="X297" s="711"/>
      <c r="Y297" s="711"/>
      <c r="Z297" s="730" t="s">
        <v>5598</v>
      </c>
      <c r="AA297" s="1632" t="s">
        <v>60</v>
      </c>
      <c r="AB297" s="762" t="s">
        <v>594</v>
      </c>
      <c r="AC297" s="762" t="s">
        <v>60</v>
      </c>
      <c r="AD297" s="695" t="s">
        <v>38</v>
      </c>
      <c r="AE297" s="2222">
        <v>45134</v>
      </c>
      <c r="AF297" s="2536" t="s">
        <v>6306</v>
      </c>
      <c r="AG297" s="920"/>
      <c r="AH297" s="1376">
        <f t="shared" ca="1" si="30"/>
        <v>174</v>
      </c>
    </row>
    <row r="298" spans="1:36" s="2323" customFormat="1" ht="40.5" customHeight="1">
      <c r="A298" s="749">
        <v>45070</v>
      </c>
      <c r="B298" s="726" t="s">
        <v>56</v>
      </c>
      <c r="C298" s="726" t="s">
        <v>45</v>
      </c>
      <c r="D298" s="730" t="s">
        <v>1270</v>
      </c>
      <c r="E298" s="730" t="s">
        <v>4993</v>
      </c>
      <c r="F298" s="730" t="s">
        <v>1270</v>
      </c>
      <c r="G298" s="808" t="s">
        <v>4994</v>
      </c>
      <c r="H298" s="730" t="s">
        <v>4946</v>
      </c>
      <c r="I298" s="726" t="s">
        <v>47</v>
      </c>
      <c r="J298" s="2406" t="s">
        <v>6316</v>
      </c>
      <c r="K298" s="726"/>
      <c r="L298" s="730"/>
      <c r="M298" s="731" t="s">
        <v>60</v>
      </c>
      <c r="N298" s="712" t="s">
        <v>60</v>
      </c>
      <c r="O298" s="759" t="s">
        <v>837</v>
      </c>
      <c r="P298" s="891">
        <v>4</v>
      </c>
      <c r="Q298" s="891">
        <v>4</v>
      </c>
      <c r="R298" s="772" t="s">
        <v>45</v>
      </c>
      <c r="S298" s="937" t="str">
        <f t="shared" si="29"/>
        <v/>
      </c>
      <c r="T298" s="920"/>
      <c r="U298" s="730" t="s">
        <v>176</v>
      </c>
      <c r="V298" s="711" t="s">
        <v>176</v>
      </c>
      <c r="W298" s="711" t="s">
        <v>38</v>
      </c>
      <c r="X298" s="711"/>
      <c r="Y298" s="711"/>
      <c r="Z298" s="730" t="s">
        <v>5598</v>
      </c>
      <c r="AA298" s="1632" t="s">
        <v>60</v>
      </c>
      <c r="AB298" s="762" t="s">
        <v>594</v>
      </c>
      <c r="AC298" s="762" t="s">
        <v>60</v>
      </c>
      <c r="AD298" s="695" t="s">
        <v>38</v>
      </c>
      <c r="AE298" s="2222">
        <v>45134</v>
      </c>
      <c r="AF298" s="2536" t="s">
        <v>6306</v>
      </c>
      <c r="AG298" s="920"/>
      <c r="AH298" s="1376">
        <f t="shared" ca="1" si="30"/>
        <v>174</v>
      </c>
      <c r="AI298" s="2781"/>
      <c r="AJ298" s="2781"/>
    </row>
    <row r="299" spans="1:36" s="2323" customFormat="1" ht="40.5" customHeight="1">
      <c r="A299" s="749">
        <v>45070</v>
      </c>
      <c r="B299" s="726" t="s">
        <v>56</v>
      </c>
      <c r="C299" s="726" t="s">
        <v>45</v>
      </c>
      <c r="D299" s="730" t="s">
        <v>1270</v>
      </c>
      <c r="E299" s="730" t="s">
        <v>4993</v>
      </c>
      <c r="F299" s="730" t="s">
        <v>1270</v>
      </c>
      <c r="G299" s="808" t="s">
        <v>4994</v>
      </c>
      <c r="H299" s="730" t="s">
        <v>4946</v>
      </c>
      <c r="I299" s="726" t="s">
        <v>47</v>
      </c>
      <c r="J299" s="2406" t="s">
        <v>6317</v>
      </c>
      <c r="K299" s="726"/>
      <c r="L299" s="730"/>
      <c r="M299" s="731" t="s">
        <v>60</v>
      </c>
      <c r="N299" s="712" t="s">
        <v>60</v>
      </c>
      <c r="O299" s="759" t="s">
        <v>837</v>
      </c>
      <c r="P299" s="891">
        <v>4</v>
      </c>
      <c r="Q299" s="891">
        <v>4</v>
      </c>
      <c r="R299" s="772" t="s">
        <v>45</v>
      </c>
      <c r="S299" s="937" t="str">
        <f t="shared" si="29"/>
        <v/>
      </c>
      <c r="T299" s="920"/>
      <c r="U299" s="730" t="s">
        <v>176</v>
      </c>
      <c r="V299" s="711" t="s">
        <v>176</v>
      </c>
      <c r="W299" s="711" t="s">
        <v>38</v>
      </c>
      <c r="X299" s="711"/>
      <c r="Y299" s="711"/>
      <c r="Z299" s="730" t="s">
        <v>5598</v>
      </c>
      <c r="AA299" s="1632" t="s">
        <v>60</v>
      </c>
      <c r="AB299" s="762" t="s">
        <v>594</v>
      </c>
      <c r="AC299" s="762" t="s">
        <v>60</v>
      </c>
      <c r="AD299" s="695" t="s">
        <v>38</v>
      </c>
      <c r="AE299" s="2222">
        <v>45134</v>
      </c>
      <c r="AF299" s="2536" t="s">
        <v>6306</v>
      </c>
      <c r="AG299" s="920"/>
      <c r="AH299" s="1376">
        <f t="shared" ca="1" si="30"/>
        <v>174</v>
      </c>
      <c r="AI299" s="2781"/>
      <c r="AJ299" s="2781"/>
    </row>
    <row r="300" spans="1:36" s="2323" customFormat="1" ht="40.5" customHeight="1">
      <c r="A300" s="749">
        <v>45070</v>
      </c>
      <c r="B300" s="726" t="s">
        <v>56</v>
      </c>
      <c r="C300" s="726" t="s">
        <v>45</v>
      </c>
      <c r="D300" s="730" t="s">
        <v>1270</v>
      </c>
      <c r="E300" s="730" t="s">
        <v>4993</v>
      </c>
      <c r="F300" s="730" t="s">
        <v>1270</v>
      </c>
      <c r="G300" s="808" t="s">
        <v>4994</v>
      </c>
      <c r="H300" s="730" t="s">
        <v>4946</v>
      </c>
      <c r="I300" s="726" t="s">
        <v>47</v>
      </c>
      <c r="J300" s="2406" t="s">
        <v>6318</v>
      </c>
      <c r="K300" s="726"/>
      <c r="L300" s="730"/>
      <c r="M300" s="731" t="s">
        <v>60</v>
      </c>
      <c r="N300" s="712" t="s">
        <v>60</v>
      </c>
      <c r="O300" s="759" t="s">
        <v>837</v>
      </c>
      <c r="P300" s="891">
        <v>4</v>
      </c>
      <c r="Q300" s="891">
        <v>4</v>
      </c>
      <c r="R300" s="772" t="s">
        <v>45</v>
      </c>
      <c r="S300" s="937" t="str">
        <f t="shared" si="29"/>
        <v/>
      </c>
      <c r="T300" s="920"/>
      <c r="U300" s="730" t="s">
        <v>176</v>
      </c>
      <c r="V300" s="711" t="s">
        <v>176</v>
      </c>
      <c r="W300" s="711" t="s">
        <v>38</v>
      </c>
      <c r="X300" s="711"/>
      <c r="Y300" s="711"/>
      <c r="Z300" s="730" t="s">
        <v>5598</v>
      </c>
      <c r="AA300" s="1632" t="s">
        <v>60</v>
      </c>
      <c r="AB300" s="1443" t="s">
        <v>594</v>
      </c>
      <c r="AC300" s="762" t="s">
        <v>60</v>
      </c>
      <c r="AD300" s="695" t="s">
        <v>38</v>
      </c>
      <c r="AE300" s="2222">
        <v>45134</v>
      </c>
      <c r="AF300" s="2536" t="s">
        <v>6306</v>
      </c>
      <c r="AG300" s="920"/>
      <c r="AH300" s="1376">
        <f t="shared" ca="1" si="30"/>
        <v>174</v>
      </c>
    </row>
    <row r="301" spans="1:36" s="906" customFormat="1" ht="52">
      <c r="A301" s="749"/>
      <c r="B301" s="890" t="s">
        <v>56</v>
      </c>
      <c r="C301" s="726" t="s">
        <v>60</v>
      </c>
      <c r="D301" s="730" t="s">
        <v>122</v>
      </c>
      <c r="E301" s="794" t="s">
        <v>449</v>
      </c>
      <c r="F301" s="727" t="s">
        <v>122</v>
      </c>
      <c r="G301" s="1385" t="s">
        <v>362</v>
      </c>
      <c r="H301" s="730" t="s">
        <v>4946</v>
      </c>
      <c r="I301" s="726" t="s">
        <v>47</v>
      </c>
      <c r="J301" s="729" t="s">
        <v>6319</v>
      </c>
      <c r="K301" s="726"/>
      <c r="L301" s="730">
        <v>12</v>
      </c>
      <c r="M301" s="731">
        <v>45296</v>
      </c>
      <c r="N301" s="712">
        <f t="shared" ref="N301:N307" si="31">IF(O301="tbc","",(IFERROR(EDATE(O301,-L301),"Invalid procurement method or date entered")))</f>
        <v>44743</v>
      </c>
      <c r="O301" s="759">
        <v>45108</v>
      </c>
      <c r="P301" s="891">
        <v>3</v>
      </c>
      <c r="Q301" s="891">
        <v>3</v>
      </c>
      <c r="R301" s="742">
        <v>331727</v>
      </c>
      <c r="S301" s="937">
        <f t="shared" si="29"/>
        <v>398072.4</v>
      </c>
      <c r="T301" s="924"/>
      <c r="U301" s="2476" t="s">
        <v>6226</v>
      </c>
      <c r="V301" s="711" t="s">
        <v>75</v>
      </c>
      <c r="W301" s="711" t="s">
        <v>62</v>
      </c>
      <c r="X301" s="711" t="s">
        <v>60</v>
      </c>
      <c r="Y301" s="711"/>
      <c r="Z301" s="730" t="s">
        <v>714</v>
      </c>
      <c r="AA301" s="730" t="s">
        <v>45</v>
      </c>
      <c r="AB301" s="762" t="s">
        <v>115</v>
      </c>
      <c r="AC301" s="1310" t="s">
        <v>69</v>
      </c>
      <c r="AD301" s="695" t="s">
        <v>70</v>
      </c>
      <c r="AE301" s="2222">
        <v>45134</v>
      </c>
      <c r="AF301" s="2534" t="s">
        <v>6320</v>
      </c>
      <c r="AG301" s="924"/>
      <c r="AH301" s="1376">
        <f t="shared" ca="1" si="30"/>
        <v>174</v>
      </c>
    </row>
    <row r="302" spans="1:36" s="906" customFormat="1" ht="64.400000000000006" customHeight="1">
      <c r="A302" s="1166"/>
      <c r="B302" s="1406" t="s">
        <v>56</v>
      </c>
      <c r="C302" s="1385" t="s">
        <v>60</v>
      </c>
      <c r="D302" s="1385" t="s">
        <v>6321</v>
      </c>
      <c r="E302" s="1385" t="s">
        <v>449</v>
      </c>
      <c r="F302" s="1385" t="s">
        <v>122</v>
      </c>
      <c r="G302" s="1385" t="s">
        <v>362</v>
      </c>
      <c r="H302" s="1385" t="s">
        <v>4946</v>
      </c>
      <c r="I302" s="698" t="s">
        <v>47</v>
      </c>
      <c r="J302" s="1449" t="s">
        <v>6322</v>
      </c>
      <c r="K302" s="698"/>
      <c r="L302" s="1385">
        <v>12</v>
      </c>
      <c r="M302" s="2305">
        <v>45799</v>
      </c>
      <c r="N302" s="1461">
        <f t="shared" si="31"/>
        <v>45870</v>
      </c>
      <c r="O302" s="1158">
        <v>46235</v>
      </c>
      <c r="P302" s="1466">
        <v>12</v>
      </c>
      <c r="Q302" s="698">
        <v>12</v>
      </c>
      <c r="R302" s="930">
        <v>6000000</v>
      </c>
      <c r="S302" s="937">
        <f t="shared" si="29"/>
        <v>7200000</v>
      </c>
      <c r="T302" s="1474"/>
      <c r="U302" s="850" t="s">
        <v>1488</v>
      </c>
      <c r="V302" s="1158" t="s">
        <v>91</v>
      </c>
      <c r="W302" s="1158" t="s">
        <v>310</v>
      </c>
      <c r="X302" s="1385" t="s">
        <v>60</v>
      </c>
      <c r="Y302" s="1385"/>
      <c r="Z302" s="698" t="s">
        <v>714</v>
      </c>
      <c r="AA302" s="1385" t="s">
        <v>45</v>
      </c>
      <c r="AB302" s="1443" t="s">
        <v>115</v>
      </c>
      <c r="AC302" s="1443" t="s">
        <v>69</v>
      </c>
      <c r="AD302" s="1407" t="s">
        <v>70</v>
      </c>
      <c r="AE302" s="2222">
        <v>45134</v>
      </c>
      <c r="AF302" s="2534" t="s">
        <v>6320</v>
      </c>
      <c r="AG302" s="1474"/>
      <c r="AH302" s="1376">
        <f t="shared" ca="1" si="30"/>
        <v>174</v>
      </c>
    </row>
    <row r="303" spans="1:36" s="906" customFormat="1" ht="64.400000000000006" customHeight="1">
      <c r="A303" s="1423"/>
      <c r="B303" s="2494" t="s">
        <v>56</v>
      </c>
      <c r="C303" s="2494" t="s">
        <v>60</v>
      </c>
      <c r="D303" s="2495" t="s">
        <v>122</v>
      </c>
      <c r="E303" s="2495" t="s">
        <v>449</v>
      </c>
      <c r="F303" s="2495" t="s">
        <v>122</v>
      </c>
      <c r="G303" s="2495" t="s">
        <v>362</v>
      </c>
      <c r="H303" s="2495" t="s">
        <v>4946</v>
      </c>
      <c r="I303" s="2494" t="s">
        <v>47</v>
      </c>
      <c r="J303" s="2730" t="s">
        <v>6323</v>
      </c>
      <c r="K303" s="2494"/>
      <c r="L303" s="2495">
        <v>12</v>
      </c>
      <c r="M303" s="2498" t="s">
        <v>60</v>
      </c>
      <c r="N303" s="2499">
        <f t="shared" si="31"/>
        <v>44743</v>
      </c>
      <c r="O303" s="2597">
        <v>45108</v>
      </c>
      <c r="P303" s="2604" t="s">
        <v>60</v>
      </c>
      <c r="Q303" s="2604" t="s">
        <v>60</v>
      </c>
      <c r="R303" s="2492">
        <v>1000000</v>
      </c>
      <c r="S303" s="937">
        <f t="shared" si="29"/>
        <v>1200000</v>
      </c>
      <c r="T303" s="2590"/>
      <c r="U303" s="1492"/>
      <c r="V303" s="2503" t="s">
        <v>84</v>
      </c>
      <c r="W303" s="2503" t="s">
        <v>62</v>
      </c>
      <c r="X303" s="2503" t="s">
        <v>60</v>
      </c>
      <c r="Y303" s="2503"/>
      <c r="Z303" s="2494" t="s">
        <v>714</v>
      </c>
      <c r="AA303" s="2495" t="s">
        <v>45</v>
      </c>
      <c r="AB303" s="2505" t="s">
        <v>115</v>
      </c>
      <c r="AC303" s="2505" t="s">
        <v>154</v>
      </c>
      <c r="AD303" s="2506" t="s">
        <v>70</v>
      </c>
      <c r="AE303" s="2222">
        <v>45134</v>
      </c>
      <c r="AF303" s="2534" t="s">
        <v>6320</v>
      </c>
      <c r="AG303" s="2590"/>
      <c r="AH303" s="1376">
        <f t="shared" ca="1" si="30"/>
        <v>174</v>
      </c>
      <c r="AI303" s="2323"/>
      <c r="AJ303" s="2323"/>
    </row>
    <row r="304" spans="1:36" s="2323" customFormat="1" ht="64.400000000000006" customHeight="1">
      <c r="A304" s="749"/>
      <c r="B304" s="726" t="s">
        <v>56</v>
      </c>
      <c r="C304" s="726" t="s">
        <v>60</v>
      </c>
      <c r="D304" s="730" t="s">
        <v>122</v>
      </c>
      <c r="E304" s="730" t="s">
        <v>449</v>
      </c>
      <c r="F304" s="730" t="s">
        <v>122</v>
      </c>
      <c r="G304" s="1385" t="s">
        <v>362</v>
      </c>
      <c r="H304" s="730" t="s">
        <v>4946</v>
      </c>
      <c r="I304" s="726" t="s">
        <v>47</v>
      </c>
      <c r="J304" s="2281" t="s">
        <v>6324</v>
      </c>
      <c r="K304" s="726"/>
      <c r="L304" s="730">
        <v>12</v>
      </c>
      <c r="M304" s="731" t="s">
        <v>60</v>
      </c>
      <c r="N304" s="712">
        <f t="shared" si="31"/>
        <v>44743</v>
      </c>
      <c r="O304" s="759">
        <v>45108</v>
      </c>
      <c r="P304" s="891">
        <v>3</v>
      </c>
      <c r="Q304" s="891">
        <v>3</v>
      </c>
      <c r="R304" s="772">
        <v>331727</v>
      </c>
      <c r="S304" s="937">
        <f t="shared" si="29"/>
        <v>398072.4</v>
      </c>
      <c r="T304" s="920"/>
      <c r="U304" s="2475" t="s">
        <v>6226</v>
      </c>
      <c r="V304" s="711" t="s">
        <v>75</v>
      </c>
      <c r="W304" s="711" t="s">
        <v>62</v>
      </c>
      <c r="X304" s="711" t="s">
        <v>60</v>
      </c>
      <c r="Y304" s="711"/>
      <c r="Z304" s="730" t="s">
        <v>714</v>
      </c>
      <c r="AA304" s="730" t="s">
        <v>45</v>
      </c>
      <c r="AB304" s="762" t="s">
        <v>115</v>
      </c>
      <c r="AC304" s="1308" t="s">
        <v>69</v>
      </c>
      <c r="AD304" s="695" t="s">
        <v>70</v>
      </c>
      <c r="AE304" s="2222">
        <v>45134</v>
      </c>
      <c r="AF304" s="2534" t="s">
        <v>6320</v>
      </c>
      <c r="AG304" s="920"/>
      <c r="AH304" s="1376">
        <f t="shared" ca="1" si="30"/>
        <v>174</v>
      </c>
    </row>
    <row r="305" spans="1:36" s="1495" customFormat="1" ht="64.400000000000006" customHeight="1">
      <c r="A305" s="749"/>
      <c r="B305" s="726" t="s">
        <v>56</v>
      </c>
      <c r="C305" s="726" t="s">
        <v>60</v>
      </c>
      <c r="D305" s="730" t="s">
        <v>122</v>
      </c>
      <c r="E305" s="730" t="s">
        <v>449</v>
      </c>
      <c r="F305" s="730" t="s">
        <v>122</v>
      </c>
      <c r="G305" s="730" t="s">
        <v>362</v>
      </c>
      <c r="H305" s="730" t="s">
        <v>4946</v>
      </c>
      <c r="I305" s="726" t="s">
        <v>47</v>
      </c>
      <c r="J305" s="2281" t="s">
        <v>6325</v>
      </c>
      <c r="K305" s="726"/>
      <c r="L305" s="730">
        <v>12</v>
      </c>
      <c r="M305" s="731" t="s">
        <v>60</v>
      </c>
      <c r="N305" s="712">
        <f t="shared" si="31"/>
        <v>44743</v>
      </c>
      <c r="O305" s="759">
        <v>45108</v>
      </c>
      <c r="P305" s="891">
        <v>3</v>
      </c>
      <c r="Q305" s="891">
        <v>3</v>
      </c>
      <c r="R305" s="772">
        <v>331727</v>
      </c>
      <c r="S305" s="937">
        <f t="shared" si="29"/>
        <v>398072.4</v>
      </c>
      <c r="T305" s="920"/>
      <c r="U305" s="2475" t="s">
        <v>6226</v>
      </c>
      <c r="V305" s="711" t="s">
        <v>75</v>
      </c>
      <c r="W305" s="711" t="s">
        <v>62</v>
      </c>
      <c r="X305" s="711" t="s">
        <v>60</v>
      </c>
      <c r="Y305" s="711"/>
      <c r="Z305" s="730" t="s">
        <v>714</v>
      </c>
      <c r="AA305" s="730" t="s">
        <v>45</v>
      </c>
      <c r="AB305" s="762" t="s">
        <v>115</v>
      </c>
      <c r="AC305" s="1308" t="s">
        <v>69</v>
      </c>
      <c r="AD305" s="695" t="s">
        <v>70</v>
      </c>
      <c r="AE305" s="2222">
        <v>45134</v>
      </c>
      <c r="AF305" s="2534" t="s">
        <v>6320</v>
      </c>
      <c r="AG305" s="920"/>
      <c r="AH305" s="1376">
        <f t="shared" ca="1" si="30"/>
        <v>174</v>
      </c>
      <c r="AI305" s="2323"/>
      <c r="AJ305" s="2323"/>
    </row>
    <row r="306" spans="1:36" s="2323" customFormat="1" ht="64.400000000000006" customHeight="1">
      <c r="A306" s="749"/>
      <c r="B306" s="726" t="s">
        <v>56</v>
      </c>
      <c r="C306" s="726" t="s">
        <v>60</v>
      </c>
      <c r="D306" s="730" t="s">
        <v>122</v>
      </c>
      <c r="E306" s="730" t="s">
        <v>449</v>
      </c>
      <c r="F306" s="730" t="s">
        <v>122</v>
      </c>
      <c r="G306" s="730" t="s">
        <v>362</v>
      </c>
      <c r="H306" s="730" t="s">
        <v>4946</v>
      </c>
      <c r="I306" s="726" t="s">
        <v>47</v>
      </c>
      <c r="J306" s="2281" t="s">
        <v>6326</v>
      </c>
      <c r="K306" s="726"/>
      <c r="L306" s="730">
        <v>12</v>
      </c>
      <c r="M306" s="731" t="s">
        <v>60</v>
      </c>
      <c r="N306" s="712">
        <f t="shared" si="31"/>
        <v>45170</v>
      </c>
      <c r="O306" s="759">
        <v>45536</v>
      </c>
      <c r="P306" s="891">
        <v>3</v>
      </c>
      <c r="Q306" s="891">
        <v>3</v>
      </c>
      <c r="R306" s="772">
        <v>350000</v>
      </c>
      <c r="S306" s="937">
        <f t="shared" si="29"/>
        <v>420000</v>
      </c>
      <c r="T306" s="920"/>
      <c r="U306" s="2475" t="s">
        <v>6226</v>
      </c>
      <c r="V306" s="711" t="s">
        <v>75</v>
      </c>
      <c r="W306" s="711" t="s">
        <v>62</v>
      </c>
      <c r="X306" s="711" t="s">
        <v>60</v>
      </c>
      <c r="Y306" s="711"/>
      <c r="Z306" s="730" t="s">
        <v>714</v>
      </c>
      <c r="AA306" s="730" t="s">
        <v>45</v>
      </c>
      <c r="AB306" s="762" t="s">
        <v>115</v>
      </c>
      <c r="AC306" s="1308" t="s">
        <v>69</v>
      </c>
      <c r="AD306" s="695" t="s">
        <v>70</v>
      </c>
      <c r="AE306" s="2222">
        <v>45134</v>
      </c>
      <c r="AF306" s="2534" t="s">
        <v>6320</v>
      </c>
      <c r="AG306" s="920"/>
      <c r="AH306" s="1376">
        <f t="shared" ca="1" si="30"/>
        <v>174</v>
      </c>
    </row>
    <row r="307" spans="1:36" s="2323" customFormat="1" ht="64.400000000000006" customHeight="1">
      <c r="A307" s="749"/>
      <c r="B307" s="726" t="s">
        <v>56</v>
      </c>
      <c r="C307" s="726" t="s">
        <v>60</v>
      </c>
      <c r="D307" s="730" t="s">
        <v>32</v>
      </c>
      <c r="E307" s="730" t="s">
        <v>449</v>
      </c>
      <c r="F307" s="730" t="s">
        <v>361</v>
      </c>
      <c r="G307" s="730" t="s">
        <v>362</v>
      </c>
      <c r="H307" s="730" t="s">
        <v>4946</v>
      </c>
      <c r="I307" s="726" t="s">
        <v>47</v>
      </c>
      <c r="J307" s="2281" t="s">
        <v>6327</v>
      </c>
      <c r="K307" s="726"/>
      <c r="L307" s="730">
        <v>1</v>
      </c>
      <c r="M307" s="731" t="s">
        <v>60</v>
      </c>
      <c r="N307" s="712" t="str">
        <f t="shared" si="31"/>
        <v/>
      </c>
      <c r="O307" s="759" t="s">
        <v>60</v>
      </c>
      <c r="P307" s="891">
        <v>3</v>
      </c>
      <c r="Q307" s="891">
        <v>3</v>
      </c>
      <c r="R307" s="772">
        <v>174000</v>
      </c>
      <c r="S307" s="937">
        <f t="shared" si="29"/>
        <v>208800</v>
      </c>
      <c r="T307" s="920"/>
      <c r="U307" s="730" t="s">
        <v>176</v>
      </c>
      <c r="V307" s="711" t="s">
        <v>176</v>
      </c>
      <c r="W307" s="711" t="s">
        <v>62</v>
      </c>
      <c r="X307" s="711" t="s">
        <v>60</v>
      </c>
      <c r="Y307" s="711"/>
      <c r="Z307" s="730" t="s">
        <v>714</v>
      </c>
      <c r="AA307" s="730" t="s">
        <v>45</v>
      </c>
      <c r="AB307" s="762" t="s">
        <v>115</v>
      </c>
      <c r="AC307" s="1308" t="s">
        <v>69</v>
      </c>
      <c r="AD307" s="695" t="s">
        <v>70</v>
      </c>
      <c r="AE307" s="2222">
        <v>44855</v>
      </c>
      <c r="AF307" s="729" t="s">
        <v>6328</v>
      </c>
      <c r="AG307" s="920"/>
      <c r="AH307" s="1376">
        <f t="shared" ca="1" si="30"/>
        <v>453</v>
      </c>
    </row>
    <row r="308" spans="1:36" s="906" customFormat="1" ht="40.5" customHeight="1">
      <c r="A308" s="749">
        <v>44799</v>
      </c>
      <c r="B308" s="737" t="s">
        <v>100</v>
      </c>
      <c r="C308" s="738" t="s">
        <v>868</v>
      </c>
      <c r="D308" s="739" t="s">
        <v>32</v>
      </c>
      <c r="E308" s="794" t="s">
        <v>449</v>
      </c>
      <c r="F308" s="739" t="s">
        <v>1067</v>
      </c>
      <c r="G308" s="708" t="s">
        <v>502</v>
      </c>
      <c r="H308" s="710" t="s">
        <v>514</v>
      </c>
      <c r="I308" s="710" t="s">
        <v>47</v>
      </c>
      <c r="J308" s="709" t="s">
        <v>869</v>
      </c>
      <c r="K308" s="915" t="s">
        <v>870</v>
      </c>
      <c r="L308" s="710">
        <v>10</v>
      </c>
      <c r="M308" s="769">
        <f>IFERROR(EDATE($N308,-3),"Invalid procurement method or date entered")</f>
        <v>44986</v>
      </c>
      <c r="N308" s="769">
        <f>IFERROR(EDATE(O308,-L308),"Invalid procurement method or date entered")</f>
        <v>45078</v>
      </c>
      <c r="O308" s="769">
        <v>45383</v>
      </c>
      <c r="P308" s="750" t="s">
        <v>45</v>
      </c>
      <c r="Q308" s="723" t="s">
        <v>45</v>
      </c>
      <c r="R308" s="742" t="s">
        <v>45</v>
      </c>
      <c r="S308" s="742" t="s">
        <v>45</v>
      </c>
      <c r="T308" s="807">
        <v>5000</v>
      </c>
      <c r="U308" s="2475" t="s">
        <v>176</v>
      </c>
      <c r="V308" s="708" t="s">
        <v>176</v>
      </c>
      <c r="W308" s="710" t="s">
        <v>200</v>
      </c>
      <c r="X308" s="710" t="s">
        <v>45</v>
      </c>
      <c r="Y308" s="710"/>
      <c r="Z308" s="915" t="s">
        <v>5259</v>
      </c>
      <c r="AA308" s="710" t="s">
        <v>679</v>
      </c>
      <c r="AB308" s="710" t="s">
        <v>40</v>
      </c>
      <c r="AC308" s="710" t="s">
        <v>69</v>
      </c>
      <c r="AD308" s="710" t="s">
        <v>70</v>
      </c>
      <c r="AE308" s="2222">
        <v>45148</v>
      </c>
      <c r="AF308" s="1301" t="s">
        <v>6329</v>
      </c>
      <c r="AG308" s="741" t="s">
        <v>506</v>
      </c>
      <c r="AH308" s="1376">
        <f t="shared" ca="1" si="30"/>
        <v>160</v>
      </c>
      <c r="AI308" s="1395"/>
    </row>
    <row r="309" spans="1:36" s="906" customFormat="1" ht="26.15" customHeight="1">
      <c r="A309" s="887">
        <v>45163</v>
      </c>
      <c r="B309" s="707" t="s">
        <v>56</v>
      </c>
      <c r="C309" s="707" t="s">
        <v>60</v>
      </c>
      <c r="D309" s="710" t="s">
        <v>630</v>
      </c>
      <c r="E309" s="710" t="s">
        <v>1315</v>
      </c>
      <c r="F309" s="730" t="s">
        <v>1471</v>
      </c>
      <c r="G309" s="728" t="s">
        <v>6330</v>
      </c>
      <c r="H309" s="709" t="s">
        <v>6331</v>
      </c>
      <c r="I309" s="710"/>
      <c r="J309" s="711">
        <v>45200</v>
      </c>
      <c r="K309" s="947">
        <v>45383</v>
      </c>
      <c r="L309" s="738">
        <v>12</v>
      </c>
      <c r="M309" s="707">
        <v>12</v>
      </c>
      <c r="N309" s="772">
        <v>50000</v>
      </c>
      <c r="O309" s="772">
        <f>IF(ISNUMBER(N309),SUM(N309*20%)+N309,"")</f>
        <v>60000</v>
      </c>
      <c r="P309" s="2977">
        <f>IF(AND(ISNUMBER(N309),ISNUMBER(L309)),N309/(SUM(L309/12)),"no Term or Value")</f>
        <v>50000</v>
      </c>
      <c r="Q309" s="730"/>
      <c r="R309" s="744"/>
      <c r="S309" s="711"/>
      <c r="T309" s="710" t="s">
        <v>5411</v>
      </c>
      <c r="U309" s="730" t="s">
        <v>3955</v>
      </c>
      <c r="V309" s="710" t="s">
        <v>115</v>
      </c>
      <c r="W309" s="710"/>
      <c r="X309" s="710" t="s">
        <v>70</v>
      </c>
      <c r="Y309" s="769">
        <v>45177</v>
      </c>
      <c r="Z309" s="1410" t="s">
        <v>6332</v>
      </c>
      <c r="AA309" s="2988">
        <f ca="1">IF(ISNUMBER(Y309),-1*(Y309-TODAY()),"no date")</f>
        <v>131</v>
      </c>
    </row>
  </sheetData>
  <autoFilter ref="A1:BC307" xr:uid="{00000000-0001-0000-0500-000000000000}"/>
  <customSheetViews>
    <customSheetView guid="{03AD2AFE-2DDD-4D37-8F9F-D1CAD93AE394}" scale="70" showPageBreaks="1" topLeftCell="A16">
      <selection activeCell="C22" sqref="C22"/>
      <pageMargins left="0" right="0" top="0" bottom="0" header="0" footer="0"/>
      <pageSetup paperSize="9" orientation="portrait" r:id="rId1"/>
      <headerFooter>
        <oddFooter>&amp;C&amp;1#&amp;"Calibri"&amp;10&amp;KFF0000OFFICIAL</oddFooter>
      </headerFooter>
    </customSheetView>
    <customSheetView guid="{72F95FA9-AFFF-408B-84D5-C75A1D3CC966}" scale="70" hiddenRows="1" topLeftCell="I1">
      <selection activeCell="X2" sqref="X2"/>
      <pageMargins left="0" right="0" top="0" bottom="0" header="0" footer="0"/>
      <pageSetup paperSize="9" orientation="portrait" r:id="rId2"/>
      <headerFooter>
        <oddFooter>&amp;C&amp;1#&amp;"Calibri"&amp;10&amp;KFF0000OFFICIAL</oddFooter>
      </headerFooter>
    </customSheetView>
    <customSheetView guid="{D94B7CCD-4AA3-4F35-A1EC-06B789B9F348}" scale="70" hiddenRows="1" topLeftCell="A7">
      <selection activeCell="C18" sqref="C18"/>
      <pageMargins left="0" right="0" top="0" bottom="0" header="0" footer="0"/>
      <pageSetup paperSize="9" orientation="portrait" r:id="rId3"/>
      <headerFooter>
        <oddFooter>&amp;C&amp;1#&amp;"Calibri"&amp;10&amp;KFF0000OFFICIAL</oddFooter>
      </headerFooter>
    </customSheetView>
    <customSheetView guid="{E2C38D4C-A246-439C-8E43-A1D322E960FD}" scale="70" hiddenRows="1" topLeftCell="I1">
      <selection activeCell="X2" sqref="X2"/>
      <pageMargins left="0" right="0" top="0" bottom="0" header="0" footer="0"/>
      <pageSetup paperSize="9" orientation="portrait" r:id="rId4"/>
      <headerFooter>
        <oddFooter>&amp;C&amp;1#&amp;"Calibri"&amp;10&amp;KFF0000OFFICIAL</oddFooter>
      </headerFooter>
    </customSheetView>
    <customSheetView guid="{C4CA1DDF-3AFE-43A6-8BB5-B707D5EB70E1}" scale="70" topLeftCell="K1">
      <selection activeCell="AC5" sqref="AC5"/>
      <pageMargins left="0" right="0" top="0" bottom="0" header="0" footer="0"/>
      <pageSetup paperSize="9" orientation="portrait" r:id="rId5"/>
      <headerFooter>
        <oddFooter>&amp;C&amp;1#&amp;"Calibri"&amp;10&amp;KFF0000OFFICIAL</oddFooter>
      </headerFooter>
    </customSheetView>
    <customSheetView guid="{75DC90F1-9A33-4736-80DE-C58B8C19925D}" scale="70" hiddenRows="1" topLeftCell="A13">
      <selection activeCell="A19" sqref="A19"/>
      <pageMargins left="0" right="0" top="0" bottom="0" header="0" footer="0"/>
      <pageSetup paperSize="9" orientation="portrait" r:id="rId6"/>
      <headerFooter>
        <oddFooter>&amp;C&amp;1#&amp;"Calibri"&amp;10&amp;KFF0000OFFICIAL</oddFooter>
      </headerFooter>
    </customSheetView>
    <customSheetView guid="{C50ED91D-25E4-46FC-8E07-25A27A03203F}" scale="70" hiddenRows="1" topLeftCell="I1">
      <selection activeCell="X2" sqref="X2"/>
      <pageMargins left="0" right="0" top="0" bottom="0" header="0" footer="0"/>
      <pageSetup paperSize="9" orientation="portrait" r:id="rId7"/>
      <headerFooter>
        <oddFooter>&amp;C&amp;1#&amp;"Calibri"&amp;10&amp;KFF0000OFFICIAL</oddFooter>
      </headerFooter>
    </customSheetView>
    <customSheetView guid="{B0C47159-7A10-4CD0-9C42-4D9C3E367478}" scale="70" hiddenRows="1" topLeftCell="I1">
      <selection activeCell="X2" sqref="X2"/>
      <pageMargins left="0" right="0" top="0" bottom="0" header="0" footer="0"/>
      <pageSetup paperSize="9" orientation="portrait" r:id="rId8"/>
      <headerFooter>
        <oddFooter>&amp;C&amp;1#&amp;"Calibri"&amp;10&amp;KFF0000OFFICIAL</oddFooter>
      </headerFooter>
    </customSheetView>
    <customSheetView guid="{93640DF0-8C30-49B3-9AEE-B443879E2D06}" scale="70" hiddenRows="1" topLeftCell="I1">
      <selection activeCell="X2" sqref="X2"/>
      <pageMargins left="0" right="0" top="0" bottom="0" header="0" footer="0"/>
      <pageSetup paperSize="9" orientation="portrait" r:id="rId9"/>
      <headerFooter>
        <oddFooter>&amp;C&amp;1#&amp;"Calibri"&amp;10&amp;KFF0000OFFICIAL</oddFooter>
      </headerFooter>
    </customSheetView>
    <customSheetView guid="{2B13F76B-25C3-4174-A739-40F22F721CD1}" scale="70" topLeftCell="A7">
      <selection activeCell="A12" sqref="A12:XFD12"/>
      <pageMargins left="0" right="0" top="0" bottom="0" header="0" footer="0"/>
      <pageSetup paperSize="9" orientation="portrait" r:id="rId10"/>
      <headerFooter>
        <oddFooter>&amp;C&amp;1#&amp;"Calibri"&amp;10&amp;KFF0000OFFICIAL</oddFooter>
      </headerFooter>
    </customSheetView>
    <customSheetView guid="{D3FBC512-40E9-4DA3-B67A-E2456DB39E9B}" scale="70" hiddenRows="1" topLeftCell="I1">
      <selection activeCell="X2" sqref="X2"/>
      <pageMargins left="0" right="0" top="0" bottom="0" header="0" footer="0"/>
      <pageSetup paperSize="9" orientation="portrait" r:id="rId11"/>
      <headerFooter>
        <oddFooter>&amp;C&amp;1#&amp;"Calibri"&amp;10&amp;KFF0000OFFICIAL</oddFooter>
      </headerFooter>
    </customSheetView>
    <customSheetView guid="{0075AE26-7AAE-449B-B498-05D3C89595DA}" scale="70">
      <selection activeCell="E17" sqref="E17"/>
      <pageMargins left="0" right="0" top="0" bottom="0" header="0" footer="0"/>
      <pageSetup paperSize="9" orientation="portrait" r:id="rId12"/>
      <headerFooter>
        <oddFooter>&amp;C&amp;1#&amp;"Calibri"&amp;10&amp;KFF0000OFFICIAL</oddFooter>
      </headerFooter>
    </customSheetView>
    <customSheetView guid="{DC499C24-673D-41B7-8539-2D48464FEE75}" scale="70" topLeftCell="A13">
      <selection activeCell="A21" sqref="A21:XFD21"/>
      <pageMargins left="0" right="0" top="0" bottom="0" header="0" footer="0"/>
      <pageSetup paperSize="9" orientation="portrait" r:id="rId13"/>
      <headerFooter>
        <oddFooter>&amp;C&amp;1#&amp;"Calibri"&amp;10&amp;KFF0000OFFICIAL</oddFooter>
      </headerFooter>
    </customSheetView>
    <customSheetView guid="{60598B7A-9956-4AF7-BFA4-C4E2EC2FF791}" scale="70" hiddenRows="1" topLeftCell="I1">
      <selection activeCell="X2" sqref="X2"/>
      <pageMargins left="0" right="0" top="0" bottom="0" header="0" footer="0"/>
      <pageSetup paperSize="9" orientation="portrait" r:id="rId14"/>
      <headerFooter>
        <oddFooter>&amp;C&amp;1#&amp;"Calibri"&amp;10&amp;KFF0000OFFICIAL</oddFooter>
      </headerFooter>
    </customSheetView>
    <customSheetView guid="{9E076E2C-7493-4447-AF1A-1D294B765C0C}" scale="70" hiddenRows="1" topLeftCell="I1">
      <selection activeCell="X2" sqref="X2"/>
      <pageMargins left="0" right="0" top="0" bottom="0" header="0" footer="0"/>
      <pageSetup paperSize="9" orientation="portrait" r:id="rId15"/>
      <headerFooter>
        <oddFooter>&amp;C&amp;1#&amp;"Calibri"&amp;10&amp;KFF0000OFFICIAL</oddFooter>
      </headerFooter>
    </customSheetView>
  </customSheetViews>
  <conditionalFormatting sqref="N10">
    <cfRule type="cellIs" dxfId="304" priority="342" operator="between">
      <formula>TODAY()+1</formula>
      <formula>TODAY()+120</formula>
    </cfRule>
    <cfRule type="cellIs" dxfId="303" priority="343" operator="between">
      <formula>TODAY()+120</formula>
      <formula>TODAY()+5000</formula>
    </cfRule>
    <cfRule type="cellIs" dxfId="302" priority="344" operator="between">
      <formula>TODAY()</formula>
      <formula>TODAY()-5000</formula>
    </cfRule>
  </conditionalFormatting>
  <conditionalFormatting sqref="N15">
    <cfRule type="cellIs" dxfId="301" priority="339" operator="between">
      <formula>TODAY()+1</formula>
      <formula>TODAY()+120</formula>
    </cfRule>
    <cfRule type="cellIs" dxfId="300" priority="340" operator="between">
      <formula>TODAY()+120</formula>
      <formula>TODAY()+5000</formula>
    </cfRule>
    <cfRule type="cellIs" dxfId="299" priority="341" operator="between">
      <formula>TODAY()</formula>
      <formula>TODAY()-5000</formula>
    </cfRule>
  </conditionalFormatting>
  <conditionalFormatting sqref="N16">
    <cfRule type="cellIs" dxfId="298" priority="336" operator="between">
      <formula>TODAY()+1</formula>
      <formula>TODAY()+120</formula>
    </cfRule>
    <cfRule type="cellIs" dxfId="297" priority="337" operator="between">
      <formula>TODAY()+120</formula>
      <formula>TODAY()+5000</formula>
    </cfRule>
    <cfRule type="cellIs" dxfId="296" priority="338" operator="between">
      <formula>TODAY()</formula>
      <formula>TODAY()-5000</formula>
    </cfRule>
  </conditionalFormatting>
  <conditionalFormatting sqref="AE48">
    <cfRule type="timePeriod" dxfId="295" priority="335" timePeriod="last7Days">
      <formula>AND(TODAY()-FLOOR(AE48,1)&lt;=6,FLOOR(AE48,1)&lt;=TODAY())</formula>
    </cfRule>
  </conditionalFormatting>
  <conditionalFormatting sqref="AE49">
    <cfRule type="timePeriod" dxfId="294" priority="334" timePeriod="last7Days">
      <formula>AND(TODAY()-FLOOR(AE49,1)&lt;=6,FLOOR(AE49,1)&lt;=TODAY())</formula>
    </cfRule>
  </conditionalFormatting>
  <conditionalFormatting sqref="AE50">
    <cfRule type="timePeriod" dxfId="293" priority="333" timePeriod="last7Days">
      <formula>AND(TODAY()-FLOOR(AE50,1)&lt;=6,FLOOR(AE50,1)&lt;=TODAY())</formula>
    </cfRule>
  </conditionalFormatting>
  <conditionalFormatting sqref="AE51">
    <cfRule type="timePeriod" dxfId="292" priority="332" timePeriod="last7Days">
      <formula>AND(TODAY()-FLOOR(AE51,1)&lt;=6,FLOOR(AE51,1)&lt;=TODAY())</formula>
    </cfRule>
  </conditionalFormatting>
  <conditionalFormatting sqref="AE52:AE54">
    <cfRule type="timePeriod" dxfId="291" priority="330" timePeriod="last7Days">
      <formula>AND(TODAY()-FLOOR(AE52,1)&lt;=6,FLOOR(AE52,1)&lt;=TODAY())</formula>
    </cfRule>
  </conditionalFormatting>
  <conditionalFormatting sqref="AE55">
    <cfRule type="timePeriod" dxfId="290" priority="329" timePeriod="last7Days">
      <formula>AND(TODAY()-FLOOR(AE55,1)&lt;=6,FLOOR(AE55,1)&lt;=TODAY())</formula>
    </cfRule>
  </conditionalFormatting>
  <conditionalFormatting sqref="AE56">
    <cfRule type="timePeriod" dxfId="289" priority="327" timePeriod="last7Days">
      <formula>AND(TODAY()-FLOOR(AE56,1)&lt;=6,FLOOR(AE56,1)&lt;=TODAY())</formula>
    </cfRule>
  </conditionalFormatting>
  <conditionalFormatting sqref="AE57">
    <cfRule type="timePeriod" dxfId="288" priority="326" timePeriod="last7Days">
      <formula>AND(TODAY()-FLOOR(AE57,1)&lt;=6,FLOOR(AE57,1)&lt;=TODAY())</formula>
    </cfRule>
  </conditionalFormatting>
  <conditionalFormatting sqref="AE58">
    <cfRule type="timePeriod" dxfId="287" priority="325" timePeriod="last7Days">
      <formula>AND(TODAY()-FLOOR(AE58,1)&lt;=6,FLOOR(AE58,1)&lt;=TODAY())</formula>
    </cfRule>
  </conditionalFormatting>
  <conditionalFormatting sqref="AE59">
    <cfRule type="timePeriod" dxfId="286" priority="324" timePeriod="last7Days">
      <formula>AND(TODAY()-FLOOR(AE59,1)&lt;=6,FLOOR(AE59,1)&lt;=TODAY())</formula>
    </cfRule>
  </conditionalFormatting>
  <conditionalFormatting sqref="AE60">
    <cfRule type="timePeriod" dxfId="285" priority="323" timePeriod="last7Days">
      <formula>AND(TODAY()-FLOOR(AE60,1)&lt;=6,FLOOR(AE60,1)&lt;=TODAY())</formula>
    </cfRule>
  </conditionalFormatting>
  <conditionalFormatting sqref="AE61">
    <cfRule type="timePeriod" dxfId="284" priority="322" timePeriod="last7Days">
      <formula>AND(TODAY()-FLOOR(AE61,1)&lt;=6,FLOOR(AE61,1)&lt;=TODAY())</formula>
    </cfRule>
  </conditionalFormatting>
  <conditionalFormatting sqref="AE62">
    <cfRule type="timePeriod" dxfId="283" priority="321" timePeriod="last7Days">
      <formula>AND(TODAY()-FLOOR(AE62,1)&lt;=6,FLOOR(AE62,1)&lt;=TODAY())</formula>
    </cfRule>
  </conditionalFormatting>
  <conditionalFormatting sqref="AE63">
    <cfRule type="timePeriod" dxfId="282" priority="320" timePeriod="last7Days">
      <formula>AND(TODAY()-FLOOR(AE63,1)&lt;=6,FLOOR(AE63,1)&lt;=TODAY())</formula>
    </cfRule>
  </conditionalFormatting>
  <conditionalFormatting sqref="AE64">
    <cfRule type="timePeriod" dxfId="281" priority="318" timePeriod="last7Days">
      <formula>AND(TODAY()-FLOOR(AE64,1)&lt;=6,FLOOR(AE64,1)&lt;=TODAY())</formula>
    </cfRule>
  </conditionalFormatting>
  <conditionalFormatting sqref="AE65:AE73">
    <cfRule type="timePeriod" dxfId="280" priority="317" timePeriod="last7Days">
      <formula>AND(TODAY()-FLOOR(AE65,1)&lt;=6,FLOOR(AE65,1)&lt;=TODAY())</formula>
    </cfRule>
  </conditionalFormatting>
  <conditionalFormatting sqref="AE74">
    <cfRule type="timePeriod" dxfId="279" priority="316" timePeriod="last7Days">
      <formula>AND(TODAY()-FLOOR(AE74,1)&lt;=6,FLOOR(AE74,1)&lt;=TODAY())</formula>
    </cfRule>
  </conditionalFormatting>
  <conditionalFormatting sqref="AE75">
    <cfRule type="timePeriod" dxfId="278" priority="315" timePeriod="last7Days">
      <formula>AND(TODAY()-FLOOR(AE75,1)&lt;=6,FLOOR(AE75,1)&lt;=TODAY())</formula>
    </cfRule>
  </conditionalFormatting>
  <conditionalFormatting sqref="AE76">
    <cfRule type="timePeriod" dxfId="277" priority="314" timePeriod="last7Days">
      <formula>AND(TODAY()-FLOOR(AE76,1)&lt;=6,FLOOR(AE76,1)&lt;=TODAY())</formula>
    </cfRule>
  </conditionalFormatting>
  <conditionalFormatting sqref="AE77">
    <cfRule type="timePeriod" dxfId="276" priority="313" timePeriod="last7Days">
      <formula>AND(TODAY()-FLOOR(AE77,1)&lt;=6,FLOOR(AE77,1)&lt;=TODAY())</formula>
    </cfRule>
  </conditionalFormatting>
  <conditionalFormatting sqref="AF78">
    <cfRule type="timePeriod" dxfId="275" priority="312" timePeriod="last7Days">
      <formula>AND(TODAY()-FLOOR(AF78,1)&lt;=6,FLOOR(AF78,1)&lt;=TODAY())</formula>
    </cfRule>
  </conditionalFormatting>
  <conditionalFormatting sqref="AF78">
    <cfRule type="timePeriod" dxfId="274" priority="311" timePeriod="last7Days">
      <formula>AND(TODAY()-FLOOR(AF78,1)&lt;=6,FLOOR(AF78,1)&lt;=TODAY())</formula>
    </cfRule>
  </conditionalFormatting>
  <conditionalFormatting sqref="AE79">
    <cfRule type="timePeriod" dxfId="273" priority="310" timePeriod="last7Days">
      <formula>AND(TODAY()-FLOOR(AE79,1)&lt;=6,FLOOR(AE79,1)&lt;=TODAY())</formula>
    </cfRule>
  </conditionalFormatting>
  <conditionalFormatting sqref="AE80">
    <cfRule type="timePeriod" dxfId="272" priority="309" timePeriod="last7Days">
      <formula>AND(TODAY()-FLOOR(AE80,1)&lt;=6,FLOOR(AE80,1)&lt;=TODAY())</formula>
    </cfRule>
  </conditionalFormatting>
  <conditionalFormatting sqref="AE81">
    <cfRule type="timePeriod" dxfId="271" priority="307" timePeriod="last7Days">
      <formula>AND(TODAY()-FLOOR(AE81,1)&lt;=6,FLOOR(AE81,1)&lt;=TODAY())</formula>
    </cfRule>
  </conditionalFormatting>
  <conditionalFormatting sqref="AE81">
    <cfRule type="timePeriod" dxfId="270" priority="305" timePeriod="last7Days">
      <formula>AND(TODAY()-FLOOR(AE81,1)&lt;=6,FLOOR(AE81,1)&lt;=TODAY())</formula>
    </cfRule>
  </conditionalFormatting>
  <conditionalFormatting sqref="AE81">
    <cfRule type="timePeriod" dxfId="269" priority="304" timePeriod="last7Days">
      <formula>AND(TODAY()-FLOOR(AE81,1)&lt;=6,FLOOR(AE81,1)&lt;=TODAY())</formula>
    </cfRule>
  </conditionalFormatting>
  <conditionalFormatting sqref="AE82">
    <cfRule type="timePeriod" dxfId="268" priority="303" timePeriod="last7Days">
      <formula>AND(TODAY()-FLOOR(AE82,1)&lt;=6,FLOOR(AE82,1)&lt;=TODAY())</formula>
    </cfRule>
  </conditionalFormatting>
  <conditionalFormatting sqref="AE83">
    <cfRule type="timePeriod" dxfId="267" priority="302" timePeriod="last7Days">
      <formula>AND(TODAY()-FLOOR(AE83,1)&lt;=6,FLOOR(AE83,1)&lt;=TODAY())</formula>
    </cfRule>
  </conditionalFormatting>
  <conditionalFormatting sqref="AE84">
    <cfRule type="timePeriod" dxfId="266" priority="301" timePeriod="last7Days">
      <formula>AND(TODAY()-FLOOR(AE84,1)&lt;=6,FLOOR(AE84,1)&lt;=TODAY())</formula>
    </cfRule>
  </conditionalFormatting>
  <conditionalFormatting sqref="AE85">
    <cfRule type="timePeriod" dxfId="265" priority="300" timePeriod="last7Days">
      <formula>AND(TODAY()-FLOOR(AE85,1)&lt;=6,FLOOR(AE85,1)&lt;=TODAY())</formula>
    </cfRule>
  </conditionalFormatting>
  <conditionalFormatting sqref="AE86">
    <cfRule type="timePeriod" dxfId="264" priority="298" timePeriod="last7Days">
      <formula>AND(TODAY()-FLOOR(AE86,1)&lt;=6,FLOOR(AE86,1)&lt;=TODAY())</formula>
    </cfRule>
  </conditionalFormatting>
  <conditionalFormatting sqref="AE87">
    <cfRule type="timePeriod" dxfId="263" priority="295" timePeriod="last7Days">
      <formula>AND(TODAY()-FLOOR(AE87,1)&lt;=6,FLOOR(AE87,1)&lt;=TODAY())</formula>
    </cfRule>
  </conditionalFormatting>
  <conditionalFormatting sqref="AG88">
    <cfRule type="timePeriod" dxfId="262" priority="294" timePeriod="last7Days">
      <formula>AND(TODAY()-FLOOR(AG88,1)&lt;=6,FLOOR(AG88,1)&lt;=TODAY())</formula>
    </cfRule>
  </conditionalFormatting>
  <conditionalFormatting sqref="AE89">
    <cfRule type="timePeriod" dxfId="261" priority="293" timePeriod="last7Days">
      <formula>AND(TODAY()-FLOOR(AE89,1)&lt;=6,FLOOR(AE89,1)&lt;=TODAY())</formula>
    </cfRule>
  </conditionalFormatting>
  <conditionalFormatting sqref="AE90">
    <cfRule type="timePeriod" dxfId="260" priority="292" timePeriod="last7Days">
      <formula>AND(TODAY()-FLOOR(AE90,1)&lt;=6,FLOOR(AE90,1)&lt;=TODAY())</formula>
    </cfRule>
  </conditionalFormatting>
  <conditionalFormatting sqref="AE111">
    <cfRule type="timePeriod" dxfId="259" priority="291" timePeriod="last7Days">
      <formula>AND(TODAY()-FLOOR(AE111,1)&lt;=6,FLOOR(AE111,1)&lt;=TODAY())</formula>
    </cfRule>
  </conditionalFormatting>
  <conditionalFormatting sqref="AE112">
    <cfRule type="timePeriod" dxfId="258" priority="290" timePeriod="last7Days">
      <formula>AND(TODAY()-FLOOR(AE112,1)&lt;=6,FLOOR(AE112,1)&lt;=TODAY())</formula>
    </cfRule>
  </conditionalFormatting>
  <conditionalFormatting sqref="AE113">
    <cfRule type="timePeriod" dxfId="257" priority="289" timePeriod="last7Days">
      <formula>AND(TODAY()-FLOOR(AE113,1)&lt;=6,FLOOR(AE113,1)&lt;=TODAY())</formula>
    </cfRule>
  </conditionalFormatting>
  <conditionalFormatting sqref="AE114">
    <cfRule type="timePeriod" dxfId="256" priority="288" timePeriod="last7Days">
      <formula>AND(TODAY()-FLOOR(AE114,1)&lt;=6,FLOOR(AE114,1)&lt;=TODAY())</formula>
    </cfRule>
  </conditionalFormatting>
  <conditionalFormatting sqref="AE115">
    <cfRule type="timePeriod" dxfId="255" priority="287" timePeriod="last7Days">
      <formula>AND(TODAY()-FLOOR(AE115,1)&lt;=6,FLOOR(AE115,1)&lt;=TODAY())</formula>
    </cfRule>
  </conditionalFormatting>
  <conditionalFormatting sqref="AE115">
    <cfRule type="timePeriod" dxfId="254" priority="286" timePeriod="last7Days">
      <formula>AND(TODAY()-FLOOR(AE115,1)&lt;=6,FLOOR(AE115,1)&lt;=TODAY())</formula>
    </cfRule>
  </conditionalFormatting>
  <conditionalFormatting sqref="AE116">
    <cfRule type="timePeriod" dxfId="253" priority="285" timePeriod="last7Days">
      <formula>AND(TODAY()-FLOOR(AE116,1)&lt;=6,FLOOR(AE116,1)&lt;=TODAY())</formula>
    </cfRule>
  </conditionalFormatting>
  <conditionalFormatting sqref="AE117">
    <cfRule type="timePeriod" dxfId="252" priority="284" timePeriod="last7Days">
      <formula>AND(TODAY()-FLOOR(AE117,1)&lt;=6,FLOOR(AE117,1)&lt;=TODAY())</formula>
    </cfRule>
  </conditionalFormatting>
  <conditionalFormatting sqref="AE118">
    <cfRule type="timePeriod" dxfId="251" priority="283" timePeriod="last7Days">
      <formula>AND(TODAY()-FLOOR(AE118,1)&lt;=6,FLOOR(AE118,1)&lt;=TODAY())</formula>
    </cfRule>
  </conditionalFormatting>
  <conditionalFormatting sqref="AE119">
    <cfRule type="timePeriod" dxfId="250" priority="282" timePeriod="last7Days">
      <formula>AND(TODAY()-FLOOR(AE119,1)&lt;=6,FLOOR(AE119,1)&lt;=TODAY())</formula>
    </cfRule>
  </conditionalFormatting>
  <conditionalFormatting sqref="AE120">
    <cfRule type="timePeriod" dxfId="249" priority="281" timePeriod="last7Days">
      <formula>AND(TODAY()-FLOOR(AE120,1)&lt;=6,FLOOR(AE120,1)&lt;=TODAY())</formula>
    </cfRule>
  </conditionalFormatting>
  <conditionalFormatting sqref="AE121">
    <cfRule type="timePeriod" dxfId="248" priority="280" timePeriod="last7Days">
      <formula>AND(TODAY()-FLOOR(AE121,1)&lt;=6,FLOOR(AE121,1)&lt;=TODAY())</formula>
    </cfRule>
  </conditionalFormatting>
  <conditionalFormatting sqref="AE122">
    <cfRule type="timePeriod" dxfId="247" priority="279" timePeriod="last7Days">
      <formula>AND(TODAY()-FLOOR(AE122,1)&lt;=6,FLOOR(AE122,1)&lt;=TODAY())</formula>
    </cfRule>
  </conditionalFormatting>
  <conditionalFormatting sqref="AE123">
    <cfRule type="timePeriod" dxfId="246" priority="278" timePeriod="last7Days">
      <formula>AND(TODAY()-FLOOR(AE123,1)&lt;=6,FLOOR(AE123,1)&lt;=TODAY())</formula>
    </cfRule>
  </conditionalFormatting>
  <conditionalFormatting sqref="AE124">
    <cfRule type="timePeriod" dxfId="245" priority="277" timePeriod="last7Days">
      <formula>AND(TODAY()-FLOOR(AE124,1)&lt;=6,FLOOR(AE124,1)&lt;=TODAY())</formula>
    </cfRule>
  </conditionalFormatting>
  <conditionalFormatting sqref="AE125">
    <cfRule type="timePeriod" dxfId="244" priority="276" timePeriod="last7Days">
      <formula>AND(TODAY()-FLOOR(AE125,1)&lt;=6,FLOOR(AE125,1)&lt;=TODAY())</formula>
    </cfRule>
  </conditionalFormatting>
  <conditionalFormatting sqref="AE125">
    <cfRule type="timePeriod" dxfId="243" priority="275" timePeriod="last7Days">
      <formula>AND(TODAY()-FLOOR(AE125,1)&lt;=6,FLOOR(AE125,1)&lt;=TODAY())</formula>
    </cfRule>
  </conditionalFormatting>
  <conditionalFormatting sqref="AE126">
    <cfRule type="timePeriod" dxfId="242" priority="274" timePeriod="last7Days">
      <formula>AND(TODAY()-FLOOR(AE126,1)&lt;=6,FLOOR(AE126,1)&lt;=TODAY())</formula>
    </cfRule>
  </conditionalFormatting>
  <conditionalFormatting sqref="AE127">
    <cfRule type="timePeriod" dxfId="241" priority="273" timePeriod="last7Days">
      <formula>AND(TODAY()-FLOOR(AE127,1)&lt;=6,FLOOR(AE127,1)&lt;=TODAY())</formula>
    </cfRule>
  </conditionalFormatting>
  <conditionalFormatting sqref="AE128">
    <cfRule type="timePeriod" dxfId="240" priority="272" timePeriod="last7Days">
      <formula>AND(TODAY()-FLOOR(AE128,1)&lt;=6,FLOOR(AE128,1)&lt;=TODAY())</formula>
    </cfRule>
  </conditionalFormatting>
  <conditionalFormatting sqref="AE128">
    <cfRule type="timePeriod" dxfId="239" priority="271" timePeriod="last7Days">
      <formula>AND(TODAY()-FLOOR(AE128,1)&lt;=6,FLOOR(AE128,1)&lt;=TODAY())</formula>
    </cfRule>
  </conditionalFormatting>
  <conditionalFormatting sqref="AE129">
    <cfRule type="timePeriod" dxfId="238" priority="269" timePeriod="last7Days">
      <formula>AND(TODAY()-FLOOR(AE129,1)&lt;=6,FLOOR(AE129,1)&lt;=TODAY())</formula>
    </cfRule>
  </conditionalFormatting>
  <conditionalFormatting sqref="AE130">
    <cfRule type="timePeriod" dxfId="237" priority="268" timePeriod="last7Days">
      <formula>AND(TODAY()-FLOOR(AE130,1)&lt;=6,FLOOR(AE130,1)&lt;=TODAY())</formula>
    </cfRule>
  </conditionalFormatting>
  <conditionalFormatting sqref="AE131">
    <cfRule type="timePeriod" dxfId="236" priority="267" timePeriod="last7Days">
      <formula>AND(TODAY()-FLOOR(AE131,1)&lt;=6,FLOOR(AE131,1)&lt;=TODAY())</formula>
    </cfRule>
  </conditionalFormatting>
  <conditionalFormatting sqref="AE132">
    <cfRule type="timePeriod" dxfId="235" priority="266" timePeriod="last7Days">
      <formula>AND(TODAY()-FLOOR(AE132,1)&lt;=6,FLOOR(AE132,1)&lt;=TODAY())</formula>
    </cfRule>
  </conditionalFormatting>
  <conditionalFormatting sqref="AE133">
    <cfRule type="timePeriod" dxfId="234" priority="264" timePeriod="last7Days">
      <formula>AND(TODAY()-FLOOR(AE133,1)&lt;=6,FLOOR(AE133,1)&lt;=TODAY())</formula>
    </cfRule>
  </conditionalFormatting>
  <conditionalFormatting sqref="AE134">
    <cfRule type="timePeriod" dxfId="233" priority="263" timePeriod="last7Days">
      <formula>AND(TODAY()-FLOOR(AE134,1)&lt;=6,FLOOR(AE134,1)&lt;=TODAY())</formula>
    </cfRule>
  </conditionalFormatting>
  <conditionalFormatting sqref="AE135">
    <cfRule type="timePeriod" dxfId="232" priority="262" timePeriod="last7Days">
      <formula>AND(TODAY()-FLOOR(AE135,1)&lt;=6,FLOOR(AE135,1)&lt;=TODAY())</formula>
    </cfRule>
  </conditionalFormatting>
  <conditionalFormatting sqref="AE136">
    <cfRule type="timePeriod" dxfId="231" priority="261" timePeriod="last7Days">
      <formula>AND(TODAY()-FLOOR(AE136,1)&lt;=6,FLOOR(AE136,1)&lt;=TODAY())</formula>
    </cfRule>
  </conditionalFormatting>
  <conditionalFormatting sqref="AE137">
    <cfRule type="timePeriod" dxfId="230" priority="260" timePeriod="last7Days">
      <formula>AND(TODAY()-FLOOR(AE137,1)&lt;=6,FLOOR(AE137,1)&lt;=TODAY())</formula>
    </cfRule>
  </conditionalFormatting>
  <conditionalFormatting sqref="AE138">
    <cfRule type="timePeriod" dxfId="229" priority="259" timePeriod="last7Days">
      <formula>AND(TODAY()-FLOOR(AE138,1)&lt;=6,FLOOR(AE138,1)&lt;=TODAY())</formula>
    </cfRule>
  </conditionalFormatting>
  <conditionalFormatting sqref="AE139">
    <cfRule type="timePeriod" dxfId="228" priority="258" timePeriod="last7Days">
      <formula>AND(TODAY()-FLOOR(AE139,1)&lt;=6,FLOOR(AE139,1)&lt;=TODAY())</formula>
    </cfRule>
  </conditionalFormatting>
  <conditionalFormatting sqref="AE140">
    <cfRule type="timePeriod" dxfId="227" priority="257" timePeriod="last7Days">
      <formula>AND(TODAY()-FLOOR(AE140,1)&lt;=6,FLOOR(AE140,1)&lt;=TODAY())</formula>
    </cfRule>
  </conditionalFormatting>
  <conditionalFormatting sqref="AE141">
    <cfRule type="timePeriod" dxfId="226" priority="256" timePeriod="last7Days">
      <formula>AND(TODAY()-FLOOR(AE141,1)&lt;=6,FLOOR(AE141,1)&lt;=TODAY())</formula>
    </cfRule>
  </conditionalFormatting>
  <conditionalFormatting sqref="AE142">
    <cfRule type="timePeriod" dxfId="225" priority="255" timePeriod="last7Days">
      <formula>AND(TODAY()-FLOOR(AE142,1)&lt;=6,FLOOR(AE142,1)&lt;=TODAY())</formula>
    </cfRule>
  </conditionalFormatting>
  <conditionalFormatting sqref="AE143">
    <cfRule type="timePeriod" dxfId="224" priority="254" timePeriod="last7Days">
      <formula>AND(TODAY()-FLOOR(AE143,1)&lt;=6,FLOOR(AE143,1)&lt;=TODAY())</formula>
    </cfRule>
  </conditionalFormatting>
  <conditionalFormatting sqref="AE143">
    <cfRule type="timePeriod" dxfId="223" priority="253" timePeriod="last7Days">
      <formula>AND(TODAY()-FLOOR(AE143,1)&lt;=6,FLOOR(AE143,1)&lt;=TODAY())</formula>
    </cfRule>
  </conditionalFormatting>
  <conditionalFormatting sqref="AE144">
    <cfRule type="timePeriod" dxfId="222" priority="252" timePeriod="last7Days">
      <formula>AND(TODAY()-FLOOR(AE144,1)&lt;=6,FLOOR(AE144,1)&lt;=TODAY())</formula>
    </cfRule>
  </conditionalFormatting>
  <conditionalFormatting sqref="AE145">
    <cfRule type="timePeriod" dxfId="221" priority="250" timePeriod="last7Days">
      <formula>AND(TODAY()-FLOOR(AE145,1)&lt;=6,FLOOR(AE145,1)&lt;=TODAY())</formula>
    </cfRule>
  </conditionalFormatting>
  <conditionalFormatting sqref="AE146">
    <cfRule type="timePeriod" dxfId="220" priority="249" timePeriod="last7Days">
      <formula>AND(TODAY()-FLOOR(AE146,1)&lt;=6,FLOOR(AE146,1)&lt;=TODAY())</formula>
    </cfRule>
  </conditionalFormatting>
  <conditionalFormatting sqref="AE147">
    <cfRule type="timePeriod" dxfId="219" priority="248" timePeriod="last7Days">
      <formula>AND(TODAY()-FLOOR(AE147,1)&lt;=6,FLOOR(AE147,1)&lt;=TODAY())</formula>
    </cfRule>
  </conditionalFormatting>
  <conditionalFormatting sqref="AE148">
    <cfRule type="timePeriod" dxfId="218" priority="247" timePeriod="last7Days">
      <formula>AND(TODAY()-FLOOR(AE148,1)&lt;=6,FLOOR(AE148,1)&lt;=TODAY())</formula>
    </cfRule>
  </conditionalFormatting>
  <conditionalFormatting sqref="AE149">
    <cfRule type="timePeriod" dxfId="217" priority="246" timePeriod="last7Days">
      <formula>AND(TODAY()-FLOOR(AE149,1)&lt;=6,FLOOR(AE149,1)&lt;=TODAY())</formula>
    </cfRule>
  </conditionalFormatting>
  <conditionalFormatting sqref="AE150">
    <cfRule type="timePeriod" dxfId="216" priority="245" timePeriod="last7Days">
      <formula>AND(TODAY()-FLOOR(AE150,1)&lt;=6,FLOOR(AE150,1)&lt;=TODAY())</formula>
    </cfRule>
  </conditionalFormatting>
  <conditionalFormatting sqref="AE151">
    <cfRule type="timePeriod" dxfId="215" priority="244" timePeriod="last7Days">
      <formula>AND(TODAY()-FLOOR(AE151,1)&lt;=6,FLOOR(AE151,1)&lt;=TODAY())</formula>
    </cfRule>
  </conditionalFormatting>
  <conditionalFormatting sqref="AE152">
    <cfRule type="timePeriod" dxfId="214" priority="243" timePeriod="last7Days">
      <formula>AND(TODAY()-FLOOR(AE152,1)&lt;=6,FLOOR(AE152,1)&lt;=TODAY())</formula>
    </cfRule>
  </conditionalFormatting>
  <conditionalFormatting sqref="AE153">
    <cfRule type="timePeriod" dxfId="213" priority="242" timePeriod="last7Days">
      <formula>AND(TODAY()-FLOOR(AE153,1)&lt;=6,FLOOR(AE153,1)&lt;=TODAY())</formula>
    </cfRule>
  </conditionalFormatting>
  <conditionalFormatting sqref="AE154">
    <cfRule type="timePeriod" dxfId="212" priority="241" timePeriod="last7Days">
      <formula>AND(TODAY()-FLOOR(AE154,1)&lt;=6,FLOOR(AE154,1)&lt;=TODAY())</formula>
    </cfRule>
  </conditionalFormatting>
  <conditionalFormatting sqref="AE155">
    <cfRule type="timePeriod" dxfId="211" priority="240" timePeriod="last7Days">
      <formula>AND(TODAY()-FLOOR(AE155,1)&lt;=6,FLOOR(AE155,1)&lt;=TODAY())</formula>
    </cfRule>
  </conditionalFormatting>
  <conditionalFormatting sqref="AE156">
    <cfRule type="timePeriod" dxfId="210" priority="239" timePeriod="last7Days">
      <formula>AND(TODAY()-FLOOR(AE156,1)&lt;=6,FLOOR(AE156,1)&lt;=TODAY())</formula>
    </cfRule>
  </conditionalFormatting>
  <conditionalFormatting sqref="AE157">
    <cfRule type="timePeriod" dxfId="209" priority="238" timePeriod="last7Days">
      <formula>AND(TODAY()-FLOOR(AE157,1)&lt;=6,FLOOR(AE157,1)&lt;=TODAY())</formula>
    </cfRule>
  </conditionalFormatting>
  <conditionalFormatting sqref="AE158">
    <cfRule type="timePeriod" dxfId="208" priority="237" timePeriod="last7Days">
      <formula>AND(TODAY()-FLOOR(AE158,1)&lt;=6,FLOOR(AE158,1)&lt;=TODAY())</formula>
    </cfRule>
  </conditionalFormatting>
  <conditionalFormatting sqref="AE159">
    <cfRule type="timePeriod" dxfId="207" priority="236" timePeriod="last7Days">
      <formula>AND(TODAY()-FLOOR(AE159,1)&lt;=6,FLOOR(AE159,1)&lt;=TODAY())</formula>
    </cfRule>
  </conditionalFormatting>
  <conditionalFormatting sqref="AE160">
    <cfRule type="timePeriod" dxfId="206" priority="235" timePeriod="last7Days">
      <formula>AND(TODAY()-FLOOR(AE160,1)&lt;=6,FLOOR(AE160,1)&lt;=TODAY())</formula>
    </cfRule>
  </conditionalFormatting>
  <conditionalFormatting sqref="AE161">
    <cfRule type="timePeriod" dxfId="205" priority="234" timePeriod="last7Days">
      <formula>AND(TODAY()-FLOOR(AE161,1)&lt;=6,FLOOR(AE161,1)&lt;=TODAY())</formula>
    </cfRule>
  </conditionalFormatting>
  <conditionalFormatting sqref="AE162">
    <cfRule type="timePeriod" dxfId="204" priority="233" timePeriod="last7Days">
      <formula>AND(TODAY()-FLOOR(AE162,1)&lt;=6,FLOOR(AE162,1)&lt;=TODAY())</formula>
    </cfRule>
  </conditionalFormatting>
  <conditionalFormatting sqref="AE163">
    <cfRule type="timePeriod" dxfId="203" priority="232" timePeriod="last7Days">
      <formula>AND(TODAY()-FLOOR(AE163,1)&lt;=6,FLOOR(AE163,1)&lt;=TODAY())</formula>
    </cfRule>
  </conditionalFormatting>
  <conditionalFormatting sqref="AE163">
    <cfRule type="timePeriod" dxfId="202" priority="231" timePeriod="last7Days">
      <formula>AND(TODAY()-FLOOR(AE163,1)&lt;=6,FLOOR(AE163,1)&lt;=TODAY())</formula>
    </cfRule>
  </conditionalFormatting>
  <conditionalFormatting sqref="AE163">
    <cfRule type="timePeriod" dxfId="201" priority="230" timePeriod="last7Days">
      <formula>AND(TODAY()-FLOOR(AE163,1)&lt;=6,FLOOR(AE163,1)&lt;=TODAY())</formula>
    </cfRule>
  </conditionalFormatting>
  <conditionalFormatting sqref="AE164">
    <cfRule type="timePeriod" dxfId="200" priority="229" timePeriod="last7Days">
      <formula>AND(TODAY()-FLOOR(AE164,1)&lt;=6,FLOOR(AE164,1)&lt;=TODAY())</formula>
    </cfRule>
  </conditionalFormatting>
  <conditionalFormatting sqref="AE165">
    <cfRule type="timePeriod" dxfId="199" priority="228" timePeriod="last7Days">
      <formula>AND(TODAY()-FLOOR(AE165,1)&lt;=6,FLOOR(AE165,1)&lt;=TODAY())</formula>
    </cfRule>
  </conditionalFormatting>
  <conditionalFormatting sqref="AE165">
    <cfRule type="timePeriod" dxfId="198" priority="227" timePeriod="last7Days">
      <formula>AND(TODAY()-FLOOR(AE165,1)&lt;=6,FLOOR(AE165,1)&lt;=TODAY())</formula>
    </cfRule>
  </conditionalFormatting>
  <conditionalFormatting sqref="AE166">
    <cfRule type="timePeriod" dxfId="197" priority="226" timePeriod="last7Days">
      <formula>AND(TODAY()-FLOOR(AE166,1)&lt;=6,FLOOR(AE166,1)&lt;=TODAY())</formula>
    </cfRule>
  </conditionalFormatting>
  <conditionalFormatting sqref="AE166">
    <cfRule type="timePeriod" dxfId="196" priority="225" timePeriod="last7Days">
      <formula>AND(TODAY()-FLOOR(AE166,1)&lt;=6,FLOOR(AE166,1)&lt;=TODAY())</formula>
    </cfRule>
  </conditionalFormatting>
  <conditionalFormatting sqref="AE166">
    <cfRule type="timePeriod" dxfId="195" priority="224" timePeriod="last7Days">
      <formula>AND(TODAY()-FLOOR(AE166,1)&lt;=6,FLOOR(AE166,1)&lt;=TODAY())</formula>
    </cfRule>
  </conditionalFormatting>
  <conditionalFormatting sqref="AE167">
    <cfRule type="timePeriod" dxfId="194" priority="223" timePeriod="last7Days">
      <formula>AND(TODAY()-FLOOR(AE167,1)&lt;=6,FLOOR(AE167,1)&lt;=TODAY())</formula>
    </cfRule>
  </conditionalFormatting>
  <conditionalFormatting sqref="AE168">
    <cfRule type="timePeriod" dxfId="193" priority="222" timePeriod="last7Days">
      <formula>AND(TODAY()-FLOOR(AE168,1)&lt;=6,FLOOR(AE168,1)&lt;=TODAY())</formula>
    </cfRule>
  </conditionalFormatting>
  <conditionalFormatting sqref="AE169">
    <cfRule type="timePeriod" dxfId="192" priority="221" timePeriod="last7Days">
      <formula>AND(TODAY()-FLOOR(AE169,1)&lt;=6,FLOOR(AE169,1)&lt;=TODAY())</formula>
    </cfRule>
  </conditionalFormatting>
  <conditionalFormatting sqref="AE170">
    <cfRule type="timePeriod" dxfId="191" priority="220" timePeriod="last7Days">
      <formula>AND(TODAY()-FLOOR(AE170,1)&lt;=6,FLOOR(AE170,1)&lt;=TODAY())</formula>
    </cfRule>
  </conditionalFormatting>
  <conditionalFormatting sqref="AE171">
    <cfRule type="timePeriod" dxfId="190" priority="219" timePeriod="last7Days">
      <formula>AND(TODAY()-FLOOR(AE171,1)&lt;=6,FLOOR(AE171,1)&lt;=TODAY())</formula>
    </cfRule>
  </conditionalFormatting>
  <conditionalFormatting sqref="AE172">
    <cfRule type="timePeriod" dxfId="189" priority="218" timePeriod="last7Days">
      <formula>AND(TODAY()-FLOOR(AE172,1)&lt;=6,FLOOR(AE172,1)&lt;=TODAY())</formula>
    </cfRule>
  </conditionalFormatting>
  <conditionalFormatting sqref="AE173">
    <cfRule type="timePeriod" dxfId="188" priority="217" timePeriod="last7Days">
      <formula>AND(TODAY()-FLOOR(AE173,1)&lt;=6,FLOOR(AE173,1)&lt;=TODAY())</formula>
    </cfRule>
  </conditionalFormatting>
  <conditionalFormatting sqref="AE174">
    <cfRule type="timePeriod" dxfId="187" priority="216" timePeriod="last7Days">
      <formula>AND(TODAY()-FLOOR(AE174,1)&lt;=6,FLOOR(AE174,1)&lt;=TODAY())</formula>
    </cfRule>
  </conditionalFormatting>
  <conditionalFormatting sqref="AE175">
    <cfRule type="timePeriod" dxfId="186" priority="215" timePeriod="last7Days">
      <formula>AND(TODAY()-FLOOR(AE175,1)&lt;=6,FLOOR(AE175,1)&lt;=TODAY())</formula>
    </cfRule>
  </conditionalFormatting>
  <conditionalFormatting sqref="AE176">
    <cfRule type="timePeriod" dxfId="185" priority="214" timePeriod="last7Days">
      <formula>AND(TODAY()-FLOOR(AE176,1)&lt;=6,FLOOR(AE176,1)&lt;=TODAY())</formula>
    </cfRule>
  </conditionalFormatting>
  <conditionalFormatting sqref="AE176">
    <cfRule type="timePeriod" dxfId="184" priority="213" timePeriod="last7Days">
      <formula>AND(TODAY()-FLOOR(AE176,1)&lt;=6,FLOOR(AE176,1)&lt;=TODAY())</formula>
    </cfRule>
  </conditionalFormatting>
  <conditionalFormatting sqref="AE177">
    <cfRule type="timePeriod" dxfId="183" priority="212" timePeriod="last7Days">
      <formula>AND(TODAY()-FLOOR(AE177,1)&lt;=6,FLOOR(AE177,1)&lt;=TODAY())</formula>
    </cfRule>
  </conditionalFormatting>
  <conditionalFormatting sqref="AE178">
    <cfRule type="timePeriod" dxfId="182" priority="211" timePeriod="last7Days">
      <formula>AND(TODAY()-FLOOR(AE178,1)&lt;=6,FLOOR(AE178,1)&lt;=TODAY())</formula>
    </cfRule>
  </conditionalFormatting>
  <conditionalFormatting sqref="AE179">
    <cfRule type="timePeriod" dxfId="181" priority="210" timePeriod="last7Days">
      <formula>AND(TODAY()-FLOOR(AE179,1)&lt;=6,FLOOR(AE179,1)&lt;=TODAY())</formula>
    </cfRule>
  </conditionalFormatting>
  <conditionalFormatting sqref="AE180">
    <cfRule type="timePeriod" dxfId="180" priority="209" timePeriod="last7Days">
      <formula>AND(TODAY()-FLOOR(AE180,1)&lt;=6,FLOOR(AE180,1)&lt;=TODAY())</formula>
    </cfRule>
  </conditionalFormatting>
  <conditionalFormatting sqref="AE181">
    <cfRule type="timePeriod" dxfId="179" priority="208" timePeriod="last7Days">
      <formula>AND(TODAY()-FLOOR(AE181,1)&lt;=6,FLOOR(AE181,1)&lt;=TODAY())</formula>
    </cfRule>
  </conditionalFormatting>
  <conditionalFormatting sqref="AE182">
    <cfRule type="timePeriod" dxfId="178" priority="207" timePeriod="last7Days">
      <formula>AND(TODAY()-FLOOR(AE182,1)&lt;=6,FLOOR(AE182,1)&lt;=TODAY())</formula>
    </cfRule>
  </conditionalFormatting>
  <conditionalFormatting sqref="AE183">
    <cfRule type="timePeriod" dxfId="177" priority="206" timePeriod="last7Days">
      <formula>AND(TODAY()-FLOOR(AE183,1)&lt;=6,FLOOR(AE183,1)&lt;=TODAY())</formula>
    </cfRule>
  </conditionalFormatting>
  <conditionalFormatting sqref="AE241">
    <cfRule type="timePeriod" dxfId="176" priority="205" timePeriod="last7Days">
      <formula>AND(TODAY()-FLOOR(AE241,1)&lt;=6,FLOOR(AE241,1)&lt;=TODAY())</formula>
    </cfRule>
  </conditionalFormatting>
  <conditionalFormatting sqref="AE241">
    <cfRule type="timePeriod" dxfId="175" priority="204" timePeriod="last7Days">
      <formula>AND(TODAY()-FLOOR(AE241,1)&lt;=6,FLOOR(AE241,1)&lt;=TODAY())</formula>
    </cfRule>
  </conditionalFormatting>
  <conditionalFormatting sqref="AE247">
    <cfRule type="timePeriod" dxfId="174" priority="203" timePeriod="last7Days">
      <formula>AND(TODAY()-FLOOR(AE247,1)&lt;=6,FLOOR(AE247,1)&lt;=TODAY())</formula>
    </cfRule>
  </conditionalFormatting>
  <conditionalFormatting sqref="AE248">
    <cfRule type="timePeriod" dxfId="173" priority="201" timePeriod="last7Days">
      <formula>AND(TODAY()-FLOOR(AE248,1)&lt;=6,FLOOR(AE248,1)&lt;=TODAY())</formula>
    </cfRule>
  </conditionalFormatting>
  <conditionalFormatting sqref="AE249">
    <cfRule type="timePeriod" dxfId="172" priority="200" timePeriod="last7Days">
      <formula>AND(TODAY()-FLOOR(AE249,1)&lt;=6,FLOOR(AE249,1)&lt;=TODAY())</formula>
    </cfRule>
  </conditionalFormatting>
  <conditionalFormatting sqref="AE250">
    <cfRule type="timePeriod" dxfId="171" priority="199" timePeriod="last7Days">
      <formula>AND(TODAY()-FLOOR(AE250,1)&lt;=6,FLOOR(AE250,1)&lt;=TODAY())</formula>
    </cfRule>
  </conditionalFormatting>
  <conditionalFormatting sqref="AE250">
    <cfRule type="timePeriod" dxfId="170" priority="198" timePeriod="last7Days">
      <formula>AND(TODAY()-FLOOR(AE250,1)&lt;=6,FLOOR(AE250,1)&lt;=TODAY())</formula>
    </cfRule>
  </conditionalFormatting>
  <conditionalFormatting sqref="AE251">
    <cfRule type="timePeriod" dxfId="169" priority="197" timePeriod="last7Days">
      <formula>AND(TODAY()-FLOOR(AE251,1)&lt;=6,FLOOR(AE251,1)&lt;=TODAY())</formula>
    </cfRule>
  </conditionalFormatting>
  <conditionalFormatting sqref="AE252">
    <cfRule type="timePeriod" dxfId="168" priority="196" timePeriod="last7Days">
      <formula>AND(TODAY()-FLOOR(AE252,1)&lt;=6,FLOOR(AE252,1)&lt;=TODAY())</formula>
    </cfRule>
  </conditionalFormatting>
  <conditionalFormatting sqref="AE252">
    <cfRule type="timePeriod" dxfId="167" priority="195" timePeriod="last7Days">
      <formula>AND(TODAY()-FLOOR(AE252,1)&lt;=6,FLOOR(AE252,1)&lt;=TODAY())</formula>
    </cfRule>
  </conditionalFormatting>
  <conditionalFormatting sqref="AE253">
    <cfRule type="timePeriod" dxfId="166" priority="192" timePeriod="last7Days">
      <formula>AND(TODAY()-FLOOR(AE253,1)&lt;=6,FLOOR(AE253,1)&lt;=TODAY())</formula>
    </cfRule>
  </conditionalFormatting>
  <conditionalFormatting sqref="AE253">
    <cfRule type="timePeriod" dxfId="165" priority="190" timePeriod="last7Days">
      <formula>AND(TODAY()-FLOOR(AE253,1)&lt;=6,FLOOR(AE253,1)&lt;=TODAY())</formula>
    </cfRule>
  </conditionalFormatting>
  <conditionalFormatting sqref="AE254">
    <cfRule type="timePeriod" dxfId="164" priority="187" timePeriod="last7Days">
      <formula>AND(TODAY()-FLOOR(AE254,1)&lt;=6,FLOOR(AE254,1)&lt;=TODAY())</formula>
    </cfRule>
  </conditionalFormatting>
  <conditionalFormatting sqref="AE255">
    <cfRule type="timePeriod" dxfId="163" priority="185" timePeriod="last7Days">
      <formula>AND(TODAY()-FLOOR(AE255,1)&lt;=6,FLOOR(AE255,1)&lt;=TODAY())</formula>
    </cfRule>
  </conditionalFormatting>
  <conditionalFormatting sqref="AE256">
    <cfRule type="timePeriod" dxfId="162" priority="184" timePeriod="last7Days">
      <formula>AND(TODAY()-FLOOR(AE256,1)&lt;=6,FLOOR(AE256,1)&lt;=TODAY())</formula>
    </cfRule>
  </conditionalFormatting>
  <conditionalFormatting sqref="AE257">
    <cfRule type="timePeriod" dxfId="161" priority="183" timePeriod="last7Days">
      <formula>AND(TODAY()-FLOOR(AE257,1)&lt;=6,FLOOR(AE257,1)&lt;=TODAY())</formula>
    </cfRule>
  </conditionalFormatting>
  <conditionalFormatting sqref="AE258">
    <cfRule type="timePeriod" dxfId="160" priority="182" timePeriod="last7Days">
      <formula>AND(TODAY()-FLOOR(AE258,1)&lt;=6,FLOOR(AE258,1)&lt;=TODAY())</formula>
    </cfRule>
  </conditionalFormatting>
  <conditionalFormatting sqref="AE258">
    <cfRule type="timePeriod" dxfId="159" priority="181" timePeriod="last7Days">
      <formula>AND(TODAY()-FLOOR(AE258,1)&lt;=6,FLOOR(AE258,1)&lt;=TODAY())</formula>
    </cfRule>
  </conditionalFormatting>
  <conditionalFormatting sqref="AE259">
    <cfRule type="timePeriod" dxfId="158" priority="180" timePeriod="last7Days">
      <formula>AND(TODAY()-FLOOR(AE259,1)&lt;=6,FLOOR(AE259,1)&lt;=TODAY())</formula>
    </cfRule>
  </conditionalFormatting>
  <conditionalFormatting sqref="AE260">
    <cfRule type="timePeriod" dxfId="157" priority="179" timePeriod="last7Days">
      <formula>AND(TODAY()-FLOOR(AE260,1)&lt;=6,FLOOR(AE260,1)&lt;=TODAY())</formula>
    </cfRule>
  </conditionalFormatting>
  <conditionalFormatting sqref="AE262">
    <cfRule type="timePeriod" dxfId="156" priority="178" timePeriod="last7Days">
      <formula>AND(TODAY()-FLOOR(AE262,1)&lt;=6,FLOOR(AE262,1)&lt;=TODAY())</formula>
    </cfRule>
  </conditionalFormatting>
  <conditionalFormatting sqref="AE262">
    <cfRule type="timePeriod" dxfId="155" priority="177" timePeriod="last7Days">
      <formula>AND(TODAY()-FLOOR(AE262,1)&lt;=6,FLOOR(AE262,1)&lt;=TODAY())</formula>
    </cfRule>
  </conditionalFormatting>
  <conditionalFormatting sqref="AE263">
    <cfRule type="timePeriod" dxfId="154" priority="176" timePeriod="last7Days">
      <formula>AND(TODAY()-FLOOR(AE263,1)&lt;=6,FLOOR(AE263,1)&lt;=TODAY())</formula>
    </cfRule>
  </conditionalFormatting>
  <conditionalFormatting sqref="AE264">
    <cfRule type="timePeriod" dxfId="153" priority="174" timePeriod="last7Days">
      <formula>AND(TODAY()-FLOOR(AE264,1)&lt;=6,FLOOR(AE264,1)&lt;=TODAY())</formula>
    </cfRule>
  </conditionalFormatting>
  <conditionalFormatting sqref="AE264">
    <cfRule type="timePeriod" dxfId="152" priority="173" timePeriod="last7Days">
      <formula>AND(TODAY()-FLOOR(AE264,1)&lt;=6,FLOOR(AE264,1)&lt;=TODAY())</formula>
    </cfRule>
  </conditionalFormatting>
  <conditionalFormatting sqref="AE265">
    <cfRule type="timePeriod" dxfId="151" priority="172" timePeriod="last7Days">
      <formula>AND(TODAY()-FLOOR(AE265,1)&lt;=6,FLOOR(AE265,1)&lt;=TODAY())</formula>
    </cfRule>
  </conditionalFormatting>
  <conditionalFormatting sqref="AE266">
    <cfRule type="timePeriod" dxfId="150" priority="171" timePeriod="last7Days">
      <formula>AND(TODAY()-FLOOR(AE266,1)&lt;=6,FLOOR(AE266,1)&lt;=TODAY())</formula>
    </cfRule>
  </conditionalFormatting>
  <conditionalFormatting sqref="AE267">
    <cfRule type="timePeriod" dxfId="149" priority="170" timePeriod="last7Days">
      <formula>AND(TODAY()-FLOOR(AE267,1)&lt;=6,FLOOR(AE267,1)&lt;=TODAY())</formula>
    </cfRule>
  </conditionalFormatting>
  <conditionalFormatting sqref="AE268">
    <cfRule type="timePeriod" dxfId="148" priority="169" timePeriod="last7Days">
      <formula>AND(TODAY()-FLOOR(AE268,1)&lt;=6,FLOOR(AE268,1)&lt;=TODAY())</formula>
    </cfRule>
  </conditionalFormatting>
  <conditionalFormatting sqref="AE269">
    <cfRule type="timePeriod" dxfId="147" priority="168" timePeriod="last7Days">
      <formula>AND(TODAY()-FLOOR(AE269,1)&lt;=6,FLOOR(AE269,1)&lt;=TODAY())</formula>
    </cfRule>
  </conditionalFormatting>
  <conditionalFormatting sqref="AE270">
    <cfRule type="timePeriod" dxfId="146" priority="166" timePeriod="last7Days">
      <formula>AND(TODAY()-FLOOR(AE270,1)&lt;=6,FLOOR(AE270,1)&lt;=TODAY())</formula>
    </cfRule>
  </conditionalFormatting>
  <conditionalFormatting sqref="AE270">
    <cfRule type="timePeriod" dxfId="145" priority="165" timePeriod="last7Days">
      <formula>AND(TODAY()-FLOOR(AE270,1)&lt;=6,FLOOR(AE270,1)&lt;=TODAY())</formula>
    </cfRule>
  </conditionalFormatting>
  <conditionalFormatting sqref="AE271">
    <cfRule type="timePeriod" dxfId="144" priority="164" timePeriod="last7Days">
      <formula>AND(TODAY()-FLOOR(AE271,1)&lt;=6,FLOOR(AE271,1)&lt;=TODAY())</formula>
    </cfRule>
  </conditionalFormatting>
  <conditionalFormatting sqref="AE271">
    <cfRule type="timePeriod" dxfId="143" priority="163" timePeriod="last7Days">
      <formula>AND(TODAY()-FLOOR(AE271,1)&lt;=6,FLOOR(AE271,1)&lt;=TODAY())</formula>
    </cfRule>
  </conditionalFormatting>
  <conditionalFormatting sqref="AE271">
    <cfRule type="timePeriod" dxfId="142" priority="162" timePeriod="last7Days">
      <formula>AND(TODAY()-FLOOR(AE271,1)&lt;=6,FLOOR(AE271,1)&lt;=TODAY())</formula>
    </cfRule>
  </conditionalFormatting>
  <conditionalFormatting sqref="AE271">
    <cfRule type="timePeriod" dxfId="141" priority="161" timePeriod="last7Days">
      <formula>AND(TODAY()-FLOOR(AE271,1)&lt;=6,FLOOR(AE271,1)&lt;=TODAY())</formula>
    </cfRule>
  </conditionalFormatting>
  <conditionalFormatting sqref="AE272">
    <cfRule type="timePeriod" dxfId="140" priority="160" timePeriod="last7Days">
      <formula>AND(TODAY()-FLOOR(AE272,1)&lt;=6,FLOOR(AE272,1)&lt;=TODAY())</formula>
    </cfRule>
  </conditionalFormatting>
  <conditionalFormatting sqref="AE273">
    <cfRule type="timePeriod" dxfId="139" priority="159" timePeriod="last7Days">
      <formula>AND(TODAY()-FLOOR(AE273,1)&lt;=6,FLOOR(AE273,1)&lt;=TODAY())</formula>
    </cfRule>
  </conditionalFormatting>
  <conditionalFormatting sqref="AE274">
    <cfRule type="timePeriod" dxfId="138" priority="158" timePeriod="last7Days">
      <formula>AND(TODAY()-FLOOR(AE274,1)&lt;=6,FLOOR(AE274,1)&lt;=TODAY())</formula>
    </cfRule>
  </conditionalFormatting>
  <conditionalFormatting sqref="AE274">
    <cfRule type="timePeriod" dxfId="137" priority="157" timePeriod="last7Days">
      <formula>AND(TODAY()-FLOOR(AE274,1)&lt;=6,FLOOR(AE274,1)&lt;=TODAY())</formula>
    </cfRule>
  </conditionalFormatting>
  <conditionalFormatting sqref="AE275">
    <cfRule type="timePeriod" dxfId="136" priority="156" timePeriod="last7Days">
      <formula>AND(TODAY()-FLOOR(AE275,1)&lt;=6,FLOOR(AE275,1)&lt;=TODAY())</formula>
    </cfRule>
  </conditionalFormatting>
  <conditionalFormatting sqref="AE275">
    <cfRule type="timePeriod" dxfId="135" priority="155" timePeriod="last7Days">
      <formula>AND(TODAY()-FLOOR(AE275,1)&lt;=6,FLOOR(AE275,1)&lt;=TODAY())</formula>
    </cfRule>
  </conditionalFormatting>
  <conditionalFormatting sqref="AE276">
    <cfRule type="timePeriod" dxfId="134" priority="154" timePeriod="last7Days">
      <formula>AND(TODAY()-FLOOR(AE276,1)&lt;=6,FLOOR(AE276,1)&lt;=TODAY())</formula>
    </cfRule>
  </conditionalFormatting>
  <conditionalFormatting sqref="AE276">
    <cfRule type="timePeriod" dxfId="133" priority="153" timePeriod="last7Days">
      <formula>AND(TODAY()-FLOOR(AE276,1)&lt;=6,FLOOR(AE276,1)&lt;=TODAY())</formula>
    </cfRule>
  </conditionalFormatting>
  <conditionalFormatting sqref="AE277">
    <cfRule type="timePeriod" dxfId="132" priority="151" timePeriod="last7Days">
      <formula>AND(TODAY()-FLOOR(AE277,1)&lt;=6,FLOOR(AE277,1)&lt;=TODAY())</formula>
    </cfRule>
  </conditionalFormatting>
  <conditionalFormatting sqref="AE278">
    <cfRule type="timePeriod" dxfId="131" priority="150" timePeriod="last7Days">
      <formula>AND(TODAY()-FLOOR(AE278,1)&lt;=6,FLOOR(AE278,1)&lt;=TODAY())</formula>
    </cfRule>
  </conditionalFormatting>
  <conditionalFormatting sqref="AE279:AE280">
    <cfRule type="timePeriod" dxfId="130" priority="149" timePeriod="last7Days">
      <formula>AND(TODAY()-FLOOR(AE279,1)&lt;=6,FLOOR(AE279,1)&lt;=TODAY())</formula>
    </cfRule>
  </conditionalFormatting>
  <conditionalFormatting sqref="AE279:AE280">
    <cfRule type="timePeriod" dxfId="129" priority="148" timePeriod="last7Days">
      <formula>AND(TODAY()-FLOOR(AE279,1)&lt;=6,FLOOR(AE279,1)&lt;=TODAY())</formula>
    </cfRule>
  </conditionalFormatting>
  <conditionalFormatting sqref="AE280">
    <cfRule type="timePeriod" dxfId="128" priority="147" timePeriod="last7Days">
      <formula>AND(TODAY()-FLOOR(AE280,1)&lt;=6,FLOOR(AE280,1)&lt;=TODAY())</formula>
    </cfRule>
  </conditionalFormatting>
  <conditionalFormatting sqref="AE281">
    <cfRule type="timePeriod" dxfId="127" priority="146" timePeriod="last7Days">
      <formula>AND(TODAY()-FLOOR(AE281,1)&lt;=6,FLOOR(AE281,1)&lt;=TODAY())</formula>
    </cfRule>
  </conditionalFormatting>
  <conditionalFormatting sqref="AE282">
    <cfRule type="timePeriod" dxfId="126" priority="145" timePeriod="last7Days">
      <formula>AND(TODAY()-FLOOR(AE282,1)&lt;=6,FLOOR(AE282,1)&lt;=TODAY())</formula>
    </cfRule>
  </conditionalFormatting>
  <conditionalFormatting sqref="AE283">
    <cfRule type="timePeriod" dxfId="125" priority="142" timePeriod="last7Days">
      <formula>AND(TODAY()-FLOOR(AE283,1)&lt;=6,FLOOR(AE283,1)&lt;=TODAY())</formula>
    </cfRule>
  </conditionalFormatting>
  <conditionalFormatting sqref="AE283">
    <cfRule type="timePeriod" dxfId="124" priority="141" timePeriod="last7Days">
      <formula>AND(TODAY()-FLOOR(AE283,1)&lt;=6,FLOOR(AE283,1)&lt;=TODAY())</formula>
    </cfRule>
  </conditionalFormatting>
  <conditionalFormatting sqref="AE284">
    <cfRule type="timePeriod" dxfId="123" priority="140" timePeriod="last7Days">
      <formula>AND(TODAY()-FLOOR(AE284,1)&lt;=6,FLOOR(AE284,1)&lt;=TODAY())</formula>
    </cfRule>
  </conditionalFormatting>
  <conditionalFormatting sqref="AE285">
    <cfRule type="timePeriod" dxfId="122" priority="139" timePeriod="last7Days">
      <formula>AND(TODAY()-FLOOR(AE285,1)&lt;=6,FLOOR(AE285,1)&lt;=TODAY())</formula>
    </cfRule>
  </conditionalFormatting>
  <conditionalFormatting sqref="AE286">
    <cfRule type="timePeriod" dxfId="121" priority="138" timePeriod="last7Days">
      <formula>AND(TODAY()-FLOOR(AE286,1)&lt;=6,FLOOR(AE286,1)&lt;=TODAY())</formula>
    </cfRule>
  </conditionalFormatting>
  <conditionalFormatting sqref="AE287">
    <cfRule type="timePeriod" dxfId="120" priority="136" timePeriod="last7Days">
      <formula>AND(TODAY()-FLOOR(AE287,1)&lt;=6,FLOOR(AE287,1)&lt;=TODAY())</formula>
    </cfRule>
  </conditionalFormatting>
  <conditionalFormatting sqref="AE288">
    <cfRule type="timePeriod" dxfId="119" priority="134" timePeriod="last7Days">
      <formula>AND(TODAY()-FLOOR(AE288,1)&lt;=6,FLOOR(AE288,1)&lt;=TODAY())</formula>
    </cfRule>
  </conditionalFormatting>
  <conditionalFormatting sqref="AE289">
    <cfRule type="timePeriod" dxfId="118" priority="133" timePeriod="last7Days">
      <formula>AND(TODAY()-FLOOR(AE289,1)&lt;=6,FLOOR(AE289,1)&lt;=TODAY())</formula>
    </cfRule>
  </conditionalFormatting>
  <conditionalFormatting sqref="AE289">
    <cfRule type="timePeriod" dxfId="117" priority="132" timePeriod="last7Days">
      <formula>AND(TODAY()-FLOOR(AE289,1)&lt;=6,FLOOR(AE289,1)&lt;=TODAY())</formula>
    </cfRule>
  </conditionalFormatting>
  <conditionalFormatting sqref="AE290">
    <cfRule type="timePeriod" dxfId="116" priority="131" timePeriod="last7Days">
      <formula>AND(TODAY()-FLOOR(AE290,1)&lt;=6,FLOOR(AE290,1)&lt;=TODAY())</formula>
    </cfRule>
  </conditionalFormatting>
  <conditionalFormatting sqref="AE291">
    <cfRule type="timePeriod" dxfId="115" priority="130" timePeriod="last7Days">
      <formula>AND(TODAY()-FLOOR(AE291,1)&lt;=6,FLOOR(AE291,1)&lt;=TODAY())</formula>
    </cfRule>
  </conditionalFormatting>
  <conditionalFormatting sqref="AE291">
    <cfRule type="timePeriod" dxfId="114" priority="129" timePeriod="last7Days">
      <formula>AND(TODAY()-FLOOR(AE291,1)&lt;=6,FLOOR(AE291,1)&lt;=TODAY())</formula>
    </cfRule>
  </conditionalFormatting>
  <conditionalFormatting sqref="AE292">
    <cfRule type="timePeriod" dxfId="113" priority="128" timePeriod="last7Days">
      <formula>AND(TODAY()-FLOOR(AE292,1)&lt;=6,FLOOR(AE292,1)&lt;=TODAY())</formula>
    </cfRule>
  </conditionalFormatting>
  <conditionalFormatting sqref="AE292">
    <cfRule type="timePeriod" dxfId="112" priority="127" timePeriod="last7Days">
      <formula>AND(TODAY()-FLOOR(AE292,1)&lt;=6,FLOOR(AE292,1)&lt;=TODAY())</formula>
    </cfRule>
  </conditionalFormatting>
  <conditionalFormatting sqref="AE293">
    <cfRule type="timePeriod" dxfId="111" priority="124" timePeriod="last7Days">
      <formula>AND(TODAY()-FLOOR(AE293,1)&lt;=6,FLOOR(AE293,1)&lt;=TODAY())</formula>
    </cfRule>
  </conditionalFormatting>
  <conditionalFormatting sqref="AE293">
    <cfRule type="timePeriod" dxfId="110" priority="123" timePeriod="last7Days">
      <formula>AND(TODAY()-FLOOR(AE293,1)&lt;=6,FLOOR(AE293,1)&lt;=TODAY())</formula>
    </cfRule>
  </conditionalFormatting>
  <conditionalFormatting sqref="AE295:AE300">
    <cfRule type="timePeriod" dxfId="109" priority="116" timePeriod="last7Days">
      <formula>AND(TODAY()-FLOOR(AE295,1)&lt;=6,FLOOR(AE295,1)&lt;=TODAY())</formula>
    </cfRule>
  </conditionalFormatting>
  <conditionalFormatting sqref="AE295:AE300">
    <cfRule type="timePeriod" dxfId="108" priority="117" timePeriod="last7Days">
      <formula>AND(TODAY()-FLOOR(AE295,1)&lt;=6,FLOOR(AE295,1)&lt;=TODAY())</formula>
    </cfRule>
  </conditionalFormatting>
  <conditionalFormatting sqref="AE301">
    <cfRule type="timePeriod" dxfId="107" priority="115" timePeriod="last7Days">
      <formula>AND(TODAY()-FLOOR(AE301,1)&lt;=6,FLOOR(AE301,1)&lt;=TODAY())</formula>
    </cfRule>
  </conditionalFormatting>
  <conditionalFormatting sqref="AE301">
    <cfRule type="timePeriod" dxfId="106" priority="114" timePeriod="last7Days">
      <formula>AND(TODAY()-FLOOR(AE301,1)&lt;=6,FLOOR(AE301,1)&lt;=TODAY())</formula>
    </cfRule>
  </conditionalFormatting>
  <conditionalFormatting sqref="AE301">
    <cfRule type="timePeriod" dxfId="105" priority="110" timePeriod="last7Days">
      <formula>AND(TODAY()-FLOOR(AE301,1)&lt;=6,FLOOR(AE301,1)&lt;=TODAY())</formula>
    </cfRule>
  </conditionalFormatting>
  <conditionalFormatting sqref="AE301">
    <cfRule type="timePeriod" dxfId="104" priority="103" timePeriod="last7Days">
      <formula>AND(TODAY()-FLOOR(AE301,1)&lt;=6,FLOOR(AE301,1)&lt;=TODAY())</formula>
    </cfRule>
  </conditionalFormatting>
  <conditionalFormatting sqref="AE302">
    <cfRule type="timePeriod" dxfId="103" priority="96" timePeriod="last7Days">
      <formula>AND(TODAY()-FLOOR(AE302,1)&lt;=6,FLOOR(AE302,1)&lt;=TODAY())</formula>
    </cfRule>
  </conditionalFormatting>
  <conditionalFormatting sqref="AE302">
    <cfRule type="timePeriod" dxfId="102" priority="95" timePeriod="last7Days">
      <formula>AND(TODAY()-FLOOR(AE302,1)&lt;=6,FLOOR(AE302,1)&lt;=TODAY())</formula>
    </cfRule>
  </conditionalFormatting>
  <conditionalFormatting sqref="AE302">
    <cfRule type="timePeriod" dxfId="101" priority="91" timePeriod="last7Days">
      <formula>AND(TODAY()-FLOOR(AE302,1)&lt;=6,FLOOR(AE302,1)&lt;=TODAY())</formula>
    </cfRule>
  </conditionalFormatting>
  <conditionalFormatting sqref="AE302">
    <cfRule type="timePeriod" dxfId="100" priority="84" timePeriod="last7Days">
      <formula>AND(TODAY()-FLOOR(AE302,1)&lt;=6,FLOOR(AE302,1)&lt;=TODAY())</formula>
    </cfRule>
  </conditionalFormatting>
  <conditionalFormatting sqref="AE303">
    <cfRule type="timePeriod" dxfId="99" priority="77" timePeriod="last7Days">
      <formula>AND(TODAY()-FLOOR(AE303,1)&lt;=6,FLOOR(AE303,1)&lt;=TODAY())</formula>
    </cfRule>
  </conditionalFormatting>
  <conditionalFormatting sqref="AE303">
    <cfRule type="timePeriod" dxfId="98" priority="76" timePeriod="last7Days">
      <formula>AND(TODAY()-FLOOR(AE303,1)&lt;=6,FLOOR(AE303,1)&lt;=TODAY())</formula>
    </cfRule>
  </conditionalFormatting>
  <conditionalFormatting sqref="AE303">
    <cfRule type="timePeriod" dxfId="97" priority="72" timePeriod="last7Days">
      <formula>AND(TODAY()-FLOOR(AE303,1)&lt;=6,FLOOR(AE303,1)&lt;=TODAY())</formula>
    </cfRule>
  </conditionalFormatting>
  <conditionalFormatting sqref="AE303">
    <cfRule type="timePeriod" dxfId="96" priority="65" timePeriod="last7Days">
      <formula>AND(TODAY()-FLOOR(AE303,1)&lt;=6,FLOOR(AE303,1)&lt;=TODAY())</formula>
    </cfRule>
  </conditionalFormatting>
  <conditionalFormatting sqref="AE304">
    <cfRule type="timePeriod" dxfId="95" priority="59" timePeriod="last7Days">
      <formula>AND(TODAY()-FLOOR(AE304,1)&lt;=6,FLOOR(AE304,1)&lt;=TODAY())</formula>
    </cfRule>
  </conditionalFormatting>
  <conditionalFormatting sqref="AE304">
    <cfRule type="timePeriod" dxfId="94" priority="58" timePeriod="last7Days">
      <formula>AND(TODAY()-FLOOR(AE304,1)&lt;=6,FLOOR(AE304,1)&lt;=TODAY())</formula>
    </cfRule>
  </conditionalFormatting>
  <conditionalFormatting sqref="AE304">
    <cfRule type="timePeriod" dxfId="93" priority="54" timePeriod="last7Days">
      <formula>AND(TODAY()-FLOOR(AE304,1)&lt;=6,FLOOR(AE304,1)&lt;=TODAY())</formula>
    </cfRule>
  </conditionalFormatting>
  <conditionalFormatting sqref="AE304">
    <cfRule type="timePeriod" dxfId="92" priority="47" timePeriod="last7Days">
      <formula>AND(TODAY()-FLOOR(AE304,1)&lt;=6,FLOOR(AE304,1)&lt;=TODAY())</formula>
    </cfRule>
  </conditionalFormatting>
  <conditionalFormatting sqref="AE305">
    <cfRule type="timePeriod" dxfId="91" priority="39" timePeriod="last7Days">
      <formula>AND(TODAY()-FLOOR(AE305,1)&lt;=6,FLOOR(AE305,1)&lt;=TODAY())</formula>
    </cfRule>
  </conditionalFormatting>
  <conditionalFormatting sqref="AE305">
    <cfRule type="timePeriod" dxfId="90" priority="38" timePeriod="last7Days">
      <formula>AND(TODAY()-FLOOR(AE305,1)&lt;=6,FLOOR(AE305,1)&lt;=TODAY())</formula>
    </cfRule>
  </conditionalFormatting>
  <conditionalFormatting sqref="AE305">
    <cfRule type="timePeriod" dxfId="89" priority="34" timePeriod="last7Days">
      <formula>AND(TODAY()-FLOOR(AE305,1)&lt;=6,FLOOR(AE305,1)&lt;=TODAY())</formula>
    </cfRule>
  </conditionalFormatting>
  <conditionalFormatting sqref="AE305">
    <cfRule type="timePeriod" dxfId="88" priority="27" timePeriod="last7Days">
      <formula>AND(TODAY()-FLOOR(AE305,1)&lt;=6,FLOOR(AE305,1)&lt;=TODAY())</formula>
    </cfRule>
  </conditionalFormatting>
  <conditionalFormatting sqref="AE306">
    <cfRule type="timePeriod" dxfId="87" priority="21" timePeriod="last7Days">
      <formula>AND(TODAY()-FLOOR(AE306,1)&lt;=6,FLOOR(AE306,1)&lt;=TODAY())</formula>
    </cfRule>
  </conditionalFormatting>
  <conditionalFormatting sqref="AE306">
    <cfRule type="timePeriod" dxfId="86" priority="20" timePeriod="last7Days">
      <formula>AND(TODAY()-FLOOR(AE306,1)&lt;=6,FLOOR(AE306,1)&lt;=TODAY())</formula>
    </cfRule>
  </conditionalFormatting>
  <conditionalFormatting sqref="AE306">
    <cfRule type="timePeriod" dxfId="85" priority="16" timePeriod="last7Days">
      <formula>AND(TODAY()-FLOOR(AE306,1)&lt;=6,FLOOR(AE306,1)&lt;=TODAY())</formula>
    </cfRule>
  </conditionalFormatting>
  <conditionalFormatting sqref="AE306">
    <cfRule type="timePeriod" dxfId="84" priority="9" timePeriod="last7Days">
      <formula>AND(TODAY()-FLOOR(AE306,1)&lt;=6,FLOOR(AE306,1)&lt;=TODAY())</formula>
    </cfRule>
  </conditionalFormatting>
  <conditionalFormatting sqref="AE308">
    <cfRule type="timePeriod" dxfId="83" priority="3" timePeriod="last7Days">
      <formula>AND(TODAY()-FLOOR(AE308,1)&lt;=6,FLOOR(AE308,1)&lt;=TODAY())</formula>
    </cfRule>
  </conditionalFormatting>
  <conditionalFormatting sqref="Y309">
    <cfRule type="cellIs" dxfId="82" priority="1" operator="lessThan">
      <formula>TODAY()-7</formula>
    </cfRule>
  </conditionalFormatting>
  <dataValidations count="12">
    <dataValidation type="list" allowBlank="1" showInputMessage="1" showErrorMessage="1" sqref="AC10 AC15:AC16 AC24:AC39 AC41 AC44:AC48 AC50:AC56 AC59:AC73 AC75 AC77 AD78 AC80:AC82 AC111 AC113:AC129 AC131:AC133 AC135 AC139 AC144 AC241 AC250 AC252 AC254 AC256 AC259 AC265 AC268:AC270 AC274 AC279:AC280 AC282 AC284:AC285 AC308" xr:uid="{00000000-0002-0000-0500-000000000000}">
      <formula1>Tiering</formula1>
    </dataValidation>
    <dataValidation type="list" allowBlank="1" showInputMessage="1" showErrorMessage="1" sqref="AC58 AC74 AC76 AC79 AC83 AC86:AC87 AE88 AC89 V101 V104 AC248 AB253:AC253 AC255 AC260 AC262 AC264 AC266 AC271:AC273 AC275:AC278 AC283 AC286 AC289:AC290 AC301" xr:uid="{C4C6D8EE-CF76-427D-9673-ED10803C25F2}"/>
    <dataValidation allowBlank="1" showInputMessage="1" showErrorMessage="1" sqref="D79:G88 E1 D89 D130:D133 D135:D136 D139 D144:D145 D180 D241 D247:D248 AA248 D250 AA252:AA253 D252:D257 AA255:AA257 D259:D260 D262:D266 AA262:AA263 AA265 D268:D280 AA270:AA273 AA276 D282:D286 D289:D293 D301 D308" xr:uid="{00000000-0002-0000-0200-000005000000}"/>
    <dataValidation type="list" allowBlank="1" showInputMessage="1" showErrorMessage="1" sqref="AA86" xr:uid="{D23ACF8E-20C0-476D-8FE2-D4FD601D5923}">
      <formula1>Officer</formula1>
    </dataValidation>
    <dataValidation type="list" allowBlank="1" showInputMessage="1" showErrorMessage="1" sqref="F1 F89:F90 F130:F133 F135:F136 F139 F144:F145 F215 F179:F203 F205 F207:F213 F222:F233 F235 H88 F241:F280 F282:F286 F288:F308" xr:uid="{DD4C1673-18B4-44D4-A761-DD2F5B742502}">
      <formula1>"CYPS,HAS,Resources,CD,Environment,HR_BS,LE,LDS"</formula1>
    </dataValidation>
    <dataValidation type="list" allowBlank="1" showInputMessage="1" showErrorMessage="1" sqref="G1" xr:uid="{B212B518-C6FA-40FD-B77B-2DCD992005D9}">
      <formula1>INDIRECT(#REF!)</formula1>
    </dataValidation>
    <dataValidation type="list" allowBlank="1" showInputMessage="1" showErrorMessage="1" sqref="G89:G90 G130:G133 G135:G136 G139 G144:G145 G151 G157:G159 G213 G179:G180 G182:G186 G189:G190 G192 G195:G196 G198 G201:G203 G205 G207:G209 G211 G222:G233 G235 G241:G280 G282:G286 G288:G308" xr:uid="{E3DBE75C-BC7D-46CC-8942-20BA7F1B8E48}">
      <formula1>INDIRECT($F89)</formula1>
    </dataValidation>
    <dataValidation type="list" allowBlank="1" showInputMessage="1" showErrorMessage="1" sqref="E89:E90 E130:E133 E135:E136 E139 E144:E145 E180 E222 E241 E247:E266 E268:E280 E282:E286 E288:E308" xr:uid="{365D1DA2-606F-4BD4-9609-33255B08C3BA}">
      <formula1>Original</formula1>
    </dataValidation>
    <dataValidation type="list" allowBlank="1" showInputMessage="1" showErrorMessage="1" sqref="Z101 Z104" xr:uid="{C46D6C89-EC0F-444E-9168-8346768449A3}">
      <formula1>"Continue, Delay, Extend, Emergency, Completed, After 2020"</formula1>
    </dataValidation>
    <dataValidation type="list" allowBlank="1" showInputMessage="1" showErrorMessage="1" sqref="AG10 AG15:AG16 AG24:AG39 AG41 AG44:AG48 AG50:AG77 AG252:AG256 AG79:AG87 AG89 AG111:AG133 AG135:AG136 AG139 AG144:AG145 AG180 AG241 AG247:AG248 AG250 T78 AG259:AG260 AG262:AG266 AG268:AG280 AG282:AG286 AG289:AG293 AG301 AG308 AA277:AA308 AA10 AA247 AA50:AA77 AA15:AA16 AA24:AA39 AA41 AA44:AA48 AA79:AA85 AA87 AC88 AA89 AA135:AA136 AA144:AA145 AA172 AA180:AA181 AB26:AB57 AB279:AB280 AB277 AB274 AB268:AB270 AB265 AB262 AB259 AB256 AB254 AB252 AB250 AB241 AB180 AB170 AB165 AB155:AB159 AB153 AB150 AB148 AB144:AB146 AA139:AB139 AB135 AA111:AB133 AB86 AB84 AB80:AB82 AC78 AB75:AB78 AB59:AB73 AB282 AB284:AB285 AB308 V10 V252:V256 V250 V247:V248 V241 V180 V144:V145 V139 V135:V136 V111:V133 V89 X88:Y88 V79:V87 W78 V24:V77 V15:V16 V259:V260 V262:V266 V268:V280 V282:V286 V289:V293 V301 V308 B288:B308 D78:H78 H146:H240 H7 H242:H308 I57:J57 J78 I58:I87 J88:K88 I89:I90 I111:I133 I135:I136 I139 I144:I145 I180 H241:I241 I247:I248 I250 I252:I257 I259:I260 I262:I266 I268:I280 I282:I286 I289:I293 I297 I295 I301 I306 I308 B57:B89 B111:B133 B135:B136 B139 B144:B145 B180 B241 B247:B266 B268:B280 B282:B286 U1:U308 U310:U1048576" xr:uid="{00000000-0002-0000-0500-000001000000}">
      <formula1>#REF!</formula1>
    </dataValidation>
    <dataValidation type="list" allowBlank="1" showInputMessage="1" showErrorMessage="1" sqref="R309" xr:uid="{709B8CB2-BFA5-4AAF-A3BB-D5773AFBCF51}">
      <formula1>"Yes, No, TBC, Decision Record"</formula1>
    </dataValidation>
    <dataValidation type="list" allowBlank="1" showInputMessage="1" showErrorMessage="1" sqref="E309" xr:uid="{27A49E98-01D1-4D11-A97A-716F0F6D5B64}">
      <formula1>INDIRECT($D309)</formula1>
    </dataValidation>
  </dataValidations>
  <pageMargins left="0.7" right="0.7" top="0.75" bottom="0.75" header="0.3" footer="0.3"/>
  <pageSetup paperSize="9" orientation="portrait" r:id="rId16"/>
  <headerFooter>
    <oddFooter>&amp;C&amp;"Arial"&amp;12&amp;K000000_x000D_&amp;1#&amp;"Calibri"&amp;10&amp;KFF0000 OFFICIAL - SENSITIVE</oddFooter>
  </headerFooter>
  <legacyDrawing r:id="rId17"/>
  <extLst>
    <ext xmlns:x14="http://schemas.microsoft.com/office/spreadsheetml/2009/9/main" uri="{CCE6A557-97BC-4b89-ADB6-D9C93CAAB3DF}">
      <x14:dataValidations xmlns:xm="http://schemas.microsoft.com/office/excel/2006/main" count="7">
        <x14:dataValidation type="list" allowBlank="1" showInputMessage="1" showErrorMessage="1" xr:uid="{15A5075D-1F68-4ABE-BC79-A232957BA9B3}">
          <x14:formula1>
            <xm:f>list!$M$2:$M$38</xm:f>
          </x14:formula1>
          <xm:sqref>U309</xm:sqref>
        </x14:dataValidation>
        <x14:dataValidation type="list" allowBlank="1" showInputMessage="1" showErrorMessage="1" xr:uid="{C3C17692-16A7-433F-AE63-F0F5D3F216FA}">
          <x14:formula1>
            <xm:f>list!$A$2:$A$6</xm:f>
          </x14:formula1>
          <xm:sqref>B309</xm:sqref>
        </x14:dataValidation>
        <x14:dataValidation type="list" allowBlank="1" showInputMessage="1" showErrorMessage="1" xr:uid="{F9F992FE-651E-4D7F-B274-9142612942E2}">
          <x14:formula1>
            <xm:f>list!$R$9:$R$40</xm:f>
          </x14:formula1>
          <xm:sqref>F309</xm:sqref>
        </x14:dataValidation>
        <x14:dataValidation type="list" allowBlank="1" showInputMessage="1" showErrorMessage="1" xr:uid="{5F026475-A9B9-4A7E-8CB2-830DA30D4DCB}">
          <x14:formula1>
            <xm:f>list!$Y$1:$AH$1</xm:f>
          </x14:formula1>
          <xm:sqref>D309</xm:sqref>
        </x14:dataValidation>
        <x14:dataValidation type="list" allowBlank="1" showInputMessage="1" showErrorMessage="1" xr:uid="{ADF1549E-C2D7-4DDA-BFAD-FE284F92697F}">
          <x14:formula1>
            <xm:f>list!$O$2:$O$5</xm:f>
          </x14:formula1>
          <xm:sqref>V309</xm:sqref>
        </x14:dataValidation>
        <x14:dataValidation type="list" allowBlank="1" showInputMessage="1" showErrorMessage="1" xr:uid="{8121A494-C69D-4F5F-9254-1357E4282871}">
          <x14:formula1>
            <xm:f>list!$T$2:$T$4</xm:f>
          </x14:formula1>
          <xm:sqref>W309</xm:sqref>
        </x14:dataValidation>
        <x14:dataValidation type="list" allowBlank="1" showInputMessage="1" showErrorMessage="1" xr:uid="{246EA199-7B7A-4332-BEDC-B601D847F893}">
          <x14:formula1>
            <xm:f>list!$E$2:$E$22</xm:f>
          </x14:formula1>
          <xm:sqref>Q309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A385-B6C3-4AFA-9FBB-79632EDEE7F5}">
  <sheetPr filterMode="1"/>
  <dimension ref="A1:AJ111"/>
  <sheetViews>
    <sheetView zoomScale="80" zoomScaleNormal="80" workbookViewId="0">
      <selection activeCell="A112" sqref="A112"/>
    </sheetView>
  </sheetViews>
  <sheetFormatPr defaultRowHeight="15" customHeight="1"/>
  <cols>
    <col min="1" max="1" width="8.4609375" customWidth="1"/>
    <col min="2" max="2" width="5.84375" customWidth="1"/>
    <col min="3" max="3" width="12.4609375" customWidth="1"/>
    <col min="4" max="4" width="13" customWidth="1"/>
    <col min="5" max="5" width="6.07421875" customWidth="1"/>
    <col min="6" max="6" width="5.84375" customWidth="1"/>
    <col min="7" max="7" width="19.07421875" customWidth="1"/>
    <col min="8" max="8" width="21.07421875" customWidth="1"/>
    <col min="10" max="10" width="40.53515625" customWidth="1"/>
    <col min="18" max="19" width="11.84375" customWidth="1"/>
    <col min="32" max="32" width="42.84375" customWidth="1"/>
  </cols>
  <sheetData>
    <row r="1" spans="1:36" s="913" customFormat="1" ht="130.5">
      <c r="A1" s="1521" t="s">
        <v>4934</v>
      </c>
      <c r="B1" s="1521" t="s">
        <v>4935</v>
      </c>
      <c r="C1" s="1522" t="s">
        <v>2</v>
      </c>
      <c r="D1" s="1522" t="s">
        <v>3</v>
      </c>
      <c r="E1" s="1523" t="s">
        <v>4</v>
      </c>
      <c r="F1" s="1523" t="s">
        <v>5</v>
      </c>
      <c r="G1" s="1523" t="s">
        <v>6</v>
      </c>
      <c r="H1" s="1524" t="s">
        <v>6333</v>
      </c>
      <c r="I1" s="1524" t="s">
        <v>8</v>
      </c>
      <c r="J1" s="1524" t="s">
        <v>4936</v>
      </c>
      <c r="K1" s="1525" t="s">
        <v>4937</v>
      </c>
      <c r="L1" s="1524" t="s">
        <v>11</v>
      </c>
      <c r="M1" s="1526" t="s">
        <v>12</v>
      </c>
      <c r="N1" s="1526" t="s">
        <v>13</v>
      </c>
      <c r="O1" s="1527" t="s">
        <v>14</v>
      </c>
      <c r="P1" s="1528" t="s">
        <v>15</v>
      </c>
      <c r="Q1" s="1528" t="s">
        <v>16</v>
      </c>
      <c r="R1" s="1529" t="s">
        <v>17</v>
      </c>
      <c r="S1" s="1529"/>
      <c r="T1" s="1344" t="s">
        <v>29</v>
      </c>
      <c r="U1" s="1529" t="s">
        <v>4938</v>
      </c>
      <c r="V1" s="1528" t="s">
        <v>18</v>
      </c>
      <c r="W1" s="1524" t="s">
        <v>19</v>
      </c>
      <c r="X1" s="1524" t="s">
        <v>20</v>
      </c>
      <c r="Y1" s="2298" t="s">
        <v>1490</v>
      </c>
      <c r="Z1" s="1531" t="s">
        <v>22</v>
      </c>
      <c r="AA1" s="1530" t="s">
        <v>23</v>
      </c>
      <c r="AB1" s="1532" t="s">
        <v>24</v>
      </c>
      <c r="AC1" s="1259" t="s">
        <v>4939</v>
      </c>
      <c r="AD1" s="694" t="s">
        <v>26</v>
      </c>
      <c r="AE1" s="694"/>
      <c r="AF1" s="2206" t="s">
        <v>28</v>
      </c>
      <c r="AG1" s="1228" t="s">
        <v>4940</v>
      </c>
      <c r="AH1" s="1228" t="s">
        <v>30</v>
      </c>
      <c r="AI1" s="1533"/>
      <c r="AJ1" s="1533"/>
    </row>
    <row r="2" spans="1:36" s="906" customFormat="1" ht="26" hidden="1">
      <c r="A2" s="1444" t="s">
        <v>1170</v>
      </c>
      <c r="B2" s="1633" t="s">
        <v>56</v>
      </c>
      <c r="C2" s="1633" t="s">
        <v>6334</v>
      </c>
      <c r="D2" s="1633" t="s">
        <v>4973</v>
      </c>
      <c r="E2" s="1633" t="s">
        <v>1341</v>
      </c>
      <c r="F2" s="1633" t="s">
        <v>361</v>
      </c>
      <c r="G2" s="1490" t="s">
        <v>4943</v>
      </c>
      <c r="H2" s="1633" t="s">
        <v>4622</v>
      </c>
      <c r="I2" s="1633" t="s">
        <v>47</v>
      </c>
      <c r="J2" s="1645" t="s">
        <v>6335</v>
      </c>
      <c r="K2" s="1633" t="s">
        <v>6336</v>
      </c>
      <c r="L2" s="1645" t="s">
        <v>1170</v>
      </c>
      <c r="M2" s="1645" t="s">
        <v>1170</v>
      </c>
      <c r="N2" s="1645" t="s">
        <v>1170</v>
      </c>
      <c r="O2" s="2198">
        <v>44993</v>
      </c>
      <c r="P2" s="1633" t="s">
        <v>1170</v>
      </c>
      <c r="Q2" s="1633" t="s">
        <v>1170</v>
      </c>
      <c r="R2" s="1633" t="s">
        <v>1170</v>
      </c>
      <c r="S2" s="1633"/>
      <c r="T2" s="1645" t="s">
        <v>1170</v>
      </c>
      <c r="U2" s="1645"/>
      <c r="V2" s="1633" t="s">
        <v>1170</v>
      </c>
      <c r="W2" s="1633" t="s">
        <v>1170</v>
      </c>
      <c r="X2" s="1633" t="s">
        <v>1170</v>
      </c>
      <c r="Y2" s="1633"/>
      <c r="Z2" s="1632" t="s">
        <v>4974</v>
      </c>
      <c r="AA2" s="1633" t="s">
        <v>1170</v>
      </c>
      <c r="AB2" s="1631" t="s">
        <v>1170</v>
      </c>
      <c r="AC2" s="1633" t="s">
        <v>1170</v>
      </c>
      <c r="AD2" s="1633" t="s">
        <v>1170</v>
      </c>
      <c r="AE2" s="2222" t="s">
        <v>1170</v>
      </c>
      <c r="AF2" s="2218" t="s">
        <v>6337</v>
      </c>
      <c r="AG2" s="1645" t="s">
        <v>1170</v>
      </c>
      <c r="AH2" s="1376" t="str">
        <f t="shared" ref="AH2:AH48" ca="1" si="0">IFERROR(TODAY()-AE2,"N/A")</f>
        <v>N/A</v>
      </c>
    </row>
    <row r="3" spans="1:36" s="906" customFormat="1" ht="52" hidden="1">
      <c r="A3" s="1445" t="s">
        <v>1170</v>
      </c>
      <c r="B3" s="1630" t="s">
        <v>44</v>
      </c>
      <c r="C3" s="1630" t="s">
        <v>1170</v>
      </c>
      <c r="D3" s="1630" t="s">
        <v>33</v>
      </c>
      <c r="E3" s="1630" t="s">
        <v>1341</v>
      </c>
      <c r="F3" s="1630" t="s">
        <v>361</v>
      </c>
      <c r="G3" s="1490" t="s">
        <v>569</v>
      </c>
      <c r="H3" s="1630" t="s">
        <v>33</v>
      </c>
      <c r="I3" s="1630" t="s">
        <v>47</v>
      </c>
      <c r="J3" s="1446" t="s">
        <v>6338</v>
      </c>
      <c r="K3" s="1630" t="s">
        <v>1170</v>
      </c>
      <c r="L3" s="698" t="e">
        <f>IF(OR(V3=#REF!,V3=#REF!,V3=#REF!,V3=#REF!,V3=#REF!,V3=#REF!,V3=#REF!,V3=#REF!),12,IF(OR(V3=#REF!,V3=#REF!,V3=#REF!,V3=#REF!,V3=#REF!,V3=#REF!,V3=#REF!),3,IF(V3=#REF!,1,IF(V3=#REF!,18,IF(OR(V3=#REF!,V3=#REF!,V3=#REF!,V3=#REF!,V3=#REF!),14,"Invalid proposed procurement method")))))</f>
        <v>#REF!</v>
      </c>
      <c r="M3" s="1457" t="str">
        <f>IFERROR(EDATE($N3,-3),"Invalid procurement method or date entered")</f>
        <v>Invalid procurement method or date entered</v>
      </c>
      <c r="N3" s="1158" t="str">
        <f>IFERROR(EDATE(O3,-L3),"Invalid procurement method or date entered")</f>
        <v>Invalid procurement method or date entered</v>
      </c>
      <c r="O3" s="1640">
        <v>45017</v>
      </c>
      <c r="P3" s="1630" t="s">
        <v>4976</v>
      </c>
      <c r="Q3" s="1630" t="s">
        <v>1170</v>
      </c>
      <c r="R3" s="1639">
        <v>110000</v>
      </c>
      <c r="S3" s="1639"/>
      <c r="T3" s="1446" t="s">
        <v>1170</v>
      </c>
      <c r="U3" s="1446"/>
      <c r="V3" s="1630" t="e">
        <v>#REF!</v>
      </c>
      <c r="W3" s="1630" t="s">
        <v>1170</v>
      </c>
      <c r="X3" s="1630" t="s">
        <v>1170</v>
      </c>
      <c r="Y3" s="1630"/>
      <c r="Z3" s="1630" t="s">
        <v>4972</v>
      </c>
      <c r="AA3" s="1630" t="s">
        <v>1170</v>
      </c>
      <c r="AB3" s="1631" t="s">
        <v>727</v>
      </c>
      <c r="AC3" s="1630" t="s">
        <v>1170</v>
      </c>
      <c r="AD3" s="1630" t="s">
        <v>1170</v>
      </c>
      <c r="AE3" s="2222" t="s">
        <v>1170</v>
      </c>
      <c r="AF3" s="2216" t="s">
        <v>6339</v>
      </c>
      <c r="AG3" s="1446" t="s">
        <v>1170</v>
      </c>
      <c r="AH3" s="1376" t="str">
        <f t="shared" ca="1" si="0"/>
        <v>N/A</v>
      </c>
    </row>
    <row r="4" spans="1:36" s="906" customFormat="1" ht="39" hidden="1">
      <c r="A4" s="1445" t="s">
        <v>1170</v>
      </c>
      <c r="B4" s="1630" t="s">
        <v>44</v>
      </c>
      <c r="C4" s="1630" t="s">
        <v>6340</v>
      </c>
      <c r="D4" s="1630" t="s">
        <v>1350</v>
      </c>
      <c r="E4" s="1630" t="s">
        <v>1341</v>
      </c>
      <c r="F4" s="1630" t="s">
        <v>630</v>
      </c>
      <c r="G4" s="1490" t="s">
        <v>1121</v>
      </c>
      <c r="H4" s="1630" t="s">
        <v>4950</v>
      </c>
      <c r="I4" s="1630" t="s">
        <v>47</v>
      </c>
      <c r="J4" s="1446" t="s">
        <v>6341</v>
      </c>
      <c r="K4" s="1630" t="s">
        <v>6342</v>
      </c>
      <c r="L4" s="1446" t="s">
        <v>1170</v>
      </c>
      <c r="M4" s="1446" t="s">
        <v>1170</v>
      </c>
      <c r="N4" s="1446" t="s">
        <v>1170</v>
      </c>
      <c r="O4" s="1640">
        <v>45017</v>
      </c>
      <c r="P4" s="1630" t="s">
        <v>1170</v>
      </c>
      <c r="Q4" s="1630" t="s">
        <v>171</v>
      </c>
      <c r="R4" s="1639">
        <v>1869845</v>
      </c>
      <c r="S4" s="1639"/>
      <c r="T4" s="1446" t="s">
        <v>1170</v>
      </c>
      <c r="U4" s="1446"/>
      <c r="V4" s="1630" t="s">
        <v>1170</v>
      </c>
      <c r="W4" s="1630" t="s">
        <v>1170</v>
      </c>
      <c r="X4" s="1630" t="s">
        <v>1170</v>
      </c>
      <c r="Y4" s="1630"/>
      <c r="Z4" s="1630" t="s">
        <v>1355</v>
      </c>
      <c r="AA4" s="1630" t="s">
        <v>1170</v>
      </c>
      <c r="AB4" s="1630" t="s">
        <v>1170</v>
      </c>
      <c r="AC4" s="1630" t="s">
        <v>1170</v>
      </c>
      <c r="AD4" s="1630" t="s">
        <v>1170</v>
      </c>
      <c r="AE4" s="2222" t="s">
        <v>1170</v>
      </c>
      <c r="AF4" s="2216" t="s">
        <v>1170</v>
      </c>
      <c r="AG4" s="1446" t="s">
        <v>1170</v>
      </c>
      <c r="AH4" s="1376" t="str">
        <f t="shared" ca="1" si="0"/>
        <v>N/A</v>
      </c>
    </row>
    <row r="5" spans="1:36" s="906" customFormat="1" ht="26" hidden="1">
      <c r="A5" s="1445" t="s">
        <v>1170</v>
      </c>
      <c r="B5" s="1630" t="s">
        <v>44</v>
      </c>
      <c r="C5" s="1630" t="s">
        <v>449</v>
      </c>
      <c r="D5" s="1630" t="s">
        <v>502</v>
      </c>
      <c r="E5" s="1630" t="s">
        <v>1341</v>
      </c>
      <c r="F5" s="1630" t="s">
        <v>361</v>
      </c>
      <c r="G5" s="1490" t="s">
        <v>4943</v>
      </c>
      <c r="H5" s="1630" t="s">
        <v>4978</v>
      </c>
      <c r="I5" s="1630" t="s">
        <v>47</v>
      </c>
      <c r="J5" s="1446" t="s">
        <v>6343</v>
      </c>
      <c r="K5" s="1630" t="s">
        <v>1170</v>
      </c>
      <c r="L5" s="1446" t="s">
        <v>1170</v>
      </c>
      <c r="M5" s="1446" t="s">
        <v>1170</v>
      </c>
      <c r="N5" s="1446" t="s">
        <v>1170</v>
      </c>
      <c r="O5" s="1640">
        <v>45017</v>
      </c>
      <c r="P5" s="1630">
        <v>36</v>
      </c>
      <c r="Q5" s="1630" t="s">
        <v>160</v>
      </c>
      <c r="R5" s="1630" t="s">
        <v>1170</v>
      </c>
      <c r="S5" s="1630"/>
      <c r="T5" s="1446" t="s">
        <v>1170</v>
      </c>
      <c r="U5" s="1446"/>
      <c r="V5" s="1630" t="s">
        <v>1170</v>
      </c>
      <c r="W5" s="1630" t="s">
        <v>1170</v>
      </c>
      <c r="X5" s="1630" t="s">
        <v>1170</v>
      </c>
      <c r="Y5" s="1630"/>
      <c r="Z5" s="1630" t="s">
        <v>4984</v>
      </c>
      <c r="AA5" s="1630" t="s">
        <v>1170</v>
      </c>
      <c r="AB5" s="1631" t="s">
        <v>727</v>
      </c>
      <c r="AC5" s="1630" t="s">
        <v>1170</v>
      </c>
      <c r="AD5" s="1630" t="s">
        <v>1170</v>
      </c>
      <c r="AE5" s="2222" t="s">
        <v>1170</v>
      </c>
      <c r="AF5" s="2216" t="s">
        <v>1170</v>
      </c>
      <c r="AG5" s="1446" t="s">
        <v>1170</v>
      </c>
      <c r="AH5" s="1376" t="str">
        <f t="shared" ca="1" si="0"/>
        <v>N/A</v>
      </c>
    </row>
    <row r="6" spans="1:36" s="906" customFormat="1" ht="26" hidden="1">
      <c r="A6" s="1445" t="s">
        <v>1170</v>
      </c>
      <c r="B6" s="1630" t="s">
        <v>44</v>
      </c>
      <c r="C6" s="1630" t="s">
        <v>1170</v>
      </c>
      <c r="D6" s="1630" t="s">
        <v>33</v>
      </c>
      <c r="E6" s="1630" t="s">
        <v>1341</v>
      </c>
      <c r="F6" s="1630" t="s">
        <v>361</v>
      </c>
      <c r="G6" s="1490" t="s">
        <v>569</v>
      </c>
      <c r="H6" s="1630" t="s">
        <v>33</v>
      </c>
      <c r="I6" s="1630" t="s">
        <v>47</v>
      </c>
      <c r="J6" s="1446" t="s">
        <v>6344</v>
      </c>
      <c r="K6" s="1630" t="s">
        <v>1170</v>
      </c>
      <c r="L6" s="1446" t="s">
        <v>1170</v>
      </c>
      <c r="M6" s="1446" t="s">
        <v>1170</v>
      </c>
      <c r="N6" s="1446" t="s">
        <v>1170</v>
      </c>
      <c r="O6" s="1640">
        <v>45043</v>
      </c>
      <c r="P6" s="1630">
        <v>36</v>
      </c>
      <c r="Q6" s="1630">
        <v>36</v>
      </c>
      <c r="R6" s="1639">
        <v>58000</v>
      </c>
      <c r="S6" s="1639"/>
      <c r="T6" s="1446" t="s">
        <v>1170</v>
      </c>
      <c r="U6" s="1446"/>
      <c r="V6" s="1630" t="s">
        <v>1200</v>
      </c>
      <c r="W6" s="1630" t="s">
        <v>1170</v>
      </c>
      <c r="X6" s="1630" t="s">
        <v>1170</v>
      </c>
      <c r="Y6" s="1630"/>
      <c r="Z6" s="1630" t="s">
        <v>6345</v>
      </c>
      <c r="AA6" s="1630" t="s">
        <v>1170</v>
      </c>
      <c r="AB6" s="1631" t="s">
        <v>727</v>
      </c>
      <c r="AC6" s="1630" t="s">
        <v>1170</v>
      </c>
      <c r="AD6" s="1630" t="s">
        <v>1170</v>
      </c>
      <c r="AE6" s="2222" t="s">
        <v>1170</v>
      </c>
      <c r="AF6" s="2216" t="s">
        <v>1170</v>
      </c>
      <c r="AG6" s="1446" t="s">
        <v>1170</v>
      </c>
      <c r="AH6" s="1376" t="str">
        <f t="shared" ca="1" si="0"/>
        <v>N/A</v>
      </c>
    </row>
    <row r="7" spans="1:36" s="906" customFormat="1" ht="26" hidden="1">
      <c r="A7" s="1445" t="s">
        <v>1170</v>
      </c>
      <c r="B7" s="1630" t="s">
        <v>44</v>
      </c>
      <c r="C7" s="1630" t="s">
        <v>6346</v>
      </c>
      <c r="D7" s="1630" t="s">
        <v>1340</v>
      </c>
      <c r="E7" s="1630" t="s">
        <v>1341</v>
      </c>
      <c r="F7" s="1630" t="s">
        <v>1103</v>
      </c>
      <c r="G7" s="1490" t="s">
        <v>1340</v>
      </c>
      <c r="H7" s="1630" t="s">
        <v>4622</v>
      </c>
      <c r="I7" s="1630" t="s">
        <v>47</v>
      </c>
      <c r="J7" s="1446" t="s">
        <v>6347</v>
      </c>
      <c r="K7" s="1630" t="s">
        <v>6348</v>
      </c>
      <c r="L7" s="1446" t="s">
        <v>1170</v>
      </c>
      <c r="M7" s="1446" t="s">
        <v>1170</v>
      </c>
      <c r="N7" s="1446" t="s">
        <v>1170</v>
      </c>
      <c r="O7" s="1640">
        <v>45047</v>
      </c>
      <c r="P7" s="1630" t="s">
        <v>1170</v>
      </c>
      <c r="Q7" s="1630" t="s">
        <v>1170</v>
      </c>
      <c r="R7" s="1630">
        <v>75000</v>
      </c>
      <c r="S7" s="1630"/>
      <c r="T7" s="1446" t="s">
        <v>1170</v>
      </c>
      <c r="U7" s="1446"/>
      <c r="V7" s="1630" t="s">
        <v>6349</v>
      </c>
      <c r="W7" s="1630" t="s">
        <v>1170</v>
      </c>
      <c r="X7" s="1630" t="s">
        <v>1170</v>
      </c>
      <c r="Y7" s="1630"/>
      <c r="Z7" s="1632" t="s">
        <v>5983</v>
      </c>
      <c r="AA7" s="1630" t="s">
        <v>1170</v>
      </c>
      <c r="AB7" s="1630" t="s">
        <v>1170</v>
      </c>
      <c r="AC7" s="1630" t="s">
        <v>1170</v>
      </c>
      <c r="AD7" s="1630" t="s">
        <v>1170</v>
      </c>
      <c r="AE7" s="2222" t="s">
        <v>1170</v>
      </c>
      <c r="AF7" s="2216" t="s">
        <v>1170</v>
      </c>
      <c r="AG7" s="1446" t="s">
        <v>1170</v>
      </c>
      <c r="AH7" s="1376" t="str">
        <f t="shared" ca="1" si="0"/>
        <v>N/A</v>
      </c>
    </row>
    <row r="8" spans="1:36" s="906" customFormat="1" ht="26" hidden="1">
      <c r="A8" s="1445" t="s">
        <v>1170</v>
      </c>
      <c r="B8" s="1630" t="s">
        <v>44</v>
      </c>
      <c r="C8" s="1630" t="s">
        <v>1170</v>
      </c>
      <c r="D8" s="1630" t="s">
        <v>4985</v>
      </c>
      <c r="E8" s="1630" t="s">
        <v>1341</v>
      </c>
      <c r="F8" s="1630" t="s">
        <v>361</v>
      </c>
      <c r="G8" s="1490" t="s">
        <v>4943</v>
      </c>
      <c r="H8" s="1630" t="s">
        <v>4949</v>
      </c>
      <c r="I8" s="1630" t="s">
        <v>47</v>
      </c>
      <c r="J8" s="1446" t="s">
        <v>6350</v>
      </c>
      <c r="K8" s="1630" t="s">
        <v>1886</v>
      </c>
      <c r="L8" s="1446" t="s">
        <v>1170</v>
      </c>
      <c r="M8" s="1446" t="s">
        <v>1170</v>
      </c>
      <c r="N8" s="1446" t="s">
        <v>1170</v>
      </c>
      <c r="O8" s="1640">
        <v>45080</v>
      </c>
      <c r="P8" s="1630">
        <v>48</v>
      </c>
      <c r="Q8" s="1630" t="s">
        <v>258</v>
      </c>
      <c r="R8" s="1639">
        <v>60000</v>
      </c>
      <c r="S8" s="1639"/>
      <c r="T8" s="1446" t="s">
        <v>1170</v>
      </c>
      <c r="U8" s="1446"/>
      <c r="V8" s="1630" t="s">
        <v>4986</v>
      </c>
      <c r="W8" s="1630" t="s">
        <v>1170</v>
      </c>
      <c r="X8" s="1630" t="s">
        <v>1170</v>
      </c>
      <c r="Y8" s="1630"/>
      <c r="Z8" s="1630" t="s">
        <v>4987</v>
      </c>
      <c r="AA8" s="1630" t="s">
        <v>1170</v>
      </c>
      <c r="AB8" s="1631" t="s">
        <v>1170</v>
      </c>
      <c r="AC8" s="1630" t="s">
        <v>1170</v>
      </c>
      <c r="AD8" s="1630" t="s">
        <v>1170</v>
      </c>
      <c r="AE8" s="2222" t="s">
        <v>1170</v>
      </c>
      <c r="AF8" s="2216" t="s">
        <v>1170</v>
      </c>
      <c r="AG8" s="1446" t="s">
        <v>1170</v>
      </c>
      <c r="AH8" s="1376" t="str">
        <f t="shared" ca="1" si="0"/>
        <v>N/A</v>
      </c>
    </row>
    <row r="9" spans="1:36" s="906" customFormat="1" ht="26" hidden="1">
      <c r="A9" s="1445" t="s">
        <v>1170</v>
      </c>
      <c r="B9" s="1630" t="s">
        <v>44</v>
      </c>
      <c r="C9" s="1630" t="s">
        <v>6351</v>
      </c>
      <c r="D9" s="1630" t="s">
        <v>862</v>
      </c>
      <c r="E9" s="1630" t="s">
        <v>1341</v>
      </c>
      <c r="F9" s="1630" t="s">
        <v>361</v>
      </c>
      <c r="G9" s="1490" t="s">
        <v>569</v>
      </c>
      <c r="H9" s="1630" t="s">
        <v>33</v>
      </c>
      <c r="I9" s="1630" t="s">
        <v>47</v>
      </c>
      <c r="J9" s="1446" t="s">
        <v>6352</v>
      </c>
      <c r="K9" s="1630" t="s">
        <v>1170</v>
      </c>
      <c r="L9" s="1446" t="s">
        <v>1170</v>
      </c>
      <c r="M9" s="1446" t="s">
        <v>1170</v>
      </c>
      <c r="N9" s="1446" t="s">
        <v>1170</v>
      </c>
      <c r="O9" s="1640">
        <v>45200</v>
      </c>
      <c r="P9" s="1630" t="s">
        <v>60</v>
      </c>
      <c r="Q9" s="1630" t="s">
        <v>60</v>
      </c>
      <c r="R9" s="1639">
        <v>50000</v>
      </c>
      <c r="S9" s="1639"/>
      <c r="T9" s="1446" t="s">
        <v>1170</v>
      </c>
      <c r="U9" s="1446"/>
      <c r="V9" s="1630" t="s">
        <v>84</v>
      </c>
      <c r="W9" s="1630" t="s">
        <v>1170</v>
      </c>
      <c r="X9" s="1630" t="s">
        <v>1170</v>
      </c>
      <c r="Y9" s="1630"/>
      <c r="Z9" s="1630" t="s">
        <v>4975</v>
      </c>
      <c r="AA9" s="1630" t="s">
        <v>1170</v>
      </c>
      <c r="AB9" s="1630" t="s">
        <v>727</v>
      </c>
      <c r="AC9" s="1630" t="s">
        <v>1170</v>
      </c>
      <c r="AD9" s="1630" t="s">
        <v>1170</v>
      </c>
      <c r="AE9" s="2222" t="s">
        <v>1170</v>
      </c>
      <c r="AF9" s="2216" t="s">
        <v>1170</v>
      </c>
      <c r="AG9" s="1446" t="s">
        <v>1170</v>
      </c>
      <c r="AH9" s="1376" t="str">
        <f t="shared" ca="1" si="0"/>
        <v>N/A</v>
      </c>
    </row>
    <row r="10" spans="1:36" s="906" customFormat="1" ht="39" hidden="1">
      <c r="A10" s="1445" t="s">
        <v>1170</v>
      </c>
      <c r="B10" s="1630" t="s">
        <v>44</v>
      </c>
      <c r="C10" s="1630" t="s">
        <v>6353</v>
      </c>
      <c r="D10" s="1630" t="s">
        <v>33</v>
      </c>
      <c r="E10" s="1630" t="s">
        <v>1341</v>
      </c>
      <c r="F10" s="1630" t="s">
        <v>361</v>
      </c>
      <c r="G10" s="1490" t="s">
        <v>569</v>
      </c>
      <c r="H10" s="1630" t="s">
        <v>33</v>
      </c>
      <c r="I10" s="1630" t="s">
        <v>34</v>
      </c>
      <c r="J10" s="1446" t="s">
        <v>6354</v>
      </c>
      <c r="K10" s="1630" t="s">
        <v>6355</v>
      </c>
      <c r="L10" s="1446" t="s">
        <v>1170</v>
      </c>
      <c r="M10" s="1446" t="s">
        <v>1170</v>
      </c>
      <c r="N10" s="1446" t="s">
        <v>1170</v>
      </c>
      <c r="O10" s="1640">
        <v>45200</v>
      </c>
      <c r="P10" s="1630">
        <v>48</v>
      </c>
      <c r="Q10" s="1630" t="s">
        <v>4967</v>
      </c>
      <c r="R10" s="1639">
        <v>75000</v>
      </c>
      <c r="S10" s="1639"/>
      <c r="T10" s="1446" t="s">
        <v>1170</v>
      </c>
      <c r="U10" s="1446"/>
      <c r="V10" s="1630" t="e">
        <v>#REF!</v>
      </c>
      <c r="W10" s="1630" t="s">
        <v>1170</v>
      </c>
      <c r="X10" s="1630" t="s">
        <v>1170</v>
      </c>
      <c r="Y10" s="1630"/>
      <c r="Z10" s="1630" t="s">
        <v>4972</v>
      </c>
      <c r="AA10" s="1630" t="s">
        <v>1170</v>
      </c>
      <c r="AB10" s="1631" t="s">
        <v>727</v>
      </c>
      <c r="AC10" s="1630" t="s">
        <v>1170</v>
      </c>
      <c r="AD10" s="1630" t="s">
        <v>1170</v>
      </c>
      <c r="AE10" s="2222" t="s">
        <v>1170</v>
      </c>
      <c r="AF10" s="2216" t="s">
        <v>1170</v>
      </c>
      <c r="AG10" s="1446" t="s">
        <v>1170</v>
      </c>
      <c r="AH10" s="1376" t="str">
        <f t="shared" ca="1" si="0"/>
        <v>N/A</v>
      </c>
    </row>
    <row r="11" spans="1:36" s="906" customFormat="1" ht="39" hidden="1">
      <c r="A11" s="1445" t="s">
        <v>1170</v>
      </c>
      <c r="B11" s="1630" t="s">
        <v>44</v>
      </c>
      <c r="C11" s="1630" t="s">
        <v>6356</v>
      </c>
      <c r="D11" s="1630" t="s">
        <v>33</v>
      </c>
      <c r="E11" s="1630" t="s">
        <v>1341</v>
      </c>
      <c r="F11" s="1630" t="s">
        <v>1067</v>
      </c>
      <c r="G11" s="1490" t="s">
        <v>862</v>
      </c>
      <c r="H11" s="1630" t="s">
        <v>4622</v>
      </c>
      <c r="I11" s="1630" t="s">
        <v>47</v>
      </c>
      <c r="J11" s="1446" t="s">
        <v>6357</v>
      </c>
      <c r="K11" s="1630" t="s">
        <v>1170</v>
      </c>
      <c r="L11" s="1446" t="s">
        <v>1170</v>
      </c>
      <c r="M11" s="1446" t="s">
        <v>1170</v>
      </c>
      <c r="N11" s="1446" t="s">
        <v>1170</v>
      </c>
      <c r="O11" s="1640">
        <v>45200</v>
      </c>
      <c r="P11" s="1630">
        <v>60</v>
      </c>
      <c r="Q11" s="1630">
        <v>60</v>
      </c>
      <c r="R11" s="1639">
        <v>95000</v>
      </c>
      <c r="S11" s="1639"/>
      <c r="T11" s="1446" t="s">
        <v>1170</v>
      </c>
      <c r="U11" s="1446"/>
      <c r="V11" s="1630" t="s">
        <v>1346</v>
      </c>
      <c r="W11" s="1630" t="s">
        <v>1170</v>
      </c>
      <c r="X11" s="1630" t="s">
        <v>1170</v>
      </c>
      <c r="Y11" s="1630"/>
      <c r="Z11" s="1630" t="s">
        <v>4972</v>
      </c>
      <c r="AA11" s="1630" t="s">
        <v>1170</v>
      </c>
      <c r="AB11" s="1631" t="s">
        <v>727</v>
      </c>
      <c r="AC11" s="1630" t="s">
        <v>1170</v>
      </c>
      <c r="AD11" s="1630" t="s">
        <v>1170</v>
      </c>
      <c r="AE11" s="2222" t="s">
        <v>1170</v>
      </c>
      <c r="AF11" s="2216" t="s">
        <v>1170</v>
      </c>
      <c r="AG11" s="1446" t="s">
        <v>1170</v>
      </c>
      <c r="AH11" s="1376" t="str">
        <f t="shared" ca="1" si="0"/>
        <v>N/A</v>
      </c>
    </row>
    <row r="12" spans="1:36" s="906" customFormat="1" ht="52" hidden="1">
      <c r="A12" s="1445" t="s">
        <v>1170</v>
      </c>
      <c r="B12" s="1630" t="s">
        <v>56</v>
      </c>
      <c r="C12" s="1630" t="s">
        <v>6358</v>
      </c>
      <c r="D12" s="1630" t="s">
        <v>4973</v>
      </c>
      <c r="E12" s="1630" t="s">
        <v>1341</v>
      </c>
      <c r="F12" s="1630" t="s">
        <v>630</v>
      </c>
      <c r="G12" s="1490" t="s">
        <v>1319</v>
      </c>
      <c r="H12" s="1630" t="s">
        <v>5027</v>
      </c>
      <c r="I12" s="1630" t="s">
        <v>47</v>
      </c>
      <c r="J12" s="1446" t="s">
        <v>6359</v>
      </c>
      <c r="K12" s="1630" t="s">
        <v>6360</v>
      </c>
      <c r="L12" s="1446" t="s">
        <v>1170</v>
      </c>
      <c r="M12" s="1446" t="s">
        <v>1170</v>
      </c>
      <c r="N12" s="1446" t="s">
        <v>1170</v>
      </c>
      <c r="O12" s="1640">
        <v>45229</v>
      </c>
      <c r="P12" s="1630">
        <v>72</v>
      </c>
      <c r="Q12" s="1630" t="s">
        <v>1170</v>
      </c>
      <c r="R12" s="1639">
        <v>72000</v>
      </c>
      <c r="S12" s="1639"/>
      <c r="T12" s="1446" t="s">
        <v>1170</v>
      </c>
      <c r="U12" s="1446"/>
      <c r="V12" s="1630" t="s">
        <v>1346</v>
      </c>
      <c r="W12" s="1630" t="s">
        <v>1170</v>
      </c>
      <c r="X12" s="1630" t="s">
        <v>1170</v>
      </c>
      <c r="Y12" s="1630"/>
      <c r="Z12" s="1630" t="s">
        <v>4974</v>
      </c>
      <c r="AA12" s="1630" t="s">
        <v>1170</v>
      </c>
      <c r="AB12" s="1631" t="s">
        <v>727</v>
      </c>
      <c r="AC12" s="1630" t="s">
        <v>1170</v>
      </c>
      <c r="AD12" s="1630" t="s">
        <v>1170</v>
      </c>
      <c r="AE12" s="2222" t="s">
        <v>1170</v>
      </c>
      <c r="AF12" s="2216" t="s">
        <v>1170</v>
      </c>
      <c r="AG12" s="1446" t="s">
        <v>1170</v>
      </c>
      <c r="AH12" s="1376" t="str">
        <f t="shared" ca="1" si="0"/>
        <v>N/A</v>
      </c>
    </row>
    <row r="13" spans="1:36" s="906" customFormat="1" ht="26" hidden="1">
      <c r="A13" s="1445" t="s">
        <v>1170</v>
      </c>
      <c r="B13" s="1630" t="s">
        <v>44</v>
      </c>
      <c r="C13" s="1630" t="s">
        <v>1170</v>
      </c>
      <c r="D13" s="1630" t="s">
        <v>4780</v>
      </c>
      <c r="E13" s="1630" t="s">
        <v>1341</v>
      </c>
      <c r="F13" s="1630" t="s">
        <v>361</v>
      </c>
      <c r="G13" s="1490" t="s">
        <v>862</v>
      </c>
      <c r="H13" s="1630" t="s">
        <v>4622</v>
      </c>
      <c r="I13" s="1630" t="s">
        <v>47</v>
      </c>
      <c r="J13" s="1446" t="s">
        <v>6361</v>
      </c>
      <c r="K13" s="1630" t="s">
        <v>1170</v>
      </c>
      <c r="L13" s="1446" t="s">
        <v>1170</v>
      </c>
      <c r="M13" s="1446" t="s">
        <v>1170</v>
      </c>
      <c r="N13" s="1446" t="s">
        <v>1170</v>
      </c>
      <c r="O13" s="1640">
        <v>45243</v>
      </c>
      <c r="P13" s="1630" t="s">
        <v>1170</v>
      </c>
      <c r="Q13" s="1630" t="s">
        <v>1170</v>
      </c>
      <c r="R13" s="1630" t="s">
        <v>1170</v>
      </c>
      <c r="S13" s="1630"/>
      <c r="T13" s="1446" t="s">
        <v>1170</v>
      </c>
      <c r="U13" s="1446"/>
      <c r="V13" s="1630" t="s">
        <v>4970</v>
      </c>
      <c r="W13" s="1630" t="s">
        <v>1170</v>
      </c>
      <c r="X13" s="1630" t="s">
        <v>1170</v>
      </c>
      <c r="Y13" s="1630"/>
      <c r="Z13" s="1630" t="s">
        <v>4977</v>
      </c>
      <c r="AA13" s="1630" t="s">
        <v>1170</v>
      </c>
      <c r="AB13" s="1631" t="s">
        <v>1170</v>
      </c>
      <c r="AC13" s="1630" t="s">
        <v>1170</v>
      </c>
      <c r="AD13" s="1630" t="s">
        <v>1170</v>
      </c>
      <c r="AE13" s="2222" t="s">
        <v>1170</v>
      </c>
      <c r="AF13" s="2216" t="s">
        <v>1170</v>
      </c>
      <c r="AG13" s="1446" t="s">
        <v>1170</v>
      </c>
      <c r="AH13" s="1376" t="str">
        <f t="shared" ca="1" si="0"/>
        <v>N/A</v>
      </c>
    </row>
    <row r="14" spans="1:36" s="906" customFormat="1" ht="26" hidden="1">
      <c r="A14" s="1445" t="s">
        <v>1170</v>
      </c>
      <c r="B14" s="1630" t="s">
        <v>56</v>
      </c>
      <c r="C14" s="1630" t="s">
        <v>1170</v>
      </c>
      <c r="D14" s="1630" t="s">
        <v>1390</v>
      </c>
      <c r="E14" s="1630" t="s">
        <v>1341</v>
      </c>
      <c r="F14" s="1630" t="s">
        <v>1270</v>
      </c>
      <c r="G14" s="1490" t="s">
        <v>1366</v>
      </c>
      <c r="H14" s="1630" t="s">
        <v>4946</v>
      </c>
      <c r="I14" s="1630" t="s">
        <v>34</v>
      </c>
      <c r="J14" s="1446" t="s">
        <v>6362</v>
      </c>
      <c r="K14" s="1630" t="s">
        <v>6363</v>
      </c>
      <c r="L14" s="1446" t="s">
        <v>1170</v>
      </c>
      <c r="M14" s="1446" t="s">
        <v>1170</v>
      </c>
      <c r="N14" s="1446" t="s">
        <v>1170</v>
      </c>
      <c r="O14" s="1640">
        <v>45302</v>
      </c>
      <c r="P14" s="1630">
        <v>36</v>
      </c>
      <c r="Q14" s="1630" t="s">
        <v>5004</v>
      </c>
      <c r="R14" s="1639">
        <v>75000</v>
      </c>
      <c r="S14" s="1639"/>
      <c r="T14" s="1446" t="s">
        <v>1170</v>
      </c>
      <c r="U14" s="1446"/>
      <c r="V14" s="1630" t="s">
        <v>6364</v>
      </c>
      <c r="W14" s="1630" t="s">
        <v>1170</v>
      </c>
      <c r="X14" s="1630" t="s">
        <v>1170</v>
      </c>
      <c r="Y14" s="1630"/>
      <c r="Z14" s="1630" t="s">
        <v>1393</v>
      </c>
      <c r="AA14" s="1630" t="s">
        <v>1170</v>
      </c>
      <c r="AB14" s="1631" t="s">
        <v>727</v>
      </c>
      <c r="AC14" s="1630" t="s">
        <v>1170</v>
      </c>
      <c r="AD14" s="1630" t="s">
        <v>1170</v>
      </c>
      <c r="AE14" s="2222" t="s">
        <v>1170</v>
      </c>
      <c r="AF14" s="2216" t="s">
        <v>1170</v>
      </c>
      <c r="AG14" s="1446" t="s">
        <v>1170</v>
      </c>
      <c r="AH14" s="1376" t="str">
        <f t="shared" ca="1" si="0"/>
        <v>N/A</v>
      </c>
    </row>
    <row r="15" spans="1:36" s="906" customFormat="1" ht="39" hidden="1">
      <c r="A15" s="1445" t="s">
        <v>1170</v>
      </c>
      <c r="B15" s="1630" t="s">
        <v>44</v>
      </c>
      <c r="C15" s="1630">
        <v>47118</v>
      </c>
      <c r="D15" s="1630" t="s">
        <v>1351</v>
      </c>
      <c r="E15" s="1630" t="s">
        <v>1341</v>
      </c>
      <c r="F15" s="1630" t="s">
        <v>630</v>
      </c>
      <c r="G15" s="1490" t="s">
        <v>1319</v>
      </c>
      <c r="H15" s="1630" t="s">
        <v>4950</v>
      </c>
      <c r="I15" s="1630" t="s">
        <v>34</v>
      </c>
      <c r="J15" s="1446" t="s">
        <v>6365</v>
      </c>
      <c r="K15" s="1630" t="s">
        <v>6366</v>
      </c>
      <c r="L15" s="1446" t="s">
        <v>1170</v>
      </c>
      <c r="M15" s="1446" t="s">
        <v>1170</v>
      </c>
      <c r="N15" s="1446" t="s">
        <v>1170</v>
      </c>
      <c r="O15" s="1640">
        <v>45323</v>
      </c>
      <c r="P15" s="1630">
        <v>36</v>
      </c>
      <c r="Q15" s="1630" t="s">
        <v>5004</v>
      </c>
      <c r="R15" s="1639">
        <v>111000</v>
      </c>
      <c r="S15" s="1639"/>
      <c r="T15" s="1446" t="s">
        <v>1170</v>
      </c>
      <c r="U15" s="1446"/>
      <c r="V15" s="1630" t="s">
        <v>1346</v>
      </c>
      <c r="W15" s="1630" t="s">
        <v>1170</v>
      </c>
      <c r="X15" s="1630" t="s">
        <v>1170</v>
      </c>
      <c r="Y15" s="1630"/>
      <c r="Z15" s="1630" t="s">
        <v>1387</v>
      </c>
      <c r="AA15" s="1630" t="s">
        <v>1170</v>
      </c>
      <c r="AB15" s="1631" t="s">
        <v>727</v>
      </c>
      <c r="AC15" s="1630" t="s">
        <v>1170</v>
      </c>
      <c r="AD15" s="1630" t="s">
        <v>1170</v>
      </c>
      <c r="AE15" s="2222" t="s">
        <v>1170</v>
      </c>
      <c r="AF15" s="2216" t="s">
        <v>1170</v>
      </c>
      <c r="AG15" s="1446" t="s">
        <v>1170</v>
      </c>
      <c r="AH15" s="1376" t="str">
        <f t="shared" ca="1" si="0"/>
        <v>N/A</v>
      </c>
    </row>
    <row r="16" spans="1:36" s="906" customFormat="1" ht="39" hidden="1">
      <c r="A16" s="1445" t="s">
        <v>1170</v>
      </c>
      <c r="B16" s="1630" t="s">
        <v>44</v>
      </c>
      <c r="C16" s="1630" t="s">
        <v>6367</v>
      </c>
      <c r="D16" s="1630" t="s">
        <v>1365</v>
      </c>
      <c r="E16" s="1630" t="s">
        <v>1341</v>
      </c>
      <c r="F16" s="1630" t="s">
        <v>1270</v>
      </c>
      <c r="G16" s="1490" t="s">
        <v>1366</v>
      </c>
      <c r="H16" s="1630" t="s">
        <v>4995</v>
      </c>
      <c r="I16" s="1630" t="s">
        <v>34</v>
      </c>
      <c r="J16" s="1446" t="s">
        <v>6368</v>
      </c>
      <c r="K16" s="1630" t="s">
        <v>6369</v>
      </c>
      <c r="L16" s="1446" t="s">
        <v>1170</v>
      </c>
      <c r="M16" s="1446" t="s">
        <v>1170</v>
      </c>
      <c r="N16" s="1446" t="s">
        <v>1170</v>
      </c>
      <c r="O16" s="1640">
        <v>45383</v>
      </c>
      <c r="P16" s="1630">
        <v>48</v>
      </c>
      <c r="Q16" s="1630" t="s">
        <v>4967</v>
      </c>
      <c r="R16" s="1639">
        <v>75000</v>
      </c>
      <c r="S16" s="1639"/>
      <c r="T16" s="1446" t="s">
        <v>1170</v>
      </c>
      <c r="U16" s="1446"/>
      <c r="V16" s="1630" t="s">
        <v>1346</v>
      </c>
      <c r="W16" s="1630" t="s">
        <v>1170</v>
      </c>
      <c r="X16" s="1630" t="s">
        <v>1170</v>
      </c>
      <c r="Y16" s="1630"/>
      <c r="Z16" s="1630" t="s">
        <v>5006</v>
      </c>
      <c r="AA16" s="1630" t="s">
        <v>1170</v>
      </c>
      <c r="AB16" s="1630" t="s">
        <v>727</v>
      </c>
      <c r="AC16" s="1630" t="s">
        <v>1170</v>
      </c>
      <c r="AD16" s="1630" t="s">
        <v>1170</v>
      </c>
      <c r="AE16" s="2222" t="s">
        <v>1170</v>
      </c>
      <c r="AF16" s="2216" t="s">
        <v>1170</v>
      </c>
      <c r="AG16" s="1446" t="s">
        <v>1170</v>
      </c>
      <c r="AH16" s="1376" t="str">
        <f t="shared" ca="1" si="0"/>
        <v>N/A</v>
      </c>
    </row>
    <row r="17" spans="1:34" s="906" customFormat="1" ht="39" hidden="1">
      <c r="A17" s="1445" t="s">
        <v>1170</v>
      </c>
      <c r="B17" s="1630" t="s">
        <v>56</v>
      </c>
      <c r="C17" s="1630"/>
      <c r="D17" s="1630" t="s">
        <v>1350</v>
      </c>
      <c r="E17" s="1630" t="s">
        <v>1341</v>
      </c>
      <c r="F17" s="1630" t="s">
        <v>630</v>
      </c>
      <c r="G17" s="1490" t="s">
        <v>1315</v>
      </c>
      <c r="H17" s="1630" t="s">
        <v>33</v>
      </c>
      <c r="I17" s="1630" t="s">
        <v>47</v>
      </c>
      <c r="J17" s="1446" t="s">
        <v>1385</v>
      </c>
      <c r="K17" s="1630" t="s">
        <v>6370</v>
      </c>
      <c r="L17" s="1446"/>
      <c r="M17" s="1446" t="s">
        <v>1170</v>
      </c>
      <c r="N17" s="1446" t="s">
        <v>1170</v>
      </c>
      <c r="O17" s="1640">
        <v>45383</v>
      </c>
      <c r="P17" s="1630" t="s">
        <v>1170</v>
      </c>
      <c r="Q17" s="1630"/>
      <c r="R17" s="1639">
        <v>90000</v>
      </c>
      <c r="S17" s="1639"/>
      <c r="T17" s="1446">
        <v>18000</v>
      </c>
      <c r="U17" s="1446"/>
      <c r="V17" s="1630" t="s">
        <v>1346</v>
      </c>
      <c r="W17" s="1630" t="s">
        <v>1170</v>
      </c>
      <c r="X17" s="1630" t="s">
        <v>1170</v>
      </c>
      <c r="Y17" s="1630"/>
      <c r="Z17" s="1630" t="s">
        <v>1387</v>
      </c>
      <c r="AA17" s="1630" t="s">
        <v>1170</v>
      </c>
      <c r="AB17" s="1631" t="s">
        <v>727</v>
      </c>
      <c r="AC17" s="1630" t="s">
        <v>1170</v>
      </c>
      <c r="AD17" s="1630" t="s">
        <v>1170</v>
      </c>
      <c r="AE17" s="2222" t="s">
        <v>1170</v>
      </c>
      <c r="AF17" s="2216"/>
      <c r="AG17" s="1446" t="s">
        <v>1170</v>
      </c>
      <c r="AH17" s="1376" t="str">
        <f t="shared" ca="1" si="0"/>
        <v>N/A</v>
      </c>
    </row>
    <row r="18" spans="1:34" s="906" customFormat="1" ht="39" hidden="1">
      <c r="A18" s="1445" t="s">
        <v>1170</v>
      </c>
      <c r="B18" s="1630" t="s">
        <v>44</v>
      </c>
      <c r="C18" s="1630" t="s">
        <v>6371</v>
      </c>
      <c r="D18" s="1630" t="s">
        <v>33</v>
      </c>
      <c r="E18" s="1630" t="s">
        <v>1341</v>
      </c>
      <c r="F18" s="1630" t="s">
        <v>361</v>
      </c>
      <c r="G18" s="1490" t="s">
        <v>569</v>
      </c>
      <c r="H18" s="1630" t="s">
        <v>33</v>
      </c>
      <c r="I18" s="1630" t="s">
        <v>246</v>
      </c>
      <c r="J18" s="1446" t="s">
        <v>6372</v>
      </c>
      <c r="K18" s="1630" t="s">
        <v>1170</v>
      </c>
      <c r="L18" s="1446" t="s">
        <v>1170</v>
      </c>
      <c r="M18" s="1446" t="s">
        <v>1170</v>
      </c>
      <c r="N18" s="1446" t="s">
        <v>1170</v>
      </c>
      <c r="O18" s="1640">
        <v>45383</v>
      </c>
      <c r="P18" s="1630">
        <v>84</v>
      </c>
      <c r="Q18" s="1630" t="s">
        <v>112</v>
      </c>
      <c r="R18" s="1639">
        <v>252000</v>
      </c>
      <c r="S18" s="1639"/>
      <c r="T18" s="1446" t="s">
        <v>1170</v>
      </c>
      <c r="U18" s="1446"/>
      <c r="V18" s="1630" t="e">
        <v>#REF!</v>
      </c>
      <c r="W18" s="1630" t="s">
        <v>1170</v>
      </c>
      <c r="X18" s="1630" t="s">
        <v>1170</v>
      </c>
      <c r="Y18" s="1630"/>
      <c r="Z18" s="1630" t="s">
        <v>4972</v>
      </c>
      <c r="AA18" s="1630" t="s">
        <v>1170</v>
      </c>
      <c r="AB18" s="1630" t="s">
        <v>727</v>
      </c>
      <c r="AC18" s="1630" t="s">
        <v>1170</v>
      </c>
      <c r="AD18" s="1630" t="s">
        <v>1170</v>
      </c>
      <c r="AE18" s="2222" t="s">
        <v>1170</v>
      </c>
      <c r="AF18" s="2216" t="s">
        <v>1170</v>
      </c>
      <c r="AG18" s="1446" t="s">
        <v>1170</v>
      </c>
      <c r="AH18" s="1376" t="str">
        <f t="shared" ca="1" si="0"/>
        <v>N/A</v>
      </c>
    </row>
    <row r="19" spans="1:34" s="906" customFormat="1" ht="26" hidden="1">
      <c r="A19" s="1445" t="s">
        <v>1170</v>
      </c>
      <c r="B19" s="1630" t="s">
        <v>56</v>
      </c>
      <c r="C19" s="1630" t="s">
        <v>1170</v>
      </c>
      <c r="D19" s="1630" t="s">
        <v>1390</v>
      </c>
      <c r="E19" s="1630" t="s">
        <v>1341</v>
      </c>
      <c r="F19" s="1630" t="s">
        <v>1270</v>
      </c>
      <c r="G19" s="1490" t="s">
        <v>1366</v>
      </c>
      <c r="H19" s="1630" t="s">
        <v>4956</v>
      </c>
      <c r="I19" s="1630" t="s">
        <v>246</v>
      </c>
      <c r="J19" s="1446" t="s">
        <v>6373</v>
      </c>
      <c r="K19" s="1630" t="s">
        <v>1170</v>
      </c>
      <c r="L19" s="1446" t="s">
        <v>1170</v>
      </c>
      <c r="M19" s="1446" t="s">
        <v>1170</v>
      </c>
      <c r="N19" s="1446" t="s">
        <v>1170</v>
      </c>
      <c r="O19" s="1640">
        <v>45383</v>
      </c>
      <c r="P19" s="1630" t="s">
        <v>1170</v>
      </c>
      <c r="Q19" s="1630" t="s">
        <v>1170</v>
      </c>
      <c r="R19" s="1630" t="s">
        <v>1170</v>
      </c>
      <c r="S19" s="1630"/>
      <c r="T19" s="1446" t="s">
        <v>1170</v>
      </c>
      <c r="U19" s="1446"/>
      <c r="V19" s="1630" t="s">
        <v>4970</v>
      </c>
      <c r="W19" s="1630" t="s">
        <v>1170</v>
      </c>
      <c r="X19" s="1630" t="s">
        <v>1170</v>
      </c>
      <c r="Y19" s="1630"/>
      <c r="Z19" s="1630" t="s">
        <v>1393</v>
      </c>
      <c r="AA19" s="1630" t="s">
        <v>1170</v>
      </c>
      <c r="AB19" s="1630" t="s">
        <v>727</v>
      </c>
      <c r="AC19" s="1630" t="s">
        <v>1170</v>
      </c>
      <c r="AD19" s="1630" t="s">
        <v>1170</v>
      </c>
      <c r="AE19" s="2222" t="s">
        <v>1170</v>
      </c>
      <c r="AF19" s="2216" t="s">
        <v>1170</v>
      </c>
      <c r="AG19" s="1446" t="s">
        <v>1170</v>
      </c>
      <c r="AH19" s="1376" t="str">
        <f t="shared" ca="1" si="0"/>
        <v>N/A</v>
      </c>
    </row>
    <row r="20" spans="1:34" s="906" customFormat="1" ht="39" hidden="1">
      <c r="A20" s="1445" t="s">
        <v>1170</v>
      </c>
      <c r="B20" s="1630" t="s">
        <v>44</v>
      </c>
      <c r="C20" s="1630" t="s">
        <v>1170</v>
      </c>
      <c r="D20" s="1630" t="s">
        <v>33</v>
      </c>
      <c r="E20" s="1630" t="s">
        <v>1341</v>
      </c>
      <c r="F20" s="1630" t="s">
        <v>361</v>
      </c>
      <c r="G20" s="1490" t="s">
        <v>569</v>
      </c>
      <c r="H20" s="1630" t="s">
        <v>33</v>
      </c>
      <c r="I20" s="1630" t="s">
        <v>246</v>
      </c>
      <c r="J20" s="1446" t="s">
        <v>6374</v>
      </c>
      <c r="K20" s="1630" t="s">
        <v>6375</v>
      </c>
      <c r="L20" s="1446" t="s">
        <v>1170</v>
      </c>
      <c r="M20" s="1446" t="s">
        <v>1170</v>
      </c>
      <c r="N20" s="1446" t="s">
        <v>1170</v>
      </c>
      <c r="O20" s="1640">
        <v>45636</v>
      </c>
      <c r="P20" s="1630">
        <v>36</v>
      </c>
      <c r="Q20" s="1630">
        <v>36</v>
      </c>
      <c r="R20" s="1639">
        <v>145138</v>
      </c>
      <c r="S20" s="1639"/>
      <c r="T20" s="1446" t="s">
        <v>1170</v>
      </c>
      <c r="U20" s="1446"/>
      <c r="V20" s="1630" t="s">
        <v>1200</v>
      </c>
      <c r="W20" s="1630" t="s">
        <v>1170</v>
      </c>
      <c r="X20" s="1630" t="s">
        <v>1170</v>
      </c>
      <c r="Y20" s="1630"/>
      <c r="Z20" s="1630" t="s">
        <v>4972</v>
      </c>
      <c r="AA20" s="1630" t="s">
        <v>1170</v>
      </c>
      <c r="AB20" s="1630" t="s">
        <v>1170</v>
      </c>
      <c r="AC20" s="1630" t="s">
        <v>1170</v>
      </c>
      <c r="AD20" s="1630" t="s">
        <v>1170</v>
      </c>
      <c r="AE20" s="2222" t="s">
        <v>1170</v>
      </c>
      <c r="AF20" s="2216" t="s">
        <v>1170</v>
      </c>
      <c r="AG20" s="1446" t="s">
        <v>1170</v>
      </c>
      <c r="AH20" s="1376" t="str">
        <f t="shared" ca="1" si="0"/>
        <v>N/A</v>
      </c>
    </row>
    <row r="21" spans="1:34" s="906" customFormat="1" ht="39" hidden="1">
      <c r="A21" s="1445" t="s">
        <v>1170</v>
      </c>
      <c r="B21" s="1630" t="s">
        <v>44</v>
      </c>
      <c r="C21" s="1630" t="s">
        <v>1170</v>
      </c>
      <c r="D21" s="1630" t="s">
        <v>4973</v>
      </c>
      <c r="E21" s="1630" t="s">
        <v>1341</v>
      </c>
      <c r="F21" s="1630" t="s">
        <v>630</v>
      </c>
      <c r="G21" s="1490" t="s">
        <v>1319</v>
      </c>
      <c r="H21" s="1630" t="s">
        <v>4950</v>
      </c>
      <c r="I21" s="1630" t="s">
        <v>34</v>
      </c>
      <c r="J21" s="1446" t="s">
        <v>6376</v>
      </c>
      <c r="K21" s="1630" t="s">
        <v>6377</v>
      </c>
      <c r="L21" s="1446" t="s">
        <v>1170</v>
      </c>
      <c r="M21" s="1446" t="s">
        <v>1170</v>
      </c>
      <c r="N21" s="1446" t="s">
        <v>1170</v>
      </c>
      <c r="O21" s="1640">
        <v>45444</v>
      </c>
      <c r="P21" s="1630" t="s">
        <v>1354</v>
      </c>
      <c r="Q21" s="1630" t="s">
        <v>1170</v>
      </c>
      <c r="R21" s="1639">
        <v>68900</v>
      </c>
      <c r="S21" s="1639"/>
      <c r="T21" s="1446" t="s">
        <v>1170</v>
      </c>
      <c r="U21" s="1446"/>
      <c r="V21" s="1630" t="s">
        <v>1170</v>
      </c>
      <c r="W21" s="1630" t="s">
        <v>1170</v>
      </c>
      <c r="X21" s="1630" t="s">
        <v>1170</v>
      </c>
      <c r="Y21" s="1630"/>
      <c r="Z21" s="1630" t="s">
        <v>4974</v>
      </c>
      <c r="AA21" s="1630" t="s">
        <v>1170</v>
      </c>
      <c r="AB21" s="1631" t="s">
        <v>1170</v>
      </c>
      <c r="AC21" s="1630" t="s">
        <v>1170</v>
      </c>
      <c r="AD21" s="1630" t="s">
        <v>1170</v>
      </c>
      <c r="AE21" s="2222" t="s">
        <v>1170</v>
      </c>
      <c r="AF21" s="2216" t="s">
        <v>1170</v>
      </c>
      <c r="AG21" s="1446" t="s">
        <v>1170</v>
      </c>
      <c r="AH21" s="1376" t="str">
        <f t="shared" ca="1" si="0"/>
        <v>N/A</v>
      </c>
    </row>
    <row r="22" spans="1:34" s="906" customFormat="1" ht="26" hidden="1">
      <c r="A22" s="1445" t="s">
        <v>1170</v>
      </c>
      <c r="B22" s="1630" t="s">
        <v>44</v>
      </c>
      <c r="C22" s="1630" t="s">
        <v>1170</v>
      </c>
      <c r="D22" s="1630" t="s">
        <v>4985</v>
      </c>
      <c r="E22" s="1630" t="s">
        <v>1341</v>
      </c>
      <c r="F22" s="1630" t="s">
        <v>1170</v>
      </c>
      <c r="G22" s="1490" t="s">
        <v>1170</v>
      </c>
      <c r="H22" s="1630" t="s">
        <v>4949</v>
      </c>
      <c r="I22" s="1630" t="s">
        <v>1170</v>
      </c>
      <c r="J22" s="1446" t="s">
        <v>6378</v>
      </c>
      <c r="K22" s="1630" t="s">
        <v>1170</v>
      </c>
      <c r="L22" s="1446" t="s">
        <v>1170</v>
      </c>
      <c r="M22" s="1446" t="s">
        <v>1170</v>
      </c>
      <c r="N22" s="1446" t="s">
        <v>1170</v>
      </c>
      <c r="O22" s="1630" t="s">
        <v>1170</v>
      </c>
      <c r="P22" s="1630" t="s">
        <v>4976</v>
      </c>
      <c r="Q22" s="1630" t="s">
        <v>1170</v>
      </c>
      <c r="R22" s="1630" t="s">
        <v>1170</v>
      </c>
      <c r="S22" s="1630"/>
      <c r="T22" s="1446" t="s">
        <v>1170</v>
      </c>
      <c r="U22" s="1446"/>
      <c r="V22" s="1630" t="s">
        <v>1170</v>
      </c>
      <c r="W22" s="1630" t="s">
        <v>1170</v>
      </c>
      <c r="X22" s="1630" t="s">
        <v>1170</v>
      </c>
      <c r="Y22" s="1630"/>
      <c r="Z22" s="1630" t="s">
        <v>5953</v>
      </c>
      <c r="AA22" s="1630" t="s">
        <v>1170</v>
      </c>
      <c r="AB22" s="1630" t="s">
        <v>1170</v>
      </c>
      <c r="AC22" s="1630" t="s">
        <v>1170</v>
      </c>
      <c r="AD22" s="1630" t="s">
        <v>1170</v>
      </c>
      <c r="AE22" s="2222" t="s">
        <v>1170</v>
      </c>
      <c r="AF22" s="2216" t="s">
        <v>1170</v>
      </c>
      <c r="AG22" s="1446" t="s">
        <v>1170</v>
      </c>
      <c r="AH22" s="1376" t="str">
        <f t="shared" ca="1" si="0"/>
        <v>N/A</v>
      </c>
    </row>
    <row r="23" spans="1:34" s="906" customFormat="1" ht="30" hidden="1" customHeight="1">
      <c r="A23" s="1445" t="s">
        <v>1170</v>
      </c>
      <c r="B23" s="1630" t="s">
        <v>44</v>
      </c>
      <c r="C23" s="1630" t="s">
        <v>1170</v>
      </c>
      <c r="D23" s="1630" t="s">
        <v>4985</v>
      </c>
      <c r="E23" s="1630" t="s">
        <v>1341</v>
      </c>
      <c r="F23" s="1630" t="s">
        <v>361</v>
      </c>
      <c r="G23" s="1490" t="s">
        <v>569</v>
      </c>
      <c r="H23" s="1630" t="s">
        <v>33</v>
      </c>
      <c r="I23" s="1630" t="s">
        <v>1170</v>
      </c>
      <c r="J23" s="1446" t="s">
        <v>5033</v>
      </c>
      <c r="K23" s="1630" t="s">
        <v>6379</v>
      </c>
      <c r="L23" s="1446" t="s">
        <v>1170</v>
      </c>
      <c r="M23" s="1446" t="s">
        <v>1170</v>
      </c>
      <c r="N23" s="1446" t="s">
        <v>1170</v>
      </c>
      <c r="O23" s="1630" t="s">
        <v>1170</v>
      </c>
      <c r="P23" s="1630">
        <v>36</v>
      </c>
      <c r="Q23" s="1630" t="s">
        <v>4976</v>
      </c>
      <c r="R23" s="1630" t="s">
        <v>1170</v>
      </c>
      <c r="S23" s="1630"/>
      <c r="T23" s="1446" t="s">
        <v>1170</v>
      </c>
      <c r="U23" s="1446"/>
      <c r="V23" s="1630" t="e">
        <v>#REF!</v>
      </c>
      <c r="W23" s="1630" t="s">
        <v>1170</v>
      </c>
      <c r="X23" s="1630" t="s">
        <v>1170</v>
      </c>
      <c r="Y23" s="1630"/>
      <c r="Z23" s="1630" t="s">
        <v>5953</v>
      </c>
      <c r="AA23" s="1630" t="s">
        <v>1170</v>
      </c>
      <c r="AB23" s="1630" t="s">
        <v>4976</v>
      </c>
      <c r="AC23" s="1630" t="s">
        <v>1170</v>
      </c>
      <c r="AD23" s="1630" t="s">
        <v>1170</v>
      </c>
      <c r="AE23" s="2222" t="s">
        <v>1170</v>
      </c>
      <c r="AF23" s="2216" t="s">
        <v>1170</v>
      </c>
      <c r="AG23" s="1446" t="s">
        <v>1170</v>
      </c>
      <c r="AH23" s="1376" t="str">
        <f t="shared" ca="1" si="0"/>
        <v>N/A</v>
      </c>
    </row>
    <row r="24" spans="1:34" s="906" customFormat="1" ht="26" hidden="1">
      <c r="A24" s="1445" t="s">
        <v>1170</v>
      </c>
      <c r="B24" s="1630" t="s">
        <v>44</v>
      </c>
      <c r="C24" s="1630" t="s">
        <v>6380</v>
      </c>
      <c r="D24" s="1630" t="s">
        <v>1390</v>
      </c>
      <c r="E24" s="1630" t="s">
        <v>1341</v>
      </c>
      <c r="F24" s="1630" t="s">
        <v>361</v>
      </c>
      <c r="G24" s="1490" t="s">
        <v>4943</v>
      </c>
      <c r="H24" s="1630" t="s">
        <v>1595</v>
      </c>
      <c r="I24" s="1630" t="s">
        <v>1170</v>
      </c>
      <c r="J24" s="1446" t="s">
        <v>6381</v>
      </c>
      <c r="K24" s="1630" t="s">
        <v>6382</v>
      </c>
      <c r="L24" s="1446" t="s">
        <v>1170</v>
      </c>
      <c r="M24" s="1446" t="s">
        <v>1170</v>
      </c>
      <c r="N24" s="1446" t="s">
        <v>1170</v>
      </c>
      <c r="O24" s="1630" t="s">
        <v>5038</v>
      </c>
      <c r="P24" s="1630">
        <v>48</v>
      </c>
      <c r="Q24" s="1630" t="s">
        <v>1578</v>
      </c>
      <c r="R24" s="1639">
        <v>92000</v>
      </c>
      <c r="S24" s="1639"/>
      <c r="T24" s="1446" t="s">
        <v>1170</v>
      </c>
      <c r="U24" s="1446"/>
      <c r="V24" s="1630" t="s">
        <v>1346</v>
      </c>
      <c r="W24" s="1630" t="s">
        <v>1170</v>
      </c>
      <c r="X24" s="1630" t="s">
        <v>1170</v>
      </c>
      <c r="Y24" s="1630"/>
      <c r="Z24" s="1630" t="s">
        <v>1393</v>
      </c>
      <c r="AA24" s="1630" t="s">
        <v>1170</v>
      </c>
      <c r="AB24" s="1630" t="s">
        <v>1170</v>
      </c>
      <c r="AC24" s="1630" t="s">
        <v>1170</v>
      </c>
      <c r="AD24" s="1630" t="s">
        <v>1170</v>
      </c>
      <c r="AE24" s="2222" t="s">
        <v>1170</v>
      </c>
      <c r="AF24" s="2216" t="s">
        <v>1170</v>
      </c>
      <c r="AG24" s="1446" t="s">
        <v>1170</v>
      </c>
      <c r="AH24" s="1376" t="str">
        <f t="shared" ca="1" si="0"/>
        <v>N/A</v>
      </c>
    </row>
    <row r="25" spans="1:34" s="906" customFormat="1" ht="28.4" hidden="1" customHeight="1">
      <c r="A25" s="1445" t="s">
        <v>1170</v>
      </c>
      <c r="B25" s="1630" t="s">
        <v>44</v>
      </c>
      <c r="C25" s="1630" t="s">
        <v>1170</v>
      </c>
      <c r="D25" s="1630" t="s">
        <v>1367</v>
      </c>
      <c r="E25" s="1630" t="s">
        <v>1341</v>
      </c>
      <c r="F25" s="1630" t="s">
        <v>361</v>
      </c>
      <c r="G25" s="1490" t="s">
        <v>569</v>
      </c>
      <c r="H25" s="1630" t="s">
        <v>33</v>
      </c>
      <c r="I25" s="1630" t="s">
        <v>1170</v>
      </c>
      <c r="J25" s="1446" t="s">
        <v>6383</v>
      </c>
      <c r="K25" s="1630" t="s">
        <v>1170</v>
      </c>
      <c r="L25" s="1446" t="s">
        <v>1170</v>
      </c>
      <c r="M25" s="1446" t="s">
        <v>1170</v>
      </c>
      <c r="N25" s="1446" t="s">
        <v>1170</v>
      </c>
      <c r="O25" s="1630" t="s">
        <v>1170</v>
      </c>
      <c r="P25" s="1630">
        <v>60</v>
      </c>
      <c r="Q25" s="1630">
        <v>60</v>
      </c>
      <c r="R25" s="1639">
        <v>160000</v>
      </c>
      <c r="S25" s="1639"/>
      <c r="T25" s="1446" t="s">
        <v>1170</v>
      </c>
      <c r="U25" s="1446"/>
      <c r="V25" s="1630" t="s">
        <v>1170</v>
      </c>
      <c r="W25" s="1630" t="s">
        <v>1170</v>
      </c>
      <c r="X25" s="1630" t="s">
        <v>1170</v>
      </c>
      <c r="Y25" s="1630"/>
      <c r="Z25" s="1630" t="s">
        <v>4971</v>
      </c>
      <c r="AA25" s="1630" t="s">
        <v>1170</v>
      </c>
      <c r="AB25" s="1630" t="s">
        <v>1170</v>
      </c>
      <c r="AC25" s="1630" t="s">
        <v>1170</v>
      </c>
      <c r="AD25" s="1630" t="s">
        <v>1170</v>
      </c>
      <c r="AE25" s="2222" t="s">
        <v>1170</v>
      </c>
      <c r="AF25" s="2216" t="s">
        <v>1170</v>
      </c>
      <c r="AG25" s="1446" t="s">
        <v>1170</v>
      </c>
      <c r="AH25" s="1376" t="str">
        <f t="shared" ca="1" si="0"/>
        <v>N/A</v>
      </c>
    </row>
    <row r="26" spans="1:34" s="906" customFormat="1" ht="26" hidden="1">
      <c r="A26" s="1445" t="s">
        <v>1170</v>
      </c>
      <c r="B26" s="1630" t="s">
        <v>44</v>
      </c>
      <c r="C26" s="1630" t="s">
        <v>1170</v>
      </c>
      <c r="D26" s="1630" t="s">
        <v>4985</v>
      </c>
      <c r="E26" s="1630" t="s">
        <v>1341</v>
      </c>
      <c r="F26" s="1630" t="s">
        <v>361</v>
      </c>
      <c r="G26" s="1490" t="s">
        <v>4943</v>
      </c>
      <c r="H26" s="1630" t="s">
        <v>4949</v>
      </c>
      <c r="I26" s="1630" t="s">
        <v>1170</v>
      </c>
      <c r="J26" s="1446" t="s">
        <v>6384</v>
      </c>
      <c r="K26" s="1630" t="s">
        <v>1170</v>
      </c>
      <c r="L26" s="1446" t="s">
        <v>1170</v>
      </c>
      <c r="M26" s="1446" t="s">
        <v>1170</v>
      </c>
      <c r="N26" s="1446" t="s">
        <v>1170</v>
      </c>
      <c r="O26" s="1630" t="s">
        <v>1170</v>
      </c>
      <c r="P26" s="1630" t="s">
        <v>4976</v>
      </c>
      <c r="Q26" s="1630">
        <v>2</v>
      </c>
      <c r="R26" s="1630" t="s">
        <v>1170</v>
      </c>
      <c r="S26" s="1630"/>
      <c r="T26" s="1446" t="s">
        <v>1170</v>
      </c>
      <c r="U26" s="1446"/>
      <c r="V26" s="1630" t="s">
        <v>1170</v>
      </c>
      <c r="W26" s="1630" t="s">
        <v>1170</v>
      </c>
      <c r="X26" s="1630" t="s">
        <v>1170</v>
      </c>
      <c r="Y26" s="1630"/>
      <c r="Z26" s="1630" t="s">
        <v>5953</v>
      </c>
      <c r="AA26" s="1630" t="s">
        <v>1170</v>
      </c>
      <c r="AB26" s="1630" t="s">
        <v>1170</v>
      </c>
      <c r="AC26" s="1630" t="s">
        <v>1170</v>
      </c>
      <c r="AD26" s="1630" t="s">
        <v>1170</v>
      </c>
      <c r="AE26" s="2222" t="s">
        <v>1170</v>
      </c>
      <c r="AF26" s="2216" t="s">
        <v>1170</v>
      </c>
      <c r="AG26" s="1446" t="s">
        <v>1170</v>
      </c>
      <c r="AH26" s="1376" t="str">
        <f t="shared" ca="1" si="0"/>
        <v>N/A</v>
      </c>
    </row>
    <row r="27" spans="1:34" s="906" customFormat="1" ht="39" hidden="1">
      <c r="A27" s="1445" t="s">
        <v>1170</v>
      </c>
      <c r="B27" s="1630" t="s">
        <v>56</v>
      </c>
      <c r="C27" s="1630" t="s">
        <v>1170</v>
      </c>
      <c r="D27" s="1630" t="s">
        <v>1350</v>
      </c>
      <c r="E27" s="1630" t="s">
        <v>1341</v>
      </c>
      <c r="F27" s="1630" t="s">
        <v>630</v>
      </c>
      <c r="G27" s="1490" t="s">
        <v>1315</v>
      </c>
      <c r="H27" s="1630" t="s">
        <v>1471</v>
      </c>
      <c r="I27" s="1630" t="s">
        <v>246</v>
      </c>
      <c r="J27" s="1446" t="s">
        <v>6385</v>
      </c>
      <c r="K27" s="1630" t="s">
        <v>6386</v>
      </c>
      <c r="L27" s="1446" t="s">
        <v>1170</v>
      </c>
      <c r="M27" s="1446" t="s">
        <v>1170</v>
      </c>
      <c r="N27" s="1446" t="s">
        <v>1170</v>
      </c>
      <c r="O27" s="1640">
        <v>45748</v>
      </c>
      <c r="P27" s="1630">
        <v>48</v>
      </c>
      <c r="Q27" s="1630">
        <v>48</v>
      </c>
      <c r="R27" s="1639">
        <v>153000</v>
      </c>
      <c r="S27" s="1639"/>
      <c r="T27" s="1446" t="s">
        <v>1170</v>
      </c>
      <c r="U27" s="1446"/>
      <c r="V27" s="1630" t="s">
        <v>1346</v>
      </c>
      <c r="W27" s="1630" t="s">
        <v>1170</v>
      </c>
      <c r="X27" s="1630" t="s">
        <v>1170</v>
      </c>
      <c r="Y27" s="1630"/>
      <c r="Z27" s="1630" t="s">
        <v>1387</v>
      </c>
      <c r="AA27" s="1630" t="s">
        <v>1170</v>
      </c>
      <c r="AB27" s="1630" t="s">
        <v>1170</v>
      </c>
      <c r="AC27" s="1630" t="s">
        <v>1170</v>
      </c>
      <c r="AD27" s="1630" t="s">
        <v>1170</v>
      </c>
      <c r="AE27" s="2222" t="s">
        <v>1170</v>
      </c>
      <c r="AF27" s="2216" t="s">
        <v>6387</v>
      </c>
      <c r="AG27" s="1446" t="s">
        <v>1170</v>
      </c>
      <c r="AH27" s="1376" t="str">
        <f t="shared" ca="1" si="0"/>
        <v>N/A</v>
      </c>
    </row>
    <row r="28" spans="1:34" s="906" customFormat="1" ht="26" hidden="1">
      <c r="A28" s="1445" t="s">
        <v>1170</v>
      </c>
      <c r="B28" s="1630" t="s">
        <v>44</v>
      </c>
      <c r="C28" s="1630" t="s">
        <v>6388</v>
      </c>
      <c r="D28" s="1630" t="s">
        <v>4985</v>
      </c>
      <c r="E28" s="1630" t="s">
        <v>1341</v>
      </c>
      <c r="F28" s="1630" t="s">
        <v>361</v>
      </c>
      <c r="G28" s="1490" t="s">
        <v>569</v>
      </c>
      <c r="H28" s="1630" t="s">
        <v>33</v>
      </c>
      <c r="I28" s="1630" t="s">
        <v>1170</v>
      </c>
      <c r="J28" s="1446" t="s">
        <v>6389</v>
      </c>
      <c r="K28" s="1630" t="s">
        <v>1170</v>
      </c>
      <c r="L28" s="1446" t="s">
        <v>1170</v>
      </c>
      <c r="M28" s="1446" t="s">
        <v>1170</v>
      </c>
      <c r="N28" s="1446" t="s">
        <v>1170</v>
      </c>
      <c r="O28" s="1630" t="s">
        <v>1170</v>
      </c>
      <c r="P28" s="1630" t="s">
        <v>4976</v>
      </c>
      <c r="Q28" s="1630" t="s">
        <v>258</v>
      </c>
      <c r="R28" s="1639">
        <v>120000</v>
      </c>
      <c r="S28" s="1639"/>
      <c r="T28" s="1446" t="s">
        <v>1170</v>
      </c>
      <c r="U28" s="1446"/>
      <c r="V28" s="1630" t="s">
        <v>1170</v>
      </c>
      <c r="W28" s="1630" t="s">
        <v>1170</v>
      </c>
      <c r="X28" s="1630" t="s">
        <v>1170</v>
      </c>
      <c r="Y28" s="1630"/>
      <c r="Z28" s="1630" t="s">
        <v>5017</v>
      </c>
      <c r="AA28" s="1630" t="s">
        <v>1170</v>
      </c>
      <c r="AB28" s="1631" t="s">
        <v>1170</v>
      </c>
      <c r="AC28" s="1630" t="s">
        <v>1170</v>
      </c>
      <c r="AD28" s="1630" t="s">
        <v>1170</v>
      </c>
      <c r="AE28" s="2222" t="s">
        <v>1170</v>
      </c>
      <c r="AF28" s="2216" t="s">
        <v>5018</v>
      </c>
      <c r="AG28" s="1446" t="s">
        <v>1170</v>
      </c>
      <c r="AH28" s="1376" t="str">
        <f t="shared" ca="1" si="0"/>
        <v>N/A</v>
      </c>
    </row>
    <row r="29" spans="1:34" s="906" customFormat="1" ht="26" hidden="1">
      <c r="A29" s="1445" t="s">
        <v>1170</v>
      </c>
      <c r="B29" s="1630" t="s">
        <v>56</v>
      </c>
      <c r="C29" s="1630" t="s">
        <v>1170</v>
      </c>
      <c r="D29" s="1630" t="s">
        <v>1390</v>
      </c>
      <c r="E29" s="1630" t="s">
        <v>1341</v>
      </c>
      <c r="F29" s="1630" t="s">
        <v>1270</v>
      </c>
      <c r="G29" s="1490" t="s">
        <v>1366</v>
      </c>
      <c r="H29" s="1630" t="s">
        <v>4956</v>
      </c>
      <c r="I29" s="1630" t="s">
        <v>1170</v>
      </c>
      <c r="J29" s="1446" t="s">
        <v>6390</v>
      </c>
      <c r="K29" s="1630" t="s">
        <v>1170</v>
      </c>
      <c r="L29" s="1446" t="s">
        <v>1170</v>
      </c>
      <c r="M29" s="1446" t="s">
        <v>1170</v>
      </c>
      <c r="N29" s="1446" t="s">
        <v>1170</v>
      </c>
      <c r="O29" s="1630" t="s">
        <v>5038</v>
      </c>
      <c r="P29" s="1630" t="s">
        <v>1170</v>
      </c>
      <c r="Q29" s="1630" t="s">
        <v>1170</v>
      </c>
      <c r="R29" s="1630" t="s">
        <v>1170</v>
      </c>
      <c r="S29" s="1630"/>
      <c r="T29" s="1446" t="s">
        <v>1170</v>
      </c>
      <c r="U29" s="1446"/>
      <c r="V29" s="1630" t="s">
        <v>1170</v>
      </c>
      <c r="W29" s="1630" t="s">
        <v>1170</v>
      </c>
      <c r="X29" s="1630" t="s">
        <v>1170</v>
      </c>
      <c r="Y29" s="1630"/>
      <c r="Z29" s="1630" t="s">
        <v>5935</v>
      </c>
      <c r="AA29" s="1630" t="s">
        <v>1170</v>
      </c>
      <c r="AB29" s="1630" t="s">
        <v>1170</v>
      </c>
      <c r="AC29" s="1630" t="s">
        <v>1170</v>
      </c>
      <c r="AD29" s="1630" t="s">
        <v>1170</v>
      </c>
      <c r="AE29" s="2222" t="s">
        <v>1170</v>
      </c>
      <c r="AF29" s="2216" t="s">
        <v>1170</v>
      </c>
      <c r="AG29" s="1446" t="s">
        <v>1170</v>
      </c>
      <c r="AH29" s="1376" t="str">
        <f t="shared" ca="1" si="0"/>
        <v>N/A</v>
      </c>
    </row>
    <row r="30" spans="1:34" s="906" customFormat="1" ht="26" hidden="1">
      <c r="A30" s="1445" t="s">
        <v>1170</v>
      </c>
      <c r="B30" s="1630" t="s">
        <v>56</v>
      </c>
      <c r="C30" s="1630" t="s">
        <v>1170</v>
      </c>
      <c r="D30" s="1630" t="s">
        <v>1390</v>
      </c>
      <c r="E30" s="1630" t="s">
        <v>1341</v>
      </c>
      <c r="F30" s="1630" t="s">
        <v>1270</v>
      </c>
      <c r="G30" s="1490" t="s">
        <v>1366</v>
      </c>
      <c r="H30" s="1630" t="s">
        <v>5077</v>
      </c>
      <c r="I30" s="1630" t="s">
        <v>1170</v>
      </c>
      <c r="J30" s="1446" t="s">
        <v>6391</v>
      </c>
      <c r="K30" s="1630" t="s">
        <v>1170</v>
      </c>
      <c r="L30" s="1446" t="s">
        <v>1170</v>
      </c>
      <c r="M30" s="1446" t="s">
        <v>1170</v>
      </c>
      <c r="N30" s="1446" t="s">
        <v>1170</v>
      </c>
      <c r="O30" s="1630" t="s">
        <v>5038</v>
      </c>
      <c r="P30" s="1630" t="s">
        <v>1170</v>
      </c>
      <c r="Q30" s="1630" t="s">
        <v>1170</v>
      </c>
      <c r="R30" s="1630" t="s">
        <v>1170</v>
      </c>
      <c r="S30" s="1630"/>
      <c r="T30" s="1446" t="s">
        <v>1170</v>
      </c>
      <c r="U30" s="1446"/>
      <c r="V30" s="1630" t="e">
        <v>#REF!</v>
      </c>
      <c r="W30" s="1630" t="s">
        <v>1170</v>
      </c>
      <c r="X30" s="1630" t="s">
        <v>1170</v>
      </c>
      <c r="Y30" s="1630"/>
      <c r="Z30" s="1630" t="s">
        <v>5935</v>
      </c>
      <c r="AA30" s="1630" t="s">
        <v>1170</v>
      </c>
      <c r="AB30" s="1630" t="s">
        <v>1170</v>
      </c>
      <c r="AC30" s="1630" t="s">
        <v>1170</v>
      </c>
      <c r="AD30" s="1630" t="s">
        <v>1170</v>
      </c>
      <c r="AE30" s="2222" t="s">
        <v>1170</v>
      </c>
      <c r="AF30" s="2216" t="s">
        <v>1170</v>
      </c>
      <c r="AG30" s="1446" t="s">
        <v>1170</v>
      </c>
      <c r="AH30" s="1376" t="str">
        <f t="shared" ca="1" si="0"/>
        <v>N/A</v>
      </c>
    </row>
    <row r="31" spans="1:34" s="906" customFormat="1" ht="26" hidden="1">
      <c r="A31" s="1445" t="s">
        <v>1170</v>
      </c>
      <c r="B31" s="1630" t="s">
        <v>44</v>
      </c>
      <c r="C31" s="1630" t="s">
        <v>1170</v>
      </c>
      <c r="D31" s="1630" t="s">
        <v>33</v>
      </c>
      <c r="E31" s="1630" t="s">
        <v>1341</v>
      </c>
      <c r="F31" s="1630" t="s">
        <v>361</v>
      </c>
      <c r="G31" s="1490" t="s">
        <v>569</v>
      </c>
      <c r="H31" s="1630" t="s">
        <v>33</v>
      </c>
      <c r="I31" s="1630" t="s">
        <v>1170</v>
      </c>
      <c r="J31" s="1446" t="s">
        <v>6392</v>
      </c>
      <c r="K31" s="1630" t="s">
        <v>478</v>
      </c>
      <c r="L31" s="1446" t="s">
        <v>1170</v>
      </c>
      <c r="M31" s="1446" t="s">
        <v>1170</v>
      </c>
      <c r="N31" s="1446" t="s">
        <v>1170</v>
      </c>
      <c r="O31" s="1630" t="s">
        <v>5043</v>
      </c>
      <c r="P31" s="1630" t="s">
        <v>45</v>
      </c>
      <c r="Q31" s="1630" t="s">
        <v>45</v>
      </c>
      <c r="R31" s="1639">
        <v>70000</v>
      </c>
      <c r="S31" s="1639"/>
      <c r="T31" s="1446" t="s">
        <v>1170</v>
      </c>
      <c r="U31" s="1446"/>
      <c r="V31" s="1630" t="s">
        <v>1189</v>
      </c>
      <c r="W31" s="1630" t="s">
        <v>1170</v>
      </c>
      <c r="X31" s="1630" t="s">
        <v>1170</v>
      </c>
      <c r="Y31" s="1630"/>
      <c r="Z31" s="1630" t="s">
        <v>5019</v>
      </c>
      <c r="AA31" s="1630" t="s">
        <v>1170</v>
      </c>
      <c r="AB31" s="1630" t="s">
        <v>45</v>
      </c>
      <c r="AC31" s="1630" t="s">
        <v>1170</v>
      </c>
      <c r="AD31" s="1630" t="s">
        <v>1170</v>
      </c>
      <c r="AE31" s="2222" t="s">
        <v>1170</v>
      </c>
      <c r="AF31" s="2216" t="s">
        <v>1170</v>
      </c>
      <c r="AG31" s="1446" t="s">
        <v>1170</v>
      </c>
      <c r="AH31" s="1376" t="str">
        <f t="shared" ca="1" si="0"/>
        <v>N/A</v>
      </c>
    </row>
    <row r="32" spans="1:34" s="906" customFormat="1" ht="26" hidden="1">
      <c r="A32" s="1445" t="s">
        <v>1170</v>
      </c>
      <c r="B32" s="1630" t="s">
        <v>56</v>
      </c>
      <c r="C32" s="1630" t="s">
        <v>1170</v>
      </c>
      <c r="D32" s="1630" t="s">
        <v>4780</v>
      </c>
      <c r="E32" s="1630" t="s">
        <v>1341</v>
      </c>
      <c r="F32" s="1630" t="s">
        <v>361</v>
      </c>
      <c r="G32" s="1490" t="s">
        <v>4943</v>
      </c>
      <c r="H32" s="1630" t="s">
        <v>1595</v>
      </c>
      <c r="I32" s="1630" t="s">
        <v>1170</v>
      </c>
      <c r="J32" s="1446" t="s">
        <v>6393</v>
      </c>
      <c r="K32" s="1630" t="s">
        <v>1170</v>
      </c>
      <c r="L32" s="1446" t="s">
        <v>1170</v>
      </c>
      <c r="M32" s="1446" t="s">
        <v>1170</v>
      </c>
      <c r="N32" s="1446" t="s">
        <v>1170</v>
      </c>
      <c r="O32" s="1630" t="s">
        <v>45</v>
      </c>
      <c r="P32" s="1630" t="s">
        <v>1170</v>
      </c>
      <c r="Q32" s="1630" t="s">
        <v>1170</v>
      </c>
      <c r="R32" s="1630" t="s">
        <v>1170</v>
      </c>
      <c r="S32" s="1630"/>
      <c r="T32" s="1446" t="s">
        <v>1170</v>
      </c>
      <c r="U32" s="1446"/>
      <c r="V32" s="1630" t="s">
        <v>176</v>
      </c>
      <c r="W32" s="1630" t="s">
        <v>1170</v>
      </c>
      <c r="X32" s="1630" t="s">
        <v>1170</v>
      </c>
      <c r="Y32" s="1630"/>
      <c r="Z32" s="1630" t="s">
        <v>4997</v>
      </c>
      <c r="AA32" s="1630" t="s">
        <v>1170</v>
      </c>
      <c r="AB32" s="1631" t="s">
        <v>1170</v>
      </c>
      <c r="AC32" s="1630" t="s">
        <v>1170</v>
      </c>
      <c r="AD32" s="1630" t="s">
        <v>1170</v>
      </c>
      <c r="AE32" s="2222" t="s">
        <v>1170</v>
      </c>
      <c r="AF32" s="2216" t="s">
        <v>1170</v>
      </c>
      <c r="AG32" s="1446" t="s">
        <v>1170</v>
      </c>
      <c r="AH32" s="1376" t="str">
        <f t="shared" ca="1" si="0"/>
        <v>N/A</v>
      </c>
    </row>
    <row r="33" spans="1:34" s="906" customFormat="1" ht="65" hidden="1">
      <c r="A33" s="1566">
        <v>44974</v>
      </c>
      <c r="B33" s="1571" t="s">
        <v>44</v>
      </c>
      <c r="C33" s="1571" t="s">
        <v>45</v>
      </c>
      <c r="D33" s="1630" t="s">
        <v>1192</v>
      </c>
      <c r="E33" s="1571" t="s">
        <v>1168</v>
      </c>
      <c r="F33" s="1571" t="s">
        <v>1270</v>
      </c>
      <c r="G33" s="1490" t="s">
        <v>4945</v>
      </c>
      <c r="H33" s="1630" t="s">
        <v>4956</v>
      </c>
      <c r="I33" s="1571" t="s">
        <v>1170</v>
      </c>
      <c r="J33" s="1567" t="s">
        <v>2084</v>
      </c>
      <c r="K33" s="1571" t="s">
        <v>2085</v>
      </c>
      <c r="L33" s="1567" t="s">
        <v>1170</v>
      </c>
      <c r="M33" s="1567" t="s">
        <v>1170</v>
      </c>
      <c r="N33" s="1567" t="s">
        <v>1170</v>
      </c>
      <c r="O33" s="1573">
        <v>45200</v>
      </c>
      <c r="P33" s="1572" t="s">
        <v>71</v>
      </c>
      <c r="Q33" s="1571" t="s">
        <v>589</v>
      </c>
      <c r="R33" s="1574">
        <v>25000</v>
      </c>
      <c r="S33" s="1574"/>
      <c r="T33" s="1567" t="s">
        <v>1170</v>
      </c>
      <c r="U33" s="1567"/>
      <c r="V33" s="1572" t="s">
        <v>45</v>
      </c>
      <c r="W33" s="1571" t="s">
        <v>1170</v>
      </c>
      <c r="X33" s="1571" t="s">
        <v>1170</v>
      </c>
      <c r="Y33" s="1571"/>
      <c r="Z33" s="1572" t="s">
        <v>2087</v>
      </c>
      <c r="AA33" s="1571" t="s">
        <v>1170</v>
      </c>
      <c r="AB33" s="1571" t="s">
        <v>1170</v>
      </c>
      <c r="AC33" s="1571" t="s">
        <v>1170</v>
      </c>
      <c r="AD33" s="1571" t="s">
        <v>1170</v>
      </c>
      <c r="AE33" s="2222">
        <v>44833</v>
      </c>
      <c r="AF33" s="2216" t="s">
        <v>2088</v>
      </c>
      <c r="AG33" s="1567" t="s">
        <v>1170</v>
      </c>
      <c r="AH33" s="1376">
        <f t="shared" ca="1" si="0"/>
        <v>475</v>
      </c>
    </row>
    <row r="34" spans="1:34" s="906" customFormat="1" ht="52" hidden="1">
      <c r="A34" s="1566">
        <v>44974</v>
      </c>
      <c r="B34" s="1571" t="s">
        <v>44</v>
      </c>
      <c r="C34" s="1571" t="s">
        <v>45</v>
      </c>
      <c r="D34" s="1630" t="s">
        <v>1178</v>
      </c>
      <c r="E34" s="1571" t="s">
        <v>1168</v>
      </c>
      <c r="F34" s="1571" t="s">
        <v>361</v>
      </c>
      <c r="G34" s="1490" t="s">
        <v>569</v>
      </c>
      <c r="H34" s="1630" t="s">
        <v>33</v>
      </c>
      <c r="I34" s="1571" t="s">
        <v>1170</v>
      </c>
      <c r="J34" s="1567" t="s">
        <v>1503</v>
      </c>
      <c r="K34" s="1571" t="s">
        <v>1527</v>
      </c>
      <c r="L34" s="1567" t="s">
        <v>1170</v>
      </c>
      <c r="M34" s="1567" t="s">
        <v>1170</v>
      </c>
      <c r="N34" s="1567" t="s">
        <v>1170</v>
      </c>
      <c r="O34" s="1573">
        <v>44986</v>
      </c>
      <c r="P34" s="1572" t="s">
        <v>4966</v>
      </c>
      <c r="Q34" s="1571" t="s">
        <v>589</v>
      </c>
      <c r="R34" s="1574">
        <v>25750</v>
      </c>
      <c r="S34" s="1574"/>
      <c r="T34" s="1567" t="s">
        <v>1170</v>
      </c>
      <c r="U34" s="1567"/>
      <c r="V34" s="1572" t="s">
        <v>45</v>
      </c>
      <c r="W34" s="1571" t="s">
        <v>1170</v>
      </c>
      <c r="X34" s="1571" t="s">
        <v>1170</v>
      </c>
      <c r="Y34" s="1571"/>
      <c r="Z34" s="1572" t="s">
        <v>1190</v>
      </c>
      <c r="AA34" s="1571" t="s">
        <v>1170</v>
      </c>
      <c r="AB34" s="1571" t="s">
        <v>1170</v>
      </c>
      <c r="AC34" s="1571" t="s">
        <v>1170</v>
      </c>
      <c r="AD34" s="1571" t="s">
        <v>1170</v>
      </c>
      <c r="AE34" s="2222">
        <v>44805</v>
      </c>
      <c r="AF34" s="2216" t="s">
        <v>6394</v>
      </c>
      <c r="AG34" s="1567" t="s">
        <v>1170</v>
      </c>
      <c r="AH34" s="1376">
        <f t="shared" ca="1" si="0"/>
        <v>503</v>
      </c>
    </row>
    <row r="35" spans="1:34" s="906" customFormat="1" ht="52" hidden="1">
      <c r="A35" s="1566">
        <v>44974</v>
      </c>
      <c r="B35" s="1571" t="s">
        <v>44</v>
      </c>
      <c r="C35" s="1571" t="s">
        <v>45</v>
      </c>
      <c r="D35" s="1630" t="s">
        <v>1178</v>
      </c>
      <c r="E35" s="1571" t="s">
        <v>1168</v>
      </c>
      <c r="F35" s="1571" t="s">
        <v>361</v>
      </c>
      <c r="G35" s="1490" t="s">
        <v>569</v>
      </c>
      <c r="H35" s="1630" t="s">
        <v>33</v>
      </c>
      <c r="I35" s="1571" t="s">
        <v>1170</v>
      </c>
      <c r="J35" s="1567" t="s">
        <v>6395</v>
      </c>
      <c r="K35" s="1571" t="s">
        <v>1520</v>
      </c>
      <c r="L35" s="1567" t="s">
        <v>1170</v>
      </c>
      <c r="M35" s="1567" t="s">
        <v>1170</v>
      </c>
      <c r="N35" s="1567" t="s">
        <v>1170</v>
      </c>
      <c r="O35" s="1573">
        <v>45028</v>
      </c>
      <c r="P35" s="1572" t="s">
        <v>4966</v>
      </c>
      <c r="Q35" s="1571" t="s">
        <v>589</v>
      </c>
      <c r="R35" s="1574">
        <v>25790</v>
      </c>
      <c r="S35" s="1574"/>
      <c r="T35" s="1567" t="s">
        <v>1170</v>
      </c>
      <c r="U35" s="1567"/>
      <c r="V35" s="1572" t="s">
        <v>45</v>
      </c>
      <c r="W35" s="1571" t="s">
        <v>1170</v>
      </c>
      <c r="X35" s="1571" t="s">
        <v>1170</v>
      </c>
      <c r="Y35" s="1571"/>
      <c r="Z35" s="1572" t="s">
        <v>1190</v>
      </c>
      <c r="AA35" s="1571" t="s">
        <v>1170</v>
      </c>
      <c r="AB35" s="1571" t="s">
        <v>1170</v>
      </c>
      <c r="AC35" s="1571" t="s">
        <v>1170</v>
      </c>
      <c r="AD35" s="1571" t="s">
        <v>1170</v>
      </c>
      <c r="AE35" s="2222">
        <v>44952</v>
      </c>
      <c r="AF35" s="2216" t="s">
        <v>6396</v>
      </c>
      <c r="AG35" s="1567" t="s">
        <v>1170</v>
      </c>
      <c r="AH35" s="1376">
        <f t="shared" ca="1" si="0"/>
        <v>356</v>
      </c>
    </row>
    <row r="36" spans="1:34" s="906" customFormat="1" ht="91" hidden="1">
      <c r="A36" s="1566">
        <v>44974</v>
      </c>
      <c r="B36" s="1571" t="s">
        <v>44</v>
      </c>
      <c r="C36" s="1571" t="s">
        <v>45</v>
      </c>
      <c r="D36" s="1630" t="s">
        <v>1178</v>
      </c>
      <c r="E36" s="1571" t="s">
        <v>1168</v>
      </c>
      <c r="F36" s="1571" t="s">
        <v>1067</v>
      </c>
      <c r="G36" s="1490" t="s">
        <v>862</v>
      </c>
      <c r="H36" s="1630" t="s">
        <v>4622</v>
      </c>
      <c r="I36" s="1571" t="s">
        <v>1170</v>
      </c>
      <c r="J36" s="1567" t="s">
        <v>1532</v>
      </c>
      <c r="K36" s="1571" t="s">
        <v>1533</v>
      </c>
      <c r="L36" s="1567" t="s">
        <v>1170</v>
      </c>
      <c r="M36" s="1567" t="s">
        <v>1170</v>
      </c>
      <c r="N36" s="1567" t="s">
        <v>1170</v>
      </c>
      <c r="O36" s="1573">
        <v>45139</v>
      </c>
      <c r="P36" s="1572" t="s">
        <v>4966</v>
      </c>
      <c r="Q36" s="1571" t="s">
        <v>589</v>
      </c>
      <c r="R36" s="1574">
        <v>72000</v>
      </c>
      <c r="S36" s="1574"/>
      <c r="T36" s="1567" t="s">
        <v>1170</v>
      </c>
      <c r="U36" s="1567"/>
      <c r="V36" s="1572" t="s">
        <v>45</v>
      </c>
      <c r="W36" s="1571" t="s">
        <v>1170</v>
      </c>
      <c r="X36" s="1571" t="s">
        <v>1170</v>
      </c>
      <c r="Y36" s="1571"/>
      <c r="Z36" s="1572" t="s">
        <v>1190</v>
      </c>
      <c r="AA36" s="1571" t="s">
        <v>1170</v>
      </c>
      <c r="AB36" s="1571" t="s">
        <v>1170</v>
      </c>
      <c r="AC36" s="1571" t="s">
        <v>1170</v>
      </c>
      <c r="AD36" s="1571" t="s">
        <v>1170</v>
      </c>
      <c r="AE36" s="2222">
        <v>45170</v>
      </c>
      <c r="AF36" s="2216" t="s">
        <v>6397</v>
      </c>
      <c r="AG36" s="1567" t="s">
        <v>1170</v>
      </c>
      <c r="AH36" s="1376">
        <f t="shared" ca="1" si="0"/>
        <v>138</v>
      </c>
    </row>
    <row r="37" spans="1:34" s="906" customFormat="1" ht="26" hidden="1">
      <c r="A37" s="1566">
        <v>44974</v>
      </c>
      <c r="B37" s="1571" t="s">
        <v>44</v>
      </c>
      <c r="C37" s="1571" t="s">
        <v>45</v>
      </c>
      <c r="D37" s="1630" t="s">
        <v>1169</v>
      </c>
      <c r="E37" s="1571" t="s">
        <v>1168</v>
      </c>
      <c r="F37" s="1571" t="s">
        <v>361</v>
      </c>
      <c r="G37" s="1490" t="s">
        <v>1440</v>
      </c>
      <c r="H37" s="1630" t="s">
        <v>127</v>
      </c>
      <c r="I37" s="1571" t="s">
        <v>1170</v>
      </c>
      <c r="J37" s="1567" t="s">
        <v>6398</v>
      </c>
      <c r="K37" s="1571" t="s">
        <v>6399</v>
      </c>
      <c r="L37" s="1567" t="s">
        <v>1170</v>
      </c>
      <c r="M37" s="1567" t="s">
        <v>1170</v>
      </c>
      <c r="N37" s="1567" t="s">
        <v>1170</v>
      </c>
      <c r="O37" s="1573">
        <v>45200</v>
      </c>
      <c r="P37" s="1572" t="s">
        <v>45</v>
      </c>
      <c r="Q37" s="1571" t="s">
        <v>589</v>
      </c>
      <c r="R37" s="1574">
        <v>75900</v>
      </c>
      <c r="S37" s="1574"/>
      <c r="T37" s="1567" t="s">
        <v>1170</v>
      </c>
      <c r="U37" s="1567"/>
      <c r="V37" s="1572" t="s">
        <v>45</v>
      </c>
      <c r="W37" s="1571" t="s">
        <v>1170</v>
      </c>
      <c r="X37" s="1571" t="s">
        <v>1170</v>
      </c>
      <c r="Y37" s="1571"/>
      <c r="Z37" s="1572" t="s">
        <v>6400</v>
      </c>
      <c r="AA37" s="1571" t="s">
        <v>1170</v>
      </c>
      <c r="AB37" s="1571" t="s">
        <v>1170</v>
      </c>
      <c r="AC37" s="1571" t="s">
        <v>1170</v>
      </c>
      <c r="AD37" s="1571" t="s">
        <v>1170</v>
      </c>
      <c r="AE37" s="2222">
        <v>44743</v>
      </c>
      <c r="AF37" s="2216" t="s">
        <v>6401</v>
      </c>
      <c r="AG37" s="1567" t="s">
        <v>1170</v>
      </c>
      <c r="AH37" s="1376">
        <f t="shared" ca="1" si="0"/>
        <v>565</v>
      </c>
    </row>
    <row r="38" spans="1:34" s="906" customFormat="1" ht="52" hidden="1">
      <c r="A38" s="1566">
        <v>44974</v>
      </c>
      <c r="B38" s="1571" t="s">
        <v>44</v>
      </c>
      <c r="C38" s="1571" t="s">
        <v>45</v>
      </c>
      <c r="D38" s="1630" t="s">
        <v>1178</v>
      </c>
      <c r="E38" s="1571" t="s">
        <v>1168</v>
      </c>
      <c r="F38" s="1571" t="s">
        <v>361</v>
      </c>
      <c r="G38" s="1490" t="s">
        <v>569</v>
      </c>
      <c r="H38" s="1630" t="s">
        <v>33</v>
      </c>
      <c r="I38" s="1571" t="s">
        <v>1170</v>
      </c>
      <c r="J38" s="1567" t="s">
        <v>1529</v>
      </c>
      <c r="K38" s="1571" t="s">
        <v>1530</v>
      </c>
      <c r="L38" s="1567" t="s">
        <v>1170</v>
      </c>
      <c r="M38" s="1567" t="s">
        <v>1170</v>
      </c>
      <c r="N38" s="1567" t="s">
        <v>1170</v>
      </c>
      <c r="O38" s="1573">
        <v>45139</v>
      </c>
      <c r="P38" s="1572" t="s">
        <v>4966</v>
      </c>
      <c r="Q38" s="1571" t="s">
        <v>589</v>
      </c>
      <c r="R38" s="1574">
        <v>120000</v>
      </c>
      <c r="S38" s="1574"/>
      <c r="T38" s="1567" t="s">
        <v>1170</v>
      </c>
      <c r="U38" s="1567"/>
      <c r="V38" s="1572" t="s">
        <v>45</v>
      </c>
      <c r="W38" s="1571" t="s">
        <v>1170</v>
      </c>
      <c r="X38" s="1571" t="s">
        <v>1170</v>
      </c>
      <c r="Y38" s="1571"/>
      <c r="Z38" s="1572" t="s">
        <v>1190</v>
      </c>
      <c r="AA38" s="1571" t="s">
        <v>1170</v>
      </c>
      <c r="AB38" s="1571" t="s">
        <v>1170</v>
      </c>
      <c r="AC38" s="1571" t="s">
        <v>1170</v>
      </c>
      <c r="AD38" s="1571" t="s">
        <v>1170</v>
      </c>
      <c r="AE38" s="2222">
        <v>44952</v>
      </c>
      <c r="AF38" s="2216" t="s">
        <v>6402</v>
      </c>
      <c r="AG38" s="1567" t="s">
        <v>1170</v>
      </c>
      <c r="AH38" s="1376">
        <f t="shared" ca="1" si="0"/>
        <v>356</v>
      </c>
    </row>
    <row r="39" spans="1:34" s="906" customFormat="1" ht="26" hidden="1">
      <c r="A39" s="1566">
        <v>44974</v>
      </c>
      <c r="B39" s="1571" t="s">
        <v>44</v>
      </c>
      <c r="C39" s="1571" t="s">
        <v>45</v>
      </c>
      <c r="D39" s="1630" t="s">
        <v>1227</v>
      </c>
      <c r="E39" s="1571" t="s">
        <v>1168</v>
      </c>
      <c r="F39" s="1571" t="s">
        <v>361</v>
      </c>
      <c r="G39" s="1490" t="s">
        <v>4955</v>
      </c>
      <c r="H39" s="1630" t="s">
        <v>33</v>
      </c>
      <c r="I39" s="1571" t="s">
        <v>1170</v>
      </c>
      <c r="J39" s="1567" t="s">
        <v>6403</v>
      </c>
      <c r="K39" s="1571" t="s">
        <v>6404</v>
      </c>
      <c r="L39" s="1567" t="s">
        <v>1170</v>
      </c>
      <c r="M39" s="1567" t="s">
        <v>1170</v>
      </c>
      <c r="N39" s="1567" t="s">
        <v>1170</v>
      </c>
      <c r="O39" s="1573">
        <v>45061</v>
      </c>
      <c r="P39" s="1572" t="s">
        <v>4966</v>
      </c>
      <c r="Q39" s="1571" t="s">
        <v>589</v>
      </c>
      <c r="R39" s="1574">
        <v>136675</v>
      </c>
      <c r="S39" s="1574"/>
      <c r="T39" s="1567" t="s">
        <v>1170</v>
      </c>
      <c r="U39" s="1567"/>
      <c r="V39" s="1572" t="s">
        <v>45</v>
      </c>
      <c r="W39" s="1571" t="s">
        <v>1170</v>
      </c>
      <c r="X39" s="1571" t="s">
        <v>1170</v>
      </c>
      <c r="Y39" s="1571"/>
      <c r="Z39" s="1572" t="s">
        <v>1232</v>
      </c>
      <c r="AA39" s="1571" t="s">
        <v>1170</v>
      </c>
      <c r="AB39" s="1571" t="s">
        <v>1170</v>
      </c>
      <c r="AC39" s="1571" t="s">
        <v>1170</v>
      </c>
      <c r="AD39" s="1571" t="s">
        <v>1170</v>
      </c>
      <c r="AE39" s="2222">
        <v>44958</v>
      </c>
      <c r="AF39" s="2216" t="s">
        <v>6405</v>
      </c>
      <c r="AG39" s="1567" t="s">
        <v>1170</v>
      </c>
      <c r="AH39" s="1376">
        <f t="shared" ca="1" si="0"/>
        <v>350</v>
      </c>
    </row>
    <row r="40" spans="1:34" s="906" customFormat="1" ht="52" hidden="1">
      <c r="A40" s="1566">
        <v>44974</v>
      </c>
      <c r="B40" s="1571" t="s">
        <v>44</v>
      </c>
      <c r="C40" s="1571" t="s">
        <v>45</v>
      </c>
      <c r="D40" s="1630" t="s">
        <v>1178</v>
      </c>
      <c r="E40" s="1571" t="s">
        <v>1168</v>
      </c>
      <c r="F40" s="1571" t="s">
        <v>361</v>
      </c>
      <c r="G40" s="1490" t="s">
        <v>569</v>
      </c>
      <c r="H40" s="1630" t="s">
        <v>33</v>
      </c>
      <c r="I40" s="1571" t="s">
        <v>1170</v>
      </c>
      <c r="J40" s="1567" t="s">
        <v>3757</v>
      </c>
      <c r="K40" s="1571" t="s">
        <v>3678</v>
      </c>
      <c r="L40" s="1567" t="s">
        <v>1170</v>
      </c>
      <c r="M40" s="1567" t="s">
        <v>1170</v>
      </c>
      <c r="N40" s="1567" t="s">
        <v>1170</v>
      </c>
      <c r="O40" s="1573">
        <v>45413</v>
      </c>
      <c r="P40" s="1572">
        <v>60</v>
      </c>
      <c r="Q40" s="1571" t="s">
        <v>4498</v>
      </c>
      <c r="R40" s="1574">
        <v>81272</v>
      </c>
      <c r="S40" s="1574"/>
      <c r="T40" s="1567" t="s">
        <v>1170</v>
      </c>
      <c r="U40" s="1567"/>
      <c r="V40" s="1572" t="s">
        <v>130</v>
      </c>
      <c r="W40" s="1571" t="s">
        <v>1170</v>
      </c>
      <c r="X40" s="1571" t="s">
        <v>1170</v>
      </c>
      <c r="Y40" s="1571"/>
      <c r="Z40" s="1572" t="s">
        <v>1190</v>
      </c>
      <c r="AA40" s="1571" t="s">
        <v>1170</v>
      </c>
      <c r="AB40" s="1571" t="s">
        <v>1170</v>
      </c>
      <c r="AC40" s="1571" t="s">
        <v>1170</v>
      </c>
      <c r="AD40" s="1571" t="s">
        <v>1170</v>
      </c>
      <c r="AE40" s="2222">
        <v>44278</v>
      </c>
      <c r="AF40" s="2216" t="s">
        <v>6406</v>
      </c>
      <c r="AG40" s="1567" t="s">
        <v>1170</v>
      </c>
      <c r="AH40" s="1376">
        <f t="shared" ca="1" si="0"/>
        <v>1030</v>
      </c>
    </row>
    <row r="41" spans="1:34" s="906" customFormat="1" ht="39" hidden="1">
      <c r="A41" s="1566">
        <v>44974</v>
      </c>
      <c r="B41" s="1571" t="s">
        <v>56</v>
      </c>
      <c r="C41" s="1571" t="s">
        <v>45</v>
      </c>
      <c r="D41" s="1630" t="s">
        <v>1254</v>
      </c>
      <c r="E41" s="1571" t="s">
        <v>1168</v>
      </c>
      <c r="F41" s="1571" t="s">
        <v>630</v>
      </c>
      <c r="G41" s="1490" t="s">
        <v>1315</v>
      </c>
      <c r="H41" s="1630" t="s">
        <v>4962</v>
      </c>
      <c r="I41" s="1571" t="s">
        <v>1170</v>
      </c>
      <c r="J41" s="1567" t="s">
        <v>6407</v>
      </c>
      <c r="K41" s="1571" t="s">
        <v>6408</v>
      </c>
      <c r="L41" s="1567" t="s">
        <v>1170</v>
      </c>
      <c r="M41" s="1567" t="s">
        <v>1170</v>
      </c>
      <c r="N41" s="1567" t="s">
        <v>1170</v>
      </c>
      <c r="O41" s="1573">
        <v>45383</v>
      </c>
      <c r="P41" s="1572">
        <v>60</v>
      </c>
      <c r="Q41" s="1571" t="s">
        <v>6409</v>
      </c>
      <c r="R41" s="1574">
        <v>86480</v>
      </c>
      <c r="S41" s="1574"/>
      <c r="T41" s="1567" t="s">
        <v>1170</v>
      </c>
      <c r="U41" s="1567"/>
      <c r="V41" s="1572" t="s">
        <v>45</v>
      </c>
      <c r="W41" s="1571" t="s">
        <v>1170</v>
      </c>
      <c r="X41" s="1571" t="s">
        <v>1170</v>
      </c>
      <c r="Y41" s="1571"/>
      <c r="Z41" s="1572" t="s">
        <v>2583</v>
      </c>
      <c r="AA41" s="1571" t="s">
        <v>1170</v>
      </c>
      <c r="AB41" s="1571" t="s">
        <v>1170</v>
      </c>
      <c r="AC41" s="1571" t="s">
        <v>1170</v>
      </c>
      <c r="AD41" s="1571" t="s">
        <v>1170</v>
      </c>
      <c r="AE41" s="2222">
        <v>44972</v>
      </c>
      <c r="AF41" s="2216" t="s">
        <v>6410</v>
      </c>
      <c r="AG41" s="1567" t="s">
        <v>1170</v>
      </c>
      <c r="AH41" s="1376">
        <f t="shared" ca="1" si="0"/>
        <v>336</v>
      </c>
    </row>
    <row r="42" spans="1:34" s="901" customFormat="1" ht="26" hidden="1">
      <c r="A42" s="1566">
        <v>44974</v>
      </c>
      <c r="B42" s="1571" t="s">
        <v>44</v>
      </c>
      <c r="C42" s="1571" t="s">
        <v>45</v>
      </c>
      <c r="D42" s="1630" t="s">
        <v>1227</v>
      </c>
      <c r="E42" s="1571" t="s">
        <v>1168</v>
      </c>
      <c r="F42" s="1571" t="s">
        <v>361</v>
      </c>
      <c r="G42" s="1490" t="s">
        <v>569</v>
      </c>
      <c r="H42" s="1630" t="s">
        <v>33</v>
      </c>
      <c r="I42" s="1571" t="s">
        <v>1170</v>
      </c>
      <c r="J42" s="1567" t="s">
        <v>6411</v>
      </c>
      <c r="K42" s="1571" t="s">
        <v>6412</v>
      </c>
      <c r="L42" s="1567" t="s">
        <v>1170</v>
      </c>
      <c r="M42" s="1567" t="s">
        <v>1170</v>
      </c>
      <c r="N42" s="1567" t="s">
        <v>1170</v>
      </c>
      <c r="O42" s="1573">
        <v>45292</v>
      </c>
      <c r="P42" s="1572">
        <v>48</v>
      </c>
      <c r="Q42" s="1571">
        <v>4</v>
      </c>
      <c r="R42" s="1574">
        <v>160237</v>
      </c>
      <c r="S42" s="1574"/>
      <c r="T42" s="1567" t="s">
        <v>1170</v>
      </c>
      <c r="U42" s="1567"/>
      <c r="V42" s="1572" t="s">
        <v>45</v>
      </c>
      <c r="W42" s="1655" t="s">
        <v>1170</v>
      </c>
      <c r="X42" s="1655" t="s">
        <v>1170</v>
      </c>
      <c r="Y42" s="1571"/>
      <c r="Z42" s="1572" t="s">
        <v>1232</v>
      </c>
      <c r="AA42" s="1655" t="s">
        <v>1170</v>
      </c>
      <c r="AB42" s="1571" t="s">
        <v>1170</v>
      </c>
      <c r="AC42" s="1571" t="s">
        <v>1170</v>
      </c>
      <c r="AD42" s="1571" t="s">
        <v>1170</v>
      </c>
      <c r="AE42" s="2222">
        <v>44140</v>
      </c>
      <c r="AF42" s="2216" t="s">
        <v>6413</v>
      </c>
      <c r="AG42" s="1567" t="s">
        <v>1170</v>
      </c>
      <c r="AH42" s="1376">
        <f t="shared" ca="1" si="0"/>
        <v>1168</v>
      </c>
    </row>
    <row r="43" spans="1:34" s="906" customFormat="1" ht="52" hidden="1">
      <c r="A43" s="1566">
        <v>44974</v>
      </c>
      <c r="B43" s="1571" t="s">
        <v>56</v>
      </c>
      <c r="C43" s="1571" t="s">
        <v>45</v>
      </c>
      <c r="D43" s="1630" t="s">
        <v>1192</v>
      </c>
      <c r="E43" s="1571" t="s">
        <v>1168</v>
      </c>
      <c r="F43" s="1571" t="s">
        <v>1270</v>
      </c>
      <c r="G43" s="1490" t="s">
        <v>4945</v>
      </c>
      <c r="H43" s="1630" t="s">
        <v>4622</v>
      </c>
      <c r="I43" s="1571" t="s">
        <v>1170</v>
      </c>
      <c r="J43" s="1567" t="s">
        <v>6414</v>
      </c>
      <c r="K43" s="1571" t="s">
        <v>6021</v>
      </c>
      <c r="L43" s="1567" t="s">
        <v>1170</v>
      </c>
      <c r="M43" s="1567" t="s">
        <v>1170</v>
      </c>
      <c r="N43" s="1567" t="s">
        <v>1170</v>
      </c>
      <c r="O43" s="1572" t="s">
        <v>45</v>
      </c>
      <c r="P43" s="1575" t="s">
        <v>45</v>
      </c>
      <c r="Q43" s="1571" t="s">
        <v>45</v>
      </c>
      <c r="R43" s="1641">
        <v>240000</v>
      </c>
      <c r="S43" s="1641"/>
      <c r="T43" s="1567" t="s">
        <v>1170</v>
      </c>
      <c r="U43" s="1567"/>
      <c r="V43" s="1572" t="s">
        <v>45</v>
      </c>
      <c r="W43" s="1571" t="s">
        <v>1170</v>
      </c>
      <c r="X43" s="1571" t="s">
        <v>1170</v>
      </c>
      <c r="Y43" s="1571"/>
      <c r="Z43" s="1571" t="s">
        <v>3670</v>
      </c>
      <c r="AA43" s="1571" t="s">
        <v>1170</v>
      </c>
      <c r="AB43" s="1571" t="s">
        <v>1170</v>
      </c>
      <c r="AC43" s="1571" t="s">
        <v>1170</v>
      </c>
      <c r="AD43" s="1571" t="s">
        <v>1170</v>
      </c>
      <c r="AE43" s="2222">
        <v>44743</v>
      </c>
      <c r="AF43" s="2216" t="s">
        <v>6415</v>
      </c>
      <c r="AG43" s="1567" t="s">
        <v>1170</v>
      </c>
      <c r="AH43" s="1376">
        <f t="shared" ca="1" si="0"/>
        <v>565</v>
      </c>
    </row>
    <row r="44" spans="1:34" s="906" customFormat="1" ht="52" hidden="1">
      <c r="A44" s="1564">
        <v>44974</v>
      </c>
      <c r="B44" s="1569" t="s">
        <v>56</v>
      </c>
      <c r="C44" s="1569" t="s">
        <v>45</v>
      </c>
      <c r="D44" s="1633" t="s">
        <v>1192</v>
      </c>
      <c r="E44" s="1569" t="s">
        <v>1168</v>
      </c>
      <c r="F44" s="1569" t="s">
        <v>1270</v>
      </c>
      <c r="G44" s="2193" t="s">
        <v>4945</v>
      </c>
      <c r="H44" s="1633" t="s">
        <v>4622</v>
      </c>
      <c r="I44" s="1569" t="s">
        <v>1170</v>
      </c>
      <c r="J44" s="1565" t="s">
        <v>6416</v>
      </c>
      <c r="K44" s="1569" t="s">
        <v>589</v>
      </c>
      <c r="L44" s="1565" t="s">
        <v>1170</v>
      </c>
      <c r="M44" s="1565" t="s">
        <v>1170</v>
      </c>
      <c r="N44" s="1565" t="s">
        <v>1170</v>
      </c>
      <c r="O44" s="1570" t="s">
        <v>45</v>
      </c>
      <c r="P44" s="2299" t="s">
        <v>45</v>
      </c>
      <c r="Q44" s="1569" t="s">
        <v>45</v>
      </c>
      <c r="R44" s="2201">
        <v>1250000</v>
      </c>
      <c r="S44" s="2201"/>
      <c r="T44" s="1565" t="s">
        <v>1170</v>
      </c>
      <c r="U44" s="1565"/>
      <c r="V44" s="1570" t="s">
        <v>45</v>
      </c>
      <c r="W44" s="1569" t="s">
        <v>1170</v>
      </c>
      <c r="X44" s="1569" t="s">
        <v>1170</v>
      </c>
      <c r="Y44" s="1569"/>
      <c r="Z44" s="1569" t="s">
        <v>3670</v>
      </c>
      <c r="AA44" s="1569" t="s">
        <v>1170</v>
      </c>
      <c r="AB44" s="1569" t="s">
        <v>1170</v>
      </c>
      <c r="AC44" s="1569" t="s">
        <v>1170</v>
      </c>
      <c r="AD44" s="1569" t="s">
        <v>1170</v>
      </c>
      <c r="AE44" s="2222">
        <v>44973</v>
      </c>
      <c r="AF44" s="2218" t="s">
        <v>6417</v>
      </c>
      <c r="AG44" s="1565" t="s">
        <v>1170</v>
      </c>
      <c r="AH44" s="1376">
        <f t="shared" ca="1" si="0"/>
        <v>335</v>
      </c>
    </row>
    <row r="45" spans="1:34" s="906" customFormat="1" ht="65" hidden="1">
      <c r="A45" s="1566">
        <v>44974</v>
      </c>
      <c r="B45" s="1571" t="s">
        <v>44</v>
      </c>
      <c r="C45" s="1571" t="s">
        <v>45</v>
      </c>
      <c r="D45" s="1630" t="s">
        <v>1227</v>
      </c>
      <c r="E45" s="1571" t="s">
        <v>1168</v>
      </c>
      <c r="F45" s="1571" t="s">
        <v>361</v>
      </c>
      <c r="G45" s="1490" t="s">
        <v>4955</v>
      </c>
      <c r="H45" s="1630" t="s">
        <v>33</v>
      </c>
      <c r="I45" s="1571" t="s">
        <v>1170</v>
      </c>
      <c r="J45" s="1567" t="s">
        <v>6418</v>
      </c>
      <c r="K45" s="1571" t="s">
        <v>6419</v>
      </c>
      <c r="L45" s="1567" t="s">
        <v>1170</v>
      </c>
      <c r="M45" s="1567" t="s">
        <v>1170</v>
      </c>
      <c r="N45" s="1567" t="s">
        <v>1170</v>
      </c>
      <c r="O45" s="1573">
        <v>45112</v>
      </c>
      <c r="P45" s="1572" t="s">
        <v>4966</v>
      </c>
      <c r="Q45" s="1572" t="s">
        <v>589</v>
      </c>
      <c r="R45" s="1572" t="s">
        <v>45</v>
      </c>
      <c r="S45" s="1572"/>
      <c r="T45" s="1567" t="s">
        <v>1170</v>
      </c>
      <c r="U45" s="1567"/>
      <c r="V45" s="1572" t="s">
        <v>45</v>
      </c>
      <c r="W45" s="1571" t="s">
        <v>1170</v>
      </c>
      <c r="X45" s="1571" t="s">
        <v>1170</v>
      </c>
      <c r="Y45" s="1571"/>
      <c r="Z45" s="1572" t="s">
        <v>1232</v>
      </c>
      <c r="AA45" s="1571" t="s">
        <v>1170</v>
      </c>
      <c r="AB45" s="1571" t="s">
        <v>1170</v>
      </c>
      <c r="AC45" s="1571" t="s">
        <v>1170</v>
      </c>
      <c r="AD45" s="1571" t="s">
        <v>1170</v>
      </c>
      <c r="AE45" s="2222">
        <v>44958</v>
      </c>
      <c r="AF45" s="2216" t="s">
        <v>6420</v>
      </c>
      <c r="AG45" s="1567" t="s">
        <v>1170</v>
      </c>
      <c r="AH45" s="1376">
        <f t="shared" ca="1" si="0"/>
        <v>350</v>
      </c>
    </row>
    <row r="46" spans="1:34" s="906" customFormat="1" ht="104" hidden="1">
      <c r="A46" s="1566">
        <v>44974</v>
      </c>
      <c r="B46" s="1571" t="s">
        <v>44</v>
      </c>
      <c r="C46" s="1571" t="s">
        <v>45</v>
      </c>
      <c r="D46" s="1630" t="s">
        <v>1178</v>
      </c>
      <c r="E46" s="1571" t="s">
        <v>1168</v>
      </c>
      <c r="F46" s="1571" t="s">
        <v>361</v>
      </c>
      <c r="G46" s="1490" t="s">
        <v>569</v>
      </c>
      <c r="H46" s="1630" t="s">
        <v>33</v>
      </c>
      <c r="I46" s="1571" t="s">
        <v>1170</v>
      </c>
      <c r="J46" s="1567" t="s">
        <v>1499</v>
      </c>
      <c r="K46" s="1571" t="s">
        <v>1500</v>
      </c>
      <c r="L46" s="1567" t="s">
        <v>1170</v>
      </c>
      <c r="M46" s="1567" t="s">
        <v>1170</v>
      </c>
      <c r="N46" s="1567" t="s">
        <v>1170</v>
      </c>
      <c r="O46" s="1573">
        <v>45170</v>
      </c>
      <c r="P46" s="1572" t="s">
        <v>4991</v>
      </c>
      <c r="Q46" s="1571" t="s">
        <v>589</v>
      </c>
      <c r="R46" s="1572" t="s">
        <v>45</v>
      </c>
      <c r="S46" s="1572"/>
      <c r="T46" s="1567" t="s">
        <v>1170</v>
      </c>
      <c r="U46" s="1567"/>
      <c r="V46" s="1572" t="s">
        <v>45</v>
      </c>
      <c r="W46" s="1571" t="s">
        <v>1170</v>
      </c>
      <c r="X46" s="1571" t="s">
        <v>1170</v>
      </c>
      <c r="Y46" s="1571"/>
      <c r="Z46" s="1572" t="s">
        <v>1190</v>
      </c>
      <c r="AA46" s="1571" t="s">
        <v>1170</v>
      </c>
      <c r="AB46" s="1571" t="s">
        <v>1170</v>
      </c>
      <c r="AC46" s="1571" t="s">
        <v>1170</v>
      </c>
      <c r="AD46" s="1571" t="s">
        <v>1170</v>
      </c>
      <c r="AE46" s="2222">
        <v>44953</v>
      </c>
      <c r="AF46" s="2216" t="s">
        <v>6421</v>
      </c>
      <c r="AG46" s="1567" t="s">
        <v>1170</v>
      </c>
      <c r="AH46" s="1376">
        <f t="shared" ca="1" si="0"/>
        <v>355</v>
      </c>
    </row>
    <row r="47" spans="1:34" s="906" customFormat="1" ht="52" hidden="1">
      <c r="A47" s="1566">
        <v>44974</v>
      </c>
      <c r="B47" s="1571" t="s">
        <v>56</v>
      </c>
      <c r="C47" s="1571" t="s">
        <v>45</v>
      </c>
      <c r="D47" s="1630" t="s">
        <v>1192</v>
      </c>
      <c r="E47" s="1571" t="s">
        <v>1168</v>
      </c>
      <c r="F47" s="1571" t="s">
        <v>1270</v>
      </c>
      <c r="G47" s="1490" t="s">
        <v>4945</v>
      </c>
      <c r="H47" s="1630" t="s">
        <v>4622</v>
      </c>
      <c r="I47" s="1571" t="s">
        <v>1170</v>
      </c>
      <c r="J47" s="1567" t="s">
        <v>6422</v>
      </c>
      <c r="K47" s="1571" t="s">
        <v>589</v>
      </c>
      <c r="L47" s="1567" t="s">
        <v>1170</v>
      </c>
      <c r="M47" s="1567" t="s">
        <v>1170</v>
      </c>
      <c r="N47" s="1567" t="s">
        <v>1170</v>
      </c>
      <c r="O47" s="1572" t="s">
        <v>45</v>
      </c>
      <c r="P47" s="1575" t="s">
        <v>45</v>
      </c>
      <c r="Q47" s="1571" t="s">
        <v>45</v>
      </c>
      <c r="R47" s="1574" t="s">
        <v>45</v>
      </c>
      <c r="S47" s="1574"/>
      <c r="T47" s="1567" t="s">
        <v>1170</v>
      </c>
      <c r="U47" s="1567"/>
      <c r="V47" s="1572" t="s">
        <v>45</v>
      </c>
      <c r="W47" s="1571" t="s">
        <v>1170</v>
      </c>
      <c r="X47" s="1571" t="s">
        <v>1170</v>
      </c>
      <c r="Y47" s="1571"/>
      <c r="Z47" s="1571" t="s">
        <v>3670</v>
      </c>
      <c r="AA47" s="1571" t="s">
        <v>1170</v>
      </c>
      <c r="AB47" s="1571" t="s">
        <v>1170</v>
      </c>
      <c r="AC47" s="1571" t="s">
        <v>1170</v>
      </c>
      <c r="AD47" s="1571" t="s">
        <v>1170</v>
      </c>
      <c r="AE47" s="2222">
        <v>44973</v>
      </c>
      <c r="AF47" s="2216" t="s">
        <v>6423</v>
      </c>
      <c r="AG47" s="1567" t="s">
        <v>1170</v>
      </c>
      <c r="AH47" s="1376">
        <f t="shared" ca="1" si="0"/>
        <v>335</v>
      </c>
    </row>
    <row r="48" spans="1:34" s="906" customFormat="1" ht="91" hidden="1">
      <c r="A48" s="1566">
        <v>44974</v>
      </c>
      <c r="B48" s="1571" t="s">
        <v>44</v>
      </c>
      <c r="C48" s="1571" t="s">
        <v>45</v>
      </c>
      <c r="D48" s="1630" t="s">
        <v>1227</v>
      </c>
      <c r="E48" s="1571" t="s">
        <v>1168</v>
      </c>
      <c r="F48" s="1571" t="s">
        <v>361</v>
      </c>
      <c r="G48" s="1490" t="s">
        <v>4955</v>
      </c>
      <c r="H48" s="1630" t="s">
        <v>127</v>
      </c>
      <c r="I48" s="1571" t="s">
        <v>1170</v>
      </c>
      <c r="J48" s="1567" t="s">
        <v>1228</v>
      </c>
      <c r="K48" s="1571" t="s">
        <v>1229</v>
      </c>
      <c r="L48" s="1567" t="s">
        <v>1170</v>
      </c>
      <c r="M48" s="1567" t="s">
        <v>1170</v>
      </c>
      <c r="N48" s="1567" t="s">
        <v>1170</v>
      </c>
      <c r="O48" s="1573">
        <v>45605</v>
      </c>
      <c r="P48" s="1572">
        <v>48</v>
      </c>
      <c r="Q48" s="1571" t="s">
        <v>3071</v>
      </c>
      <c r="R48" s="1572" t="s">
        <v>1230</v>
      </c>
      <c r="S48" s="1572"/>
      <c r="T48" s="1567" t="s">
        <v>1170</v>
      </c>
      <c r="U48" s="1567"/>
      <c r="V48" s="1572" t="s">
        <v>45</v>
      </c>
      <c r="W48" s="1571" t="s">
        <v>1170</v>
      </c>
      <c r="X48" s="1571" t="s">
        <v>1170</v>
      </c>
      <c r="Y48" s="1571"/>
      <c r="Z48" s="1572" t="s">
        <v>1232</v>
      </c>
      <c r="AA48" s="1571" t="s">
        <v>1170</v>
      </c>
      <c r="AB48" s="1571" t="s">
        <v>1170</v>
      </c>
      <c r="AC48" s="1571" t="s">
        <v>1170</v>
      </c>
      <c r="AD48" s="1571" t="s">
        <v>1170</v>
      </c>
      <c r="AE48" s="2222">
        <v>44966</v>
      </c>
      <c r="AF48" s="2216" t="s">
        <v>1233</v>
      </c>
      <c r="AG48" s="1567" t="s">
        <v>1170</v>
      </c>
      <c r="AH48" s="1376">
        <f t="shared" ca="1" si="0"/>
        <v>342</v>
      </c>
    </row>
    <row r="49" spans="1:34" s="2323" customFormat="1" ht="43.5" hidden="1">
      <c r="A49" s="2317">
        <v>45027</v>
      </c>
      <c r="B49" s="2317" t="s">
        <v>44</v>
      </c>
      <c r="C49" s="2758"/>
      <c r="D49" s="2758"/>
      <c r="E49" s="2758" t="s">
        <v>4704</v>
      </c>
      <c r="F49" s="1311" t="s">
        <v>361</v>
      </c>
      <c r="G49" s="1455" t="s">
        <v>362</v>
      </c>
      <c r="H49" s="698" t="s">
        <v>4962</v>
      </c>
      <c r="I49" s="2758" t="s">
        <v>1343</v>
      </c>
      <c r="J49" s="2758" t="s">
        <v>6424</v>
      </c>
      <c r="K49" s="2758"/>
      <c r="L49" s="2758"/>
      <c r="M49" s="2758"/>
      <c r="N49" s="2758"/>
      <c r="O49" s="2759">
        <v>45413</v>
      </c>
      <c r="P49" s="2751">
        <v>24</v>
      </c>
      <c r="Q49" s="2751" t="s">
        <v>1345</v>
      </c>
      <c r="R49" s="2945">
        <v>0</v>
      </c>
      <c r="S49" s="2945"/>
      <c r="T49" s="2931"/>
      <c r="U49" s="2931"/>
      <c r="V49" s="2751"/>
      <c r="W49" s="2751"/>
      <c r="X49" s="2751"/>
      <c r="Y49" s="2751"/>
      <c r="Z49" s="2758"/>
      <c r="AA49" s="2758"/>
      <c r="AB49" s="2758"/>
      <c r="AC49" s="2758"/>
      <c r="AD49" s="2758"/>
      <c r="AE49" s="2946">
        <v>45017</v>
      </c>
      <c r="AF49" s="2344" t="s">
        <v>6425</v>
      </c>
      <c r="AG49" s="2344"/>
      <c r="AH49" s="1376"/>
    </row>
    <row r="50" spans="1:34" s="2323" customFormat="1" ht="43.5" hidden="1">
      <c r="A50" s="2317">
        <v>45027</v>
      </c>
      <c r="B50" s="2317" t="s">
        <v>56</v>
      </c>
      <c r="C50" s="2758" t="s">
        <v>6426</v>
      </c>
      <c r="D50" s="2758"/>
      <c r="E50" s="2758" t="s">
        <v>4704</v>
      </c>
      <c r="F50" s="1311" t="s">
        <v>361</v>
      </c>
      <c r="G50" s="1455" t="s">
        <v>362</v>
      </c>
      <c r="H50" s="698" t="s">
        <v>4622</v>
      </c>
      <c r="I50" s="2758" t="s">
        <v>1343</v>
      </c>
      <c r="J50" s="2758" t="s">
        <v>6427</v>
      </c>
      <c r="K50" s="2758"/>
      <c r="L50" s="2758"/>
      <c r="M50" s="2758"/>
      <c r="N50" s="2758"/>
      <c r="O50" s="2759">
        <v>45139</v>
      </c>
      <c r="P50" s="2751"/>
      <c r="Q50" s="2751"/>
      <c r="R50" s="2945"/>
      <c r="S50" s="2945"/>
      <c r="T50" s="2931"/>
      <c r="U50" s="2931"/>
      <c r="V50" s="2751"/>
      <c r="W50" s="2751"/>
      <c r="X50" s="2751"/>
      <c r="Y50" s="2751"/>
      <c r="Z50" s="2758" t="s">
        <v>5096</v>
      </c>
      <c r="AA50" s="2758"/>
      <c r="AB50" s="2758"/>
      <c r="AC50" s="2758"/>
      <c r="AD50" s="2758"/>
      <c r="AE50" s="2758"/>
      <c r="AF50" s="2344" t="s">
        <v>6428</v>
      </c>
      <c r="AG50" s="2344"/>
      <c r="AH50" s="1376"/>
    </row>
    <row r="51" spans="1:34" s="2323" customFormat="1" ht="29" hidden="1">
      <c r="A51" s="2317">
        <v>45027</v>
      </c>
      <c r="B51" s="2317" t="s">
        <v>56</v>
      </c>
      <c r="C51" s="2758"/>
      <c r="D51" s="2758"/>
      <c r="E51" s="2758" t="s">
        <v>4704</v>
      </c>
      <c r="F51" s="1311" t="s">
        <v>361</v>
      </c>
      <c r="G51" s="1455" t="s">
        <v>362</v>
      </c>
      <c r="H51" s="698" t="s">
        <v>5077</v>
      </c>
      <c r="I51" s="2758" t="s">
        <v>1343</v>
      </c>
      <c r="J51" s="2758" t="s">
        <v>6429</v>
      </c>
      <c r="K51" s="2758"/>
      <c r="L51" s="2758"/>
      <c r="M51" s="2758"/>
      <c r="N51" s="2758"/>
      <c r="O51" s="2759">
        <v>46113</v>
      </c>
      <c r="P51" s="2751"/>
      <c r="Q51" s="2751"/>
      <c r="R51" s="2945"/>
      <c r="S51" s="2945"/>
      <c r="T51" s="2931">
        <v>180000</v>
      </c>
      <c r="U51" s="2931"/>
      <c r="V51" s="2751"/>
      <c r="W51" s="2751"/>
      <c r="X51" s="2751"/>
      <c r="Y51" s="2751" t="s">
        <v>5494</v>
      </c>
      <c r="Z51" s="2758"/>
      <c r="AA51" s="2758"/>
      <c r="AB51" s="2758"/>
      <c r="AC51" s="2758"/>
      <c r="AD51" s="2758"/>
      <c r="AE51" s="2946"/>
      <c r="AF51" s="2344"/>
      <c r="AG51" s="2344"/>
    </row>
    <row r="52" spans="1:34" s="2323" customFormat="1" ht="43.5" hidden="1">
      <c r="A52" s="2317">
        <v>45027</v>
      </c>
      <c r="B52" s="2317" t="s">
        <v>44</v>
      </c>
      <c r="C52" s="2758"/>
      <c r="D52" s="2758"/>
      <c r="E52" s="2758" t="s">
        <v>4704</v>
      </c>
      <c r="F52" s="1311" t="s">
        <v>361</v>
      </c>
      <c r="G52" s="1455" t="s">
        <v>362</v>
      </c>
      <c r="H52" s="698" t="s">
        <v>1595</v>
      </c>
      <c r="I52" s="2758" t="s">
        <v>1343</v>
      </c>
      <c r="J52" s="2758" t="s">
        <v>6430</v>
      </c>
      <c r="K52" s="2758"/>
      <c r="L52" s="2758"/>
      <c r="M52" s="2758"/>
      <c r="N52" s="2758"/>
      <c r="O52" s="2759"/>
      <c r="P52" s="2751"/>
      <c r="Q52" s="2751"/>
      <c r="R52" s="2945"/>
      <c r="S52" s="2945"/>
      <c r="T52" s="2931"/>
      <c r="U52" s="2931"/>
      <c r="V52" s="2751"/>
      <c r="W52" s="2751"/>
      <c r="X52" s="2751"/>
      <c r="Y52" s="2751"/>
      <c r="Z52" s="2758"/>
      <c r="AA52" s="2758"/>
      <c r="AB52" s="2758"/>
      <c r="AC52" s="2758"/>
      <c r="AD52" s="2758"/>
      <c r="AE52" s="2946">
        <v>45017</v>
      </c>
      <c r="AF52" s="2344" t="s">
        <v>6431</v>
      </c>
      <c r="AG52" s="2344"/>
      <c r="AH52" s="1376"/>
    </row>
    <row r="53" spans="1:34" s="2323" customFormat="1" ht="145" hidden="1">
      <c r="A53" s="2317">
        <v>45027</v>
      </c>
      <c r="B53" s="2317" t="s">
        <v>44</v>
      </c>
      <c r="C53" s="2758" t="s">
        <v>5413</v>
      </c>
      <c r="D53" s="2758"/>
      <c r="E53" s="2758" t="s">
        <v>4704</v>
      </c>
      <c r="F53" s="1311" t="s">
        <v>1270</v>
      </c>
      <c r="G53" s="1455" t="s">
        <v>1406</v>
      </c>
      <c r="H53" s="698" t="s">
        <v>33</v>
      </c>
      <c r="I53" s="2758" t="s">
        <v>1343</v>
      </c>
      <c r="J53" s="2758" t="s">
        <v>5414</v>
      </c>
      <c r="K53" s="2758"/>
      <c r="L53" s="2758"/>
      <c r="M53" s="2758"/>
      <c r="N53" s="2758"/>
      <c r="O53" s="2759">
        <v>45748</v>
      </c>
      <c r="P53" s="2751"/>
      <c r="Q53" s="2751"/>
      <c r="R53" s="2945"/>
      <c r="S53" s="2945"/>
      <c r="T53" s="2931"/>
      <c r="U53" s="2931"/>
      <c r="V53" s="2751"/>
      <c r="W53" s="2751"/>
      <c r="X53" s="2751"/>
      <c r="Y53" s="2751" t="s">
        <v>6432</v>
      </c>
      <c r="Z53" s="2758"/>
      <c r="AA53" s="2758"/>
      <c r="AB53" s="2758"/>
      <c r="AC53" s="2758"/>
      <c r="AD53" s="2758"/>
      <c r="AE53" s="2946">
        <v>45027</v>
      </c>
      <c r="AF53" s="2344" t="s">
        <v>6433</v>
      </c>
      <c r="AG53" s="2344"/>
      <c r="AH53" s="1376"/>
    </row>
    <row r="54" spans="1:34" s="2323" customFormat="1" ht="58" hidden="1">
      <c r="A54" s="2317">
        <v>45027</v>
      </c>
      <c r="B54" s="2317" t="s">
        <v>44</v>
      </c>
      <c r="C54" s="2758"/>
      <c r="D54" s="2758"/>
      <c r="E54" s="2758" t="s">
        <v>4704</v>
      </c>
      <c r="F54" s="1311" t="s">
        <v>1067</v>
      </c>
      <c r="G54" s="1455" t="s">
        <v>1406</v>
      </c>
      <c r="H54" s="698" t="s">
        <v>33</v>
      </c>
      <c r="I54" s="2758" t="s">
        <v>1343</v>
      </c>
      <c r="J54" s="2758" t="s">
        <v>6434</v>
      </c>
      <c r="K54" s="2758"/>
      <c r="L54" s="2758"/>
      <c r="M54" s="2758"/>
      <c r="N54" s="2758"/>
      <c r="O54" s="2759">
        <v>45748</v>
      </c>
      <c r="P54" s="2751"/>
      <c r="Q54" s="2751"/>
      <c r="R54" s="2945"/>
      <c r="S54" s="2945"/>
      <c r="T54" s="2931">
        <v>165000</v>
      </c>
      <c r="U54" s="2931"/>
      <c r="V54" s="2751"/>
      <c r="W54" s="2751"/>
      <c r="X54" s="2751"/>
      <c r="Y54" s="2751"/>
      <c r="Z54" s="2758" t="s">
        <v>6435</v>
      </c>
      <c r="AA54" s="2758"/>
      <c r="AB54" s="2758"/>
      <c r="AC54" s="2758"/>
      <c r="AD54" s="2758"/>
      <c r="AE54" s="2946"/>
      <c r="AF54" s="2344" t="s">
        <v>6436</v>
      </c>
      <c r="AG54" s="2344"/>
      <c r="AH54" s="1376"/>
    </row>
    <row r="55" spans="1:34" ht="58" hidden="1">
      <c r="A55" s="2317" t="s">
        <v>4941</v>
      </c>
      <c r="B55" s="2317"/>
      <c r="C55" s="2318" t="s">
        <v>6437</v>
      </c>
      <c r="D55" s="2318"/>
      <c r="E55" s="2318" t="s">
        <v>4952</v>
      </c>
      <c r="F55" s="2318" t="s">
        <v>1270</v>
      </c>
      <c r="G55" s="2318" t="s">
        <v>1366</v>
      </c>
      <c r="H55" s="2318" t="s">
        <v>4949</v>
      </c>
      <c r="I55" s="2318" t="s">
        <v>47</v>
      </c>
      <c r="J55" s="2318" t="s">
        <v>6438</v>
      </c>
      <c r="K55" s="2318"/>
      <c r="L55" s="2318"/>
      <c r="M55" s="2318"/>
      <c r="N55" s="2318"/>
      <c r="O55" s="2324">
        <v>45170</v>
      </c>
      <c r="P55" s="2320" t="s">
        <v>160</v>
      </c>
      <c r="Q55" s="2320">
        <v>36</v>
      </c>
      <c r="R55" s="2321">
        <v>240000</v>
      </c>
      <c r="S55" s="2321"/>
      <c r="T55" s="2322"/>
      <c r="U55" s="2322"/>
      <c r="V55" s="2320" t="s">
        <v>45</v>
      </c>
      <c r="W55" s="2320"/>
      <c r="X55" s="2320"/>
      <c r="Y55" s="2320" t="s">
        <v>1210</v>
      </c>
      <c r="Z55" s="2318" t="s">
        <v>5012</v>
      </c>
      <c r="AA55" s="2318" t="s">
        <v>1170</v>
      </c>
      <c r="AB55" s="2318" t="s">
        <v>1170</v>
      </c>
      <c r="AC55" s="2318"/>
      <c r="AD55" s="2318"/>
      <c r="AE55" s="2318"/>
      <c r="AF55" s="2325" t="s">
        <v>6439</v>
      </c>
      <c r="AG55" s="2325"/>
      <c r="AH55" s="2322"/>
    </row>
    <row r="56" spans="1:34" ht="72.5" hidden="1">
      <c r="A56" s="2317" t="s">
        <v>4941</v>
      </c>
      <c r="B56" s="2317"/>
      <c r="C56" s="2318" t="s">
        <v>6440</v>
      </c>
      <c r="D56" s="2318"/>
      <c r="E56" s="2318" t="s">
        <v>4952</v>
      </c>
      <c r="F56" s="2318" t="s">
        <v>361</v>
      </c>
      <c r="G56" s="2318" t="s">
        <v>569</v>
      </c>
      <c r="H56" s="2318" t="s">
        <v>33</v>
      </c>
      <c r="I56" s="2318" t="s">
        <v>47</v>
      </c>
      <c r="J56" s="2318" t="s">
        <v>6441</v>
      </c>
      <c r="K56" s="2318"/>
      <c r="L56" s="2318"/>
      <c r="M56" s="2318"/>
      <c r="N56" s="2318"/>
      <c r="O56" s="2319" t="s">
        <v>6442</v>
      </c>
      <c r="P56" s="2320">
        <v>24</v>
      </c>
      <c r="Q56" s="2320" t="s">
        <v>1170</v>
      </c>
      <c r="R56" s="2321">
        <v>99285.3</v>
      </c>
      <c r="S56" s="2321"/>
      <c r="T56" s="2322"/>
      <c r="U56" s="2322"/>
      <c r="V56" s="2320" t="s">
        <v>1170</v>
      </c>
      <c r="W56" s="2320"/>
      <c r="X56" s="2320"/>
      <c r="Y56" s="46" t="s">
        <v>6443</v>
      </c>
      <c r="Z56" s="2318" t="s">
        <v>4954</v>
      </c>
      <c r="AA56" s="2318" t="s">
        <v>1170</v>
      </c>
      <c r="AB56" s="2318" t="s">
        <v>1170</v>
      </c>
      <c r="AC56" s="2318"/>
      <c r="AD56" s="2318"/>
      <c r="AE56" s="2318"/>
      <c r="AF56" s="2342" t="s">
        <v>6444</v>
      </c>
      <c r="AG56" s="2342"/>
      <c r="AH56" s="2322"/>
    </row>
    <row r="57" spans="1:34" ht="72.5" hidden="1">
      <c r="A57" s="2317" t="s">
        <v>4941</v>
      </c>
      <c r="B57" s="2317"/>
      <c r="C57" s="2318" t="s">
        <v>6445</v>
      </c>
      <c r="D57" s="2318"/>
      <c r="E57" s="2318" t="s">
        <v>4952</v>
      </c>
      <c r="F57" s="2318" t="s">
        <v>361</v>
      </c>
      <c r="G57" s="2318" t="s">
        <v>569</v>
      </c>
      <c r="H57" s="2318" t="s">
        <v>33</v>
      </c>
      <c r="I57" s="2318" t="s">
        <v>47</v>
      </c>
      <c r="J57" s="2318" t="s">
        <v>6446</v>
      </c>
      <c r="K57" s="2318"/>
      <c r="L57" s="2318"/>
      <c r="M57" s="2318"/>
      <c r="N57" s="2318"/>
      <c r="O57" s="2319" t="s">
        <v>6447</v>
      </c>
      <c r="P57" s="2320">
        <v>60</v>
      </c>
      <c r="Q57" s="2320" t="s">
        <v>1170</v>
      </c>
      <c r="R57" s="2321">
        <v>100000</v>
      </c>
      <c r="S57" s="2321"/>
      <c r="T57" s="2322"/>
      <c r="U57" s="2322"/>
      <c r="V57" s="2320" t="s">
        <v>1170</v>
      </c>
      <c r="W57" s="2320"/>
      <c r="X57" s="2320"/>
      <c r="Y57" s="46" t="s">
        <v>5023</v>
      </c>
      <c r="Z57" s="2318" t="s">
        <v>4954</v>
      </c>
      <c r="AA57" s="2318" t="s">
        <v>1170</v>
      </c>
      <c r="AB57" s="2318" t="s">
        <v>1170</v>
      </c>
      <c r="AC57" s="2318"/>
      <c r="AD57" s="2318"/>
      <c r="AE57" s="2318"/>
      <c r="AF57" s="2342" t="s">
        <v>6448</v>
      </c>
      <c r="AG57" s="2342"/>
      <c r="AH57" s="2322"/>
    </row>
    <row r="58" spans="1:34" ht="29" hidden="1">
      <c r="A58" s="2317" t="s">
        <v>4941</v>
      </c>
      <c r="B58" s="2317"/>
      <c r="C58" s="2318" t="s">
        <v>6449</v>
      </c>
      <c r="D58" s="2318"/>
      <c r="E58" s="2318" t="s">
        <v>4952</v>
      </c>
      <c r="F58" s="2318" t="s">
        <v>361</v>
      </c>
      <c r="G58" s="2318" t="s">
        <v>4943</v>
      </c>
      <c r="H58" s="2318" t="s">
        <v>4962</v>
      </c>
      <c r="I58" s="2318" t="s">
        <v>47</v>
      </c>
      <c r="J58" s="2318" t="s">
        <v>403</v>
      </c>
      <c r="K58" s="2318"/>
      <c r="L58" s="2318"/>
      <c r="M58" s="2318"/>
      <c r="N58" s="2318"/>
      <c r="O58" s="2324">
        <v>45383</v>
      </c>
      <c r="P58" s="2320">
        <v>60</v>
      </c>
      <c r="Q58" s="2320">
        <v>60</v>
      </c>
      <c r="R58" s="2321">
        <v>500000</v>
      </c>
      <c r="S58" s="2321"/>
      <c r="T58" s="2322"/>
      <c r="U58" s="2322"/>
      <c r="V58" s="2320" t="s">
        <v>45</v>
      </c>
      <c r="W58" s="2320"/>
      <c r="X58" s="2320"/>
      <c r="Y58" s="2320" t="s">
        <v>6450</v>
      </c>
      <c r="Z58" s="2318" t="s">
        <v>6451</v>
      </c>
      <c r="AA58" s="2318" t="s">
        <v>1170</v>
      </c>
      <c r="AB58" s="2318" t="s">
        <v>1170</v>
      </c>
      <c r="AC58" s="2318"/>
      <c r="AD58" s="2318"/>
      <c r="AE58" s="2318"/>
      <c r="AF58" s="2325" t="s">
        <v>6452</v>
      </c>
      <c r="AG58" s="2325"/>
      <c r="AH58" s="2322"/>
    </row>
    <row r="59" spans="1:34" ht="58" hidden="1">
      <c r="A59" s="2317" t="s">
        <v>4941</v>
      </c>
      <c r="B59" s="2317"/>
      <c r="C59" s="2318" t="s">
        <v>6453</v>
      </c>
      <c r="D59" s="2318"/>
      <c r="E59" s="2318" t="s">
        <v>4952</v>
      </c>
      <c r="F59" s="2318" t="s">
        <v>361</v>
      </c>
      <c r="G59" s="2318" t="s">
        <v>569</v>
      </c>
      <c r="H59" s="2318" t="s">
        <v>33</v>
      </c>
      <c r="I59" s="2318" t="s">
        <v>47</v>
      </c>
      <c r="J59" s="2318" t="s">
        <v>6454</v>
      </c>
      <c r="K59" s="2318"/>
      <c r="L59" s="2318"/>
      <c r="M59" s="2318"/>
      <c r="N59" s="2318"/>
      <c r="O59" s="2319" t="s">
        <v>6455</v>
      </c>
      <c r="P59" s="2320">
        <v>12</v>
      </c>
      <c r="Q59" s="2320" t="s">
        <v>1170</v>
      </c>
      <c r="R59" s="2321"/>
      <c r="S59" s="2321"/>
      <c r="T59" s="2321">
        <v>3500</v>
      </c>
      <c r="U59" s="2321"/>
      <c r="V59" s="2320" t="s">
        <v>1170</v>
      </c>
      <c r="W59" s="2320"/>
      <c r="X59" s="2320"/>
      <c r="Y59" s="2320" t="s">
        <v>1182</v>
      </c>
      <c r="Z59" s="2343" t="s">
        <v>6456</v>
      </c>
      <c r="AA59" s="2318" t="s">
        <v>1170</v>
      </c>
      <c r="AB59" s="2318" t="s">
        <v>1170</v>
      </c>
      <c r="AC59" s="2318"/>
      <c r="AD59" s="2318"/>
      <c r="AE59" s="2318"/>
      <c r="AF59" s="2342" t="s">
        <v>6457</v>
      </c>
      <c r="AG59" s="2342"/>
      <c r="AH59" s="2321"/>
    </row>
    <row r="60" spans="1:34" ht="58" hidden="1">
      <c r="A60" s="2332">
        <v>44960</v>
      </c>
      <c r="B60" s="2332"/>
      <c r="C60" s="2333" t="s">
        <v>6458</v>
      </c>
      <c r="D60" s="2333"/>
      <c r="E60" s="2333" t="s">
        <v>4961</v>
      </c>
      <c r="F60" s="2333" t="s">
        <v>361</v>
      </c>
      <c r="G60" s="2333" t="s">
        <v>362</v>
      </c>
      <c r="H60" s="2333" t="s">
        <v>1595</v>
      </c>
      <c r="I60" s="2333" t="s">
        <v>1170</v>
      </c>
      <c r="J60" s="2333" t="s">
        <v>6459</v>
      </c>
      <c r="K60" s="2333" t="s">
        <v>6460</v>
      </c>
      <c r="L60" s="2333"/>
      <c r="M60" s="2333"/>
      <c r="N60" s="2333"/>
      <c r="O60" s="2338" t="s">
        <v>5031</v>
      </c>
      <c r="P60" s="2333"/>
      <c r="Q60" s="2333"/>
      <c r="R60" s="2339">
        <v>54849.32</v>
      </c>
      <c r="S60" s="2339"/>
      <c r="T60" s="2333"/>
      <c r="U60" s="2333"/>
      <c r="V60" s="2333"/>
      <c r="W60" s="2333"/>
      <c r="X60" s="2333"/>
      <c r="Y60" s="2333"/>
      <c r="Z60" s="2333"/>
      <c r="AA60" s="2333"/>
      <c r="AB60" s="2333"/>
      <c r="AC60" s="2333"/>
      <c r="AD60" s="2333"/>
      <c r="AE60" s="2333"/>
      <c r="AF60" s="2752" t="s">
        <v>5034</v>
      </c>
      <c r="AG60" s="2752"/>
      <c r="AH60" s="2333"/>
    </row>
    <row r="61" spans="1:34" ht="29" hidden="1">
      <c r="A61" s="2317" t="s">
        <v>4941</v>
      </c>
      <c r="B61" s="2317"/>
      <c r="C61" s="2758" t="s">
        <v>6461</v>
      </c>
      <c r="D61" s="2758"/>
      <c r="E61" s="2758" t="s">
        <v>5021</v>
      </c>
      <c r="F61" s="2758" t="s">
        <v>361</v>
      </c>
      <c r="G61" s="2758" t="s">
        <v>569</v>
      </c>
      <c r="H61" s="2758" t="s">
        <v>33</v>
      </c>
      <c r="I61" s="2758">
        <v>1</v>
      </c>
      <c r="J61" s="2758" t="s">
        <v>6462</v>
      </c>
      <c r="K61" s="2758"/>
      <c r="L61" s="2758"/>
      <c r="M61" s="2758"/>
      <c r="N61" s="2758"/>
      <c r="O61" s="2942">
        <v>45295</v>
      </c>
      <c r="P61" s="2751"/>
      <c r="Q61" s="2751"/>
      <c r="R61" s="2943">
        <v>55133</v>
      </c>
      <c r="S61" s="2943"/>
      <c r="T61" s="2931"/>
      <c r="U61" s="2931"/>
      <c r="V61" s="2751" t="s">
        <v>45</v>
      </c>
      <c r="W61" s="2751"/>
      <c r="X61" s="2751"/>
      <c r="Y61" s="2751" t="s">
        <v>1189</v>
      </c>
      <c r="Z61" s="2758"/>
      <c r="AA61" s="2758"/>
      <c r="AB61" s="2758"/>
      <c r="AC61" s="2758"/>
      <c r="AD61" s="2758"/>
      <c r="AE61" s="2758"/>
      <c r="AF61" s="2752" t="s">
        <v>6463</v>
      </c>
      <c r="AG61" s="2752"/>
      <c r="AH61" s="2931"/>
    </row>
    <row r="62" spans="1:34" ht="58" hidden="1">
      <c r="A62" s="2332">
        <v>44960</v>
      </c>
      <c r="B62" s="2332"/>
      <c r="C62" s="2333" t="s">
        <v>6464</v>
      </c>
      <c r="D62" s="2333"/>
      <c r="E62" s="2333" t="s">
        <v>4961</v>
      </c>
      <c r="F62" s="2333" t="s">
        <v>630</v>
      </c>
      <c r="G62" s="2333" t="s">
        <v>1315</v>
      </c>
      <c r="H62" s="2333" t="s">
        <v>4949</v>
      </c>
      <c r="I62" s="2333" t="s">
        <v>1170</v>
      </c>
      <c r="J62" s="2333" t="s">
        <v>6465</v>
      </c>
      <c r="K62" s="2333" t="s">
        <v>6466</v>
      </c>
      <c r="L62" s="2333"/>
      <c r="M62" s="2333"/>
      <c r="N62" s="2333"/>
      <c r="O62" s="2338" t="s">
        <v>5031</v>
      </c>
      <c r="P62" s="2333"/>
      <c r="Q62" s="2333"/>
      <c r="R62" s="2339">
        <v>70126.03</v>
      </c>
      <c r="S62" s="2339"/>
      <c r="T62" s="2333"/>
      <c r="U62" s="2333"/>
      <c r="V62" s="2333"/>
      <c r="W62" s="2333"/>
      <c r="X62" s="2333"/>
      <c r="Y62" s="2333"/>
      <c r="Z62" s="2333"/>
      <c r="AA62" s="2333"/>
      <c r="AB62" s="2333"/>
      <c r="AC62" s="2333"/>
      <c r="AD62" s="2333"/>
      <c r="AE62" s="2333"/>
      <c r="AF62" s="2752" t="s">
        <v>6467</v>
      </c>
      <c r="AG62" s="2752"/>
      <c r="AH62" s="2333"/>
    </row>
    <row r="63" spans="1:34" ht="29" hidden="1">
      <c r="A63" s="2332">
        <v>44960</v>
      </c>
      <c r="B63" s="2332"/>
      <c r="C63" s="2333" t="s">
        <v>6468</v>
      </c>
      <c r="D63" s="2333"/>
      <c r="E63" s="2333" t="s">
        <v>4961</v>
      </c>
      <c r="F63" s="2333" t="s">
        <v>1067</v>
      </c>
      <c r="G63" s="2333" t="s">
        <v>1406</v>
      </c>
      <c r="H63" s="2333" t="s">
        <v>4622</v>
      </c>
      <c r="I63" s="2333" t="s">
        <v>1170</v>
      </c>
      <c r="J63" s="2333" t="s">
        <v>6469</v>
      </c>
      <c r="K63" s="2333" t="s">
        <v>6470</v>
      </c>
      <c r="L63" s="2333"/>
      <c r="M63" s="2333"/>
      <c r="N63" s="2333"/>
      <c r="O63" s="2338" t="s">
        <v>5031</v>
      </c>
      <c r="P63" s="2333"/>
      <c r="Q63" s="2333"/>
      <c r="R63" s="2339">
        <v>73922</v>
      </c>
      <c r="S63" s="2339"/>
      <c r="T63" s="2333"/>
      <c r="U63" s="2333"/>
      <c r="V63" s="2333"/>
      <c r="W63" s="2333"/>
      <c r="X63" s="2333"/>
      <c r="Y63" s="2333"/>
      <c r="Z63" s="2333"/>
      <c r="AA63" s="2333"/>
      <c r="AB63" s="2333"/>
      <c r="AC63" s="2333"/>
      <c r="AD63" s="2333"/>
      <c r="AE63" s="2333"/>
      <c r="AF63" s="2752" t="s">
        <v>5034</v>
      </c>
      <c r="AG63" s="2752"/>
      <c r="AH63" s="2333"/>
    </row>
    <row r="64" spans="1:34" ht="43.5" hidden="1">
      <c r="A64" s="2332">
        <v>44960</v>
      </c>
      <c r="B64" s="2332"/>
      <c r="C64" s="2333" t="s">
        <v>6471</v>
      </c>
      <c r="D64" s="2333"/>
      <c r="E64" s="2333" t="s">
        <v>4961</v>
      </c>
      <c r="F64" s="2333" t="s">
        <v>361</v>
      </c>
      <c r="G64" s="2333" t="s">
        <v>362</v>
      </c>
      <c r="H64" s="2333" t="s">
        <v>4962</v>
      </c>
      <c r="I64" s="2333" t="s">
        <v>1170</v>
      </c>
      <c r="J64" s="2333" t="s">
        <v>6472</v>
      </c>
      <c r="K64" s="2333" t="s">
        <v>5032</v>
      </c>
      <c r="L64" s="2333"/>
      <c r="M64" s="2333"/>
      <c r="N64" s="2333"/>
      <c r="O64" s="2338" t="s">
        <v>5031</v>
      </c>
      <c r="P64" s="2333"/>
      <c r="Q64" s="2333"/>
      <c r="R64" s="2339">
        <v>80252.17</v>
      </c>
      <c r="S64" s="2339"/>
      <c r="T64" s="2333"/>
      <c r="U64" s="2333"/>
      <c r="V64" s="2333"/>
      <c r="W64" s="2333"/>
      <c r="X64" s="2333"/>
      <c r="Y64" s="2333"/>
      <c r="Z64" s="2333"/>
      <c r="AA64" s="2333"/>
      <c r="AB64" s="2333"/>
      <c r="AC64" s="2333"/>
      <c r="AD64" s="2333"/>
      <c r="AE64" s="2333"/>
      <c r="AF64" s="2752" t="s">
        <v>6473</v>
      </c>
      <c r="AG64" s="2752"/>
      <c r="AH64" s="2333"/>
    </row>
    <row r="65" spans="1:34" ht="43.5" hidden="1">
      <c r="A65" s="2332">
        <v>44960</v>
      </c>
      <c r="B65" s="2332"/>
      <c r="C65" s="2333" t="s">
        <v>6474</v>
      </c>
      <c r="D65" s="2333"/>
      <c r="E65" s="2333" t="s">
        <v>4961</v>
      </c>
      <c r="F65" s="2333" t="s">
        <v>630</v>
      </c>
      <c r="G65" s="2333" t="s">
        <v>1315</v>
      </c>
      <c r="H65" s="2333" t="s">
        <v>1471</v>
      </c>
      <c r="I65" s="2333" t="s">
        <v>1170</v>
      </c>
      <c r="J65" s="2333" t="s">
        <v>6475</v>
      </c>
      <c r="K65" s="2333" t="s">
        <v>5403</v>
      </c>
      <c r="L65" s="2333"/>
      <c r="M65" s="2333"/>
      <c r="N65" s="2333"/>
      <c r="O65" s="2338" t="s">
        <v>5031</v>
      </c>
      <c r="P65" s="2333"/>
      <c r="Q65" s="2333"/>
      <c r="R65" s="2339">
        <v>92123.29</v>
      </c>
      <c r="S65" s="2339"/>
      <c r="T65" s="2333"/>
      <c r="U65" s="2333"/>
      <c r="V65" s="2333"/>
      <c r="W65" s="2333"/>
      <c r="X65" s="2333"/>
      <c r="Y65" s="2333"/>
      <c r="Z65" s="2333"/>
      <c r="AA65" s="2333"/>
      <c r="AB65" s="2333"/>
      <c r="AC65" s="2333"/>
      <c r="AD65" s="2333"/>
      <c r="AE65" s="2333"/>
      <c r="AF65" s="2752" t="s">
        <v>6476</v>
      </c>
      <c r="AG65" s="2752"/>
      <c r="AH65" s="2333"/>
    </row>
    <row r="66" spans="1:34" ht="43.5" hidden="1">
      <c r="A66" s="2332">
        <v>44960</v>
      </c>
      <c r="B66" s="2332"/>
      <c r="C66" s="2333" t="s">
        <v>6477</v>
      </c>
      <c r="D66" s="2333"/>
      <c r="E66" s="2333" t="s">
        <v>4961</v>
      </c>
      <c r="F66" s="2333" t="s">
        <v>1103</v>
      </c>
      <c r="G66" s="2333" t="s">
        <v>1342</v>
      </c>
      <c r="H66" s="2333" t="s">
        <v>4622</v>
      </c>
      <c r="I66" s="2333" t="s">
        <v>1170</v>
      </c>
      <c r="J66" s="2333" t="s">
        <v>6478</v>
      </c>
      <c r="K66" s="2333" t="s">
        <v>6479</v>
      </c>
      <c r="L66" s="2333"/>
      <c r="M66" s="2333"/>
      <c r="N66" s="2333"/>
      <c r="O66" s="2338" t="s">
        <v>6480</v>
      </c>
      <c r="P66" s="2333"/>
      <c r="Q66" s="2333"/>
      <c r="R66" s="2339">
        <v>105000</v>
      </c>
      <c r="S66" s="2339"/>
      <c r="T66" s="2333"/>
      <c r="U66" s="2333"/>
      <c r="V66" s="2333"/>
      <c r="W66" s="2333"/>
      <c r="X66" s="2333"/>
      <c r="Y66" s="2333"/>
      <c r="Z66" s="2333"/>
      <c r="AA66" s="2333"/>
      <c r="AB66" s="2333"/>
      <c r="AC66" s="2333"/>
      <c r="AD66" s="2333"/>
      <c r="AE66" s="2333"/>
      <c r="AF66" s="2752" t="s">
        <v>6086</v>
      </c>
      <c r="AG66" s="2752"/>
      <c r="AH66" s="2333"/>
    </row>
    <row r="67" spans="1:34" ht="29" hidden="1">
      <c r="A67" s="2332">
        <v>44960</v>
      </c>
      <c r="B67" s="2332"/>
      <c r="C67" s="2333" t="s">
        <v>6481</v>
      </c>
      <c r="D67" s="2333"/>
      <c r="E67" s="2333" t="s">
        <v>4961</v>
      </c>
      <c r="F67" s="2333" t="s">
        <v>361</v>
      </c>
      <c r="G67" s="2333" t="s">
        <v>4955</v>
      </c>
      <c r="H67" s="2333" t="s">
        <v>127</v>
      </c>
      <c r="I67" s="2333" t="s">
        <v>1170</v>
      </c>
      <c r="J67" s="2333" t="s">
        <v>5003</v>
      </c>
      <c r="K67" s="2333" t="s">
        <v>6482</v>
      </c>
      <c r="L67" s="2333"/>
      <c r="M67" s="2333"/>
      <c r="N67" s="2333"/>
      <c r="O67" s="2338" t="s">
        <v>5031</v>
      </c>
      <c r="P67" s="2333"/>
      <c r="Q67" s="2333"/>
      <c r="R67" s="2339">
        <v>220986.3</v>
      </c>
      <c r="S67" s="2339"/>
      <c r="T67" s="2333"/>
      <c r="U67" s="2333"/>
      <c r="V67" s="2333"/>
      <c r="W67" s="2333"/>
      <c r="X67" s="2333"/>
      <c r="Y67" s="2333"/>
      <c r="Z67" s="2333"/>
      <c r="AA67" s="2333"/>
      <c r="AB67" s="2333"/>
      <c r="AC67" s="2333"/>
      <c r="AD67" s="2333"/>
      <c r="AE67" s="2333"/>
      <c r="AF67" s="2752" t="s">
        <v>5034</v>
      </c>
      <c r="AG67" s="2752"/>
      <c r="AH67" s="2333"/>
    </row>
    <row r="68" spans="1:34" ht="43.5" hidden="1">
      <c r="A68" s="2317" t="s">
        <v>4941</v>
      </c>
      <c r="B68" s="2317"/>
      <c r="C68" s="2758" t="s">
        <v>6483</v>
      </c>
      <c r="D68" s="2758"/>
      <c r="E68" s="2758" t="s">
        <v>5021</v>
      </c>
      <c r="F68" s="2758" t="s">
        <v>630</v>
      </c>
      <c r="G68" s="2318" t="s">
        <v>1315</v>
      </c>
      <c r="H68" s="2758" t="s">
        <v>1471</v>
      </c>
      <c r="I68" s="2758">
        <v>1</v>
      </c>
      <c r="J68" s="2758" t="s">
        <v>6484</v>
      </c>
      <c r="K68" s="2758" t="s">
        <v>6485</v>
      </c>
      <c r="L68" s="2758"/>
      <c r="M68" s="2758"/>
      <c r="N68" s="2758"/>
      <c r="O68" s="2942">
        <v>45295</v>
      </c>
      <c r="P68" s="2751"/>
      <c r="Q68" s="2751"/>
      <c r="R68" s="2943">
        <v>363097</v>
      </c>
      <c r="S68" s="2943"/>
      <c r="T68" s="2931"/>
      <c r="U68" s="2931"/>
      <c r="V68" s="2751" t="s">
        <v>45</v>
      </c>
      <c r="W68" s="2751"/>
      <c r="X68" s="2751"/>
      <c r="Y68" s="2751" t="s">
        <v>6141</v>
      </c>
      <c r="Z68" s="2758"/>
      <c r="AA68" s="2758"/>
      <c r="AB68" s="2758"/>
      <c r="AC68" s="2758"/>
      <c r="AD68" s="2758"/>
      <c r="AE68" s="2758"/>
      <c r="AF68" s="2752" t="s">
        <v>6486</v>
      </c>
      <c r="AG68" s="2752"/>
      <c r="AH68" s="2931"/>
    </row>
    <row r="69" spans="1:34" ht="43.5" hidden="1">
      <c r="A69" s="2332">
        <v>44960</v>
      </c>
      <c r="B69" s="2332"/>
      <c r="C69" s="2333" t="s">
        <v>6487</v>
      </c>
      <c r="D69" s="2333"/>
      <c r="E69" s="2333" t="s">
        <v>4961</v>
      </c>
      <c r="F69" s="2758" t="s">
        <v>630</v>
      </c>
      <c r="G69" s="2318" t="s">
        <v>1315</v>
      </c>
      <c r="H69" s="2758" t="s">
        <v>279</v>
      </c>
      <c r="I69" s="2333" t="s">
        <v>1170</v>
      </c>
      <c r="J69" s="2333" t="s">
        <v>6488</v>
      </c>
      <c r="K69" s="2333" t="s">
        <v>6489</v>
      </c>
      <c r="L69" s="2333"/>
      <c r="M69" s="2333"/>
      <c r="N69" s="2333"/>
      <c r="O69" s="2338" t="s">
        <v>5031</v>
      </c>
      <c r="P69" s="2333"/>
      <c r="Q69" s="2333"/>
      <c r="R69" s="2339">
        <v>520219.18</v>
      </c>
      <c r="S69" s="2339"/>
      <c r="T69" s="2333"/>
      <c r="U69" s="2333"/>
      <c r="V69" s="2333"/>
      <c r="W69" s="2333"/>
      <c r="X69" s="2333"/>
      <c r="Y69" s="2333"/>
      <c r="Z69" s="2333"/>
      <c r="AA69" s="2333"/>
      <c r="AB69" s="2333"/>
      <c r="AC69" s="2333"/>
      <c r="AD69" s="2333"/>
      <c r="AE69" s="2333"/>
      <c r="AF69" s="2333" t="s">
        <v>6490</v>
      </c>
      <c r="AG69" s="2333"/>
      <c r="AH69" s="2333"/>
    </row>
    <row r="70" spans="1:34" ht="43.5" hidden="1">
      <c r="A70" s="2332">
        <v>44960</v>
      </c>
      <c r="B70" s="2332"/>
      <c r="C70" s="2333" t="s">
        <v>6491</v>
      </c>
      <c r="D70" s="2333"/>
      <c r="E70" s="2333" t="s">
        <v>4961</v>
      </c>
      <c r="F70" s="2333" t="s">
        <v>1170</v>
      </c>
      <c r="G70" s="2333"/>
      <c r="H70" s="2333" t="s">
        <v>33</v>
      </c>
      <c r="I70" s="2333" t="s">
        <v>1170</v>
      </c>
      <c r="J70" s="2333" t="s">
        <v>6492</v>
      </c>
      <c r="K70" s="2333" t="s">
        <v>6493</v>
      </c>
      <c r="L70" s="2333"/>
      <c r="M70" s="2333"/>
      <c r="N70" s="2333"/>
      <c r="O70" s="2338" t="s">
        <v>5031</v>
      </c>
      <c r="P70" s="2333"/>
      <c r="Q70" s="2333"/>
      <c r="R70" s="2339">
        <v>1092432.77</v>
      </c>
      <c r="S70" s="2339"/>
      <c r="T70" s="2333"/>
      <c r="U70" s="2333"/>
      <c r="V70" s="2333"/>
      <c r="W70" s="2333"/>
      <c r="X70" s="2333"/>
      <c r="Y70" s="2333"/>
      <c r="Z70" s="2333"/>
      <c r="AA70" s="2333"/>
      <c r="AB70" s="2333"/>
      <c r="AC70" s="2333"/>
      <c r="AD70" s="2333"/>
      <c r="AE70" s="2333"/>
      <c r="AF70" s="2752" t="s">
        <v>5034</v>
      </c>
      <c r="AG70" s="2752"/>
      <c r="AH70" s="2333"/>
    </row>
    <row r="71" spans="1:34" ht="43.5" hidden="1">
      <c r="A71" s="2317" t="s">
        <v>4941</v>
      </c>
      <c r="B71" s="2317"/>
      <c r="C71" s="2758" t="s">
        <v>6494</v>
      </c>
      <c r="D71" s="2758"/>
      <c r="E71" s="2758" t="s">
        <v>5021</v>
      </c>
      <c r="F71" s="2758" t="s">
        <v>630</v>
      </c>
      <c r="G71" s="2318" t="s">
        <v>1315</v>
      </c>
      <c r="H71" s="2758" t="s">
        <v>1471</v>
      </c>
      <c r="I71" s="2758">
        <v>1</v>
      </c>
      <c r="J71" s="2758" t="s">
        <v>6495</v>
      </c>
      <c r="K71" s="2758"/>
      <c r="L71" s="2758"/>
      <c r="M71" s="2758"/>
      <c r="N71" s="2758"/>
      <c r="O71" s="2942">
        <v>45295</v>
      </c>
      <c r="P71" s="2751"/>
      <c r="Q71" s="2751"/>
      <c r="R71" s="2943">
        <v>2500000</v>
      </c>
      <c r="S71" s="2943"/>
      <c r="T71" s="2931"/>
      <c r="U71" s="2931"/>
      <c r="V71" s="2751" t="s">
        <v>45</v>
      </c>
      <c r="W71" s="2751"/>
      <c r="X71" s="2751"/>
      <c r="Y71" s="2751" t="s">
        <v>6141</v>
      </c>
      <c r="Z71" s="2758"/>
      <c r="AA71" s="2758"/>
      <c r="AB71" s="2758"/>
      <c r="AC71" s="2758"/>
      <c r="AD71" s="2758"/>
      <c r="AE71" s="2758"/>
      <c r="AF71" s="2752" t="s">
        <v>6496</v>
      </c>
      <c r="AG71" s="2752"/>
      <c r="AH71" s="2931"/>
    </row>
    <row r="72" spans="1:34" ht="43.5" hidden="1">
      <c r="A72" s="2332">
        <v>44960</v>
      </c>
      <c r="B72" s="2332"/>
      <c r="C72" s="2333" t="s">
        <v>6497</v>
      </c>
      <c r="D72" s="2333"/>
      <c r="E72" s="2333" t="s">
        <v>4961</v>
      </c>
      <c r="F72" s="2758" t="s">
        <v>630</v>
      </c>
      <c r="G72" s="2318" t="s">
        <v>1315</v>
      </c>
      <c r="H72" s="2758" t="s">
        <v>4950</v>
      </c>
      <c r="I72" s="2333" t="s">
        <v>1170</v>
      </c>
      <c r="J72" s="2333" t="s">
        <v>6139</v>
      </c>
      <c r="K72" s="2758" t="s">
        <v>6140</v>
      </c>
      <c r="L72" s="2758"/>
      <c r="M72" s="2758"/>
      <c r="N72" s="2758"/>
      <c r="O72" s="2338">
        <v>49497</v>
      </c>
      <c r="P72" s="2333"/>
      <c r="Q72" s="2333"/>
      <c r="R72" s="2339">
        <v>60041095.890000001</v>
      </c>
      <c r="S72" s="2339"/>
      <c r="T72" s="2333"/>
      <c r="U72" s="2333"/>
      <c r="V72" s="2333"/>
      <c r="W72" s="2333"/>
      <c r="X72" s="2333"/>
      <c r="Y72" s="2333"/>
      <c r="Z72" s="2333"/>
      <c r="AA72" s="2333"/>
      <c r="AB72" s="2333"/>
      <c r="AC72" s="2333"/>
      <c r="AD72" s="2333"/>
      <c r="AE72" s="2333"/>
      <c r="AF72" s="2752" t="s">
        <v>6142</v>
      </c>
      <c r="AG72" s="2752"/>
      <c r="AH72" s="2333"/>
    </row>
    <row r="73" spans="1:34" ht="29" hidden="1">
      <c r="A73" s="2317" t="s">
        <v>4941</v>
      </c>
      <c r="B73" s="2317"/>
      <c r="C73" s="2318" t="s">
        <v>3334</v>
      </c>
      <c r="D73" s="2318"/>
      <c r="E73" s="2758" t="s">
        <v>4947</v>
      </c>
      <c r="F73" s="2318" t="s">
        <v>361</v>
      </c>
      <c r="G73" s="2318" t="s">
        <v>4943</v>
      </c>
      <c r="H73" s="2318" t="s">
        <v>4622</v>
      </c>
      <c r="I73" s="2318"/>
      <c r="J73" s="2318" t="s">
        <v>6498</v>
      </c>
      <c r="K73" s="2318"/>
      <c r="L73" s="2318"/>
      <c r="M73" s="2318"/>
      <c r="N73" s="2318"/>
      <c r="O73" s="2319" t="s">
        <v>45</v>
      </c>
      <c r="P73" s="2320"/>
      <c r="Q73" s="2320"/>
      <c r="R73" s="2944" t="s">
        <v>6499</v>
      </c>
      <c r="S73" s="2944"/>
      <c r="T73" s="2322"/>
      <c r="U73" s="2322"/>
      <c r="V73" s="2320" t="s">
        <v>4251</v>
      </c>
      <c r="W73" s="2320"/>
      <c r="X73" s="2320"/>
      <c r="Y73" s="2320"/>
      <c r="Z73" s="2318" t="s">
        <v>5610</v>
      </c>
      <c r="AA73" s="2318"/>
      <c r="AB73" s="2318"/>
      <c r="AC73" s="2318"/>
      <c r="AD73" s="2318"/>
      <c r="AE73" s="2318"/>
      <c r="AF73" s="2333" t="s">
        <v>6500</v>
      </c>
      <c r="AG73" s="2333"/>
      <c r="AH73" s="2322"/>
    </row>
    <row r="74" spans="1:34" ht="58" hidden="1">
      <c r="A74" s="2317" t="s">
        <v>4941</v>
      </c>
      <c r="B74" s="2317"/>
      <c r="C74" s="2318" t="s">
        <v>3334</v>
      </c>
      <c r="D74" s="2318"/>
      <c r="E74" s="2758" t="s">
        <v>4947</v>
      </c>
      <c r="F74" s="2318" t="s">
        <v>1067</v>
      </c>
      <c r="G74" s="2318" t="s">
        <v>862</v>
      </c>
      <c r="H74" s="2318" t="s">
        <v>4622</v>
      </c>
      <c r="I74" s="2318"/>
      <c r="J74" s="2318" t="s">
        <v>6501</v>
      </c>
      <c r="K74" s="2318"/>
      <c r="L74" s="2318"/>
      <c r="M74" s="2318"/>
      <c r="N74" s="2318"/>
      <c r="O74" s="2319" t="s">
        <v>3334</v>
      </c>
      <c r="P74" s="2320"/>
      <c r="Q74" s="2320"/>
      <c r="R74" s="2944" t="s">
        <v>6153</v>
      </c>
      <c r="S74" s="2944"/>
      <c r="T74" s="2322"/>
      <c r="U74" s="2322"/>
      <c r="V74" s="2320" t="s">
        <v>5020</v>
      </c>
      <c r="W74" s="2320"/>
      <c r="X74" s="2320"/>
      <c r="Y74" s="2320"/>
      <c r="Z74" s="2318" t="s">
        <v>5071</v>
      </c>
      <c r="AA74" s="2318" t="s">
        <v>5071</v>
      </c>
      <c r="AB74" s="2318"/>
      <c r="AC74" s="2318"/>
      <c r="AD74" s="2318"/>
      <c r="AE74" s="2318"/>
      <c r="AF74" s="2318"/>
      <c r="AG74" s="2318"/>
      <c r="AH74" s="2322"/>
    </row>
    <row r="75" spans="1:34" ht="58" hidden="1">
      <c r="A75" s="2317" t="s">
        <v>4941</v>
      </c>
      <c r="B75" s="2317"/>
      <c r="C75" s="2318" t="s">
        <v>45</v>
      </c>
      <c r="D75" s="2318"/>
      <c r="E75" s="2758" t="s">
        <v>4947</v>
      </c>
      <c r="F75" s="2318" t="s">
        <v>630</v>
      </c>
      <c r="G75" s="2318" t="s">
        <v>1315</v>
      </c>
      <c r="H75" s="2318" t="s">
        <v>1471</v>
      </c>
      <c r="I75" s="2318" t="s">
        <v>47</v>
      </c>
      <c r="J75" s="2318" t="s">
        <v>6502</v>
      </c>
      <c r="K75" s="2318"/>
      <c r="L75" s="2318"/>
      <c r="M75" s="2318"/>
      <c r="N75" s="2318"/>
      <c r="O75" s="2319" t="s">
        <v>45</v>
      </c>
      <c r="P75" s="2320" t="s">
        <v>1170</v>
      </c>
      <c r="Q75" s="2320" t="s">
        <v>1170</v>
      </c>
      <c r="R75" s="2944" t="s">
        <v>1170</v>
      </c>
      <c r="S75" s="2944"/>
      <c r="T75" s="2322">
        <v>60000</v>
      </c>
      <c r="U75" s="2322"/>
      <c r="V75" s="2320" t="s">
        <v>5020</v>
      </c>
      <c r="W75" s="2320"/>
      <c r="X75" s="2320"/>
      <c r="Y75" s="2320" t="s">
        <v>1170</v>
      </c>
      <c r="Z75" s="2318" t="s">
        <v>5411</v>
      </c>
      <c r="AA75" s="2318"/>
      <c r="AB75" s="2318" t="s">
        <v>115</v>
      </c>
      <c r="AC75" s="2318"/>
      <c r="AD75" s="2318"/>
      <c r="AE75" s="2318"/>
      <c r="AF75" s="2333" t="s">
        <v>6503</v>
      </c>
      <c r="AG75" s="2333"/>
      <c r="AH75" s="2322"/>
    </row>
    <row r="76" spans="1:34" ht="29" hidden="1">
      <c r="A76" s="2317" t="s">
        <v>4941</v>
      </c>
      <c r="B76" s="2317"/>
      <c r="C76" s="2758" t="s">
        <v>6504</v>
      </c>
      <c r="D76" s="2758"/>
      <c r="E76" s="2758" t="s">
        <v>4947</v>
      </c>
      <c r="F76" s="2758" t="s">
        <v>361</v>
      </c>
      <c r="G76" s="2758" t="s">
        <v>4955</v>
      </c>
      <c r="H76" s="2947" t="s">
        <v>5077</v>
      </c>
      <c r="I76" s="2758"/>
      <c r="J76" s="2758" t="s">
        <v>6505</v>
      </c>
      <c r="K76" s="2758"/>
      <c r="L76" s="2758"/>
      <c r="M76" s="2758"/>
      <c r="N76" s="2758"/>
      <c r="O76" s="2759">
        <v>45016</v>
      </c>
      <c r="P76" s="2751"/>
      <c r="Q76" s="2751"/>
      <c r="R76" s="2948">
        <v>35000000</v>
      </c>
      <c r="S76" s="2948"/>
      <c r="T76" s="2931"/>
      <c r="U76" s="2931"/>
      <c r="V76" s="2751" t="s">
        <v>45</v>
      </c>
      <c r="W76" s="2751"/>
      <c r="X76" s="2751"/>
      <c r="Y76" s="2751" t="s">
        <v>1210</v>
      </c>
      <c r="Z76" s="2758"/>
      <c r="AA76" s="2758"/>
      <c r="AB76" s="2758"/>
      <c r="AC76" s="2758"/>
      <c r="AD76" s="2758"/>
      <c r="AE76" s="2758"/>
      <c r="AF76" s="2752"/>
      <c r="AG76" s="2752"/>
      <c r="AH76" s="2931"/>
    </row>
    <row r="77" spans="1:34" ht="58" hidden="1">
      <c r="A77" s="2317" t="s">
        <v>4941</v>
      </c>
      <c r="B77" s="2317"/>
      <c r="C77" s="2758" t="s">
        <v>6506</v>
      </c>
      <c r="D77" s="2758"/>
      <c r="E77" s="2758" t="s">
        <v>4947</v>
      </c>
      <c r="F77" s="2758" t="s">
        <v>630</v>
      </c>
      <c r="G77" s="2758" t="s">
        <v>1315</v>
      </c>
      <c r="H77" s="2758" t="s">
        <v>1471</v>
      </c>
      <c r="I77" s="2758" t="s">
        <v>47</v>
      </c>
      <c r="J77" s="2758" t="s">
        <v>6507</v>
      </c>
      <c r="K77" s="2758" t="s">
        <v>6508</v>
      </c>
      <c r="L77" s="2758"/>
      <c r="M77" s="2758"/>
      <c r="N77" s="2758"/>
      <c r="O77" s="2759">
        <v>45473</v>
      </c>
      <c r="P77" s="2751"/>
      <c r="Q77" s="2751"/>
      <c r="R77" s="2944">
        <v>200000</v>
      </c>
      <c r="S77" s="2944"/>
      <c r="T77" s="2931"/>
      <c r="U77" s="2931"/>
      <c r="V77" s="2751" t="s">
        <v>45</v>
      </c>
      <c r="W77" s="2751"/>
      <c r="X77" s="2751"/>
      <c r="Y77" s="2751" t="s">
        <v>6509</v>
      </c>
      <c r="Z77" s="2758"/>
      <c r="AA77" s="2758"/>
      <c r="AB77" s="2758" t="s">
        <v>115</v>
      </c>
      <c r="AC77" s="2758"/>
      <c r="AD77" s="2758"/>
      <c r="AE77" s="2222">
        <v>45040</v>
      </c>
      <c r="AF77" s="2752" t="s">
        <v>6510</v>
      </c>
      <c r="AG77" s="2752"/>
      <c r="AH77" s="2931"/>
    </row>
    <row r="78" spans="1:34" ht="58" hidden="1">
      <c r="A78" s="2317" t="s">
        <v>4941</v>
      </c>
      <c r="B78" s="2317"/>
      <c r="C78" s="2758" t="s">
        <v>45</v>
      </c>
      <c r="D78" s="2758"/>
      <c r="E78" s="2758" t="s">
        <v>4947</v>
      </c>
      <c r="F78" s="2758" t="s">
        <v>630</v>
      </c>
      <c r="G78" s="2758" t="s">
        <v>1319</v>
      </c>
      <c r="H78" s="2758" t="s">
        <v>4946</v>
      </c>
      <c r="I78" s="2758" t="s">
        <v>47</v>
      </c>
      <c r="J78" s="2758" t="s">
        <v>6511</v>
      </c>
      <c r="K78" s="2758"/>
      <c r="L78" s="2758"/>
      <c r="M78" s="2758"/>
      <c r="N78" s="2758"/>
      <c r="O78" s="2759">
        <v>45413</v>
      </c>
      <c r="P78" s="2751"/>
      <c r="Q78" s="2751"/>
      <c r="R78" s="2944">
        <v>2000000</v>
      </c>
      <c r="S78" s="2944"/>
      <c r="T78" s="2931"/>
      <c r="U78" s="2931"/>
      <c r="V78" s="2751" t="s">
        <v>45</v>
      </c>
      <c r="W78" s="2751"/>
      <c r="X78" s="2751"/>
      <c r="Y78" s="2751" t="s">
        <v>1210</v>
      </c>
      <c r="Z78" s="2758"/>
      <c r="AA78" s="2758"/>
      <c r="AB78" s="2758" t="s">
        <v>115</v>
      </c>
      <c r="AC78" s="2758"/>
      <c r="AD78" s="2758"/>
      <c r="AE78" s="2758"/>
      <c r="AF78" s="2752"/>
      <c r="AG78" s="2752"/>
      <c r="AH78" s="2931"/>
    </row>
    <row r="79" spans="1:34" ht="43.5" hidden="1">
      <c r="A79" s="2317" t="s">
        <v>4941</v>
      </c>
      <c r="B79" s="2317"/>
      <c r="C79" s="2318" t="s">
        <v>6512</v>
      </c>
      <c r="D79" s="2318"/>
      <c r="E79" s="2758" t="s">
        <v>4942</v>
      </c>
      <c r="F79" s="2758" t="s">
        <v>630</v>
      </c>
      <c r="G79" s="2758" t="s">
        <v>1315</v>
      </c>
      <c r="H79" s="2318" t="s">
        <v>1471</v>
      </c>
      <c r="I79" s="2758"/>
      <c r="J79" s="2318" t="s">
        <v>6513</v>
      </c>
      <c r="K79" s="2318"/>
      <c r="L79" s="2318"/>
      <c r="M79" s="2318"/>
      <c r="N79" s="2318"/>
      <c r="O79" s="2319">
        <v>45303</v>
      </c>
      <c r="P79" s="2337">
        <v>48</v>
      </c>
      <c r="Q79" s="2320" t="s">
        <v>6514</v>
      </c>
      <c r="R79" s="463">
        <v>220000</v>
      </c>
      <c r="S79" s="463"/>
      <c r="T79" s="463">
        <v>55000</v>
      </c>
      <c r="U79" s="463"/>
      <c r="V79" s="2320"/>
      <c r="W79" s="2320"/>
      <c r="X79" s="2320"/>
      <c r="Y79" s="2320"/>
      <c r="Z79" s="2318" t="s">
        <v>5195</v>
      </c>
      <c r="AA79" s="2318" t="s">
        <v>5180</v>
      </c>
      <c r="AB79" s="2318" t="s">
        <v>727</v>
      </c>
      <c r="AC79" s="2318"/>
      <c r="AD79" s="2318"/>
      <c r="AE79" s="2318"/>
      <c r="AF79" s="54"/>
      <c r="AG79" s="54"/>
      <c r="AH79" s="463"/>
    </row>
    <row r="80" spans="1:34" ht="29" hidden="1">
      <c r="A80" s="2317" t="s">
        <v>4941</v>
      </c>
      <c r="B80" s="2317"/>
      <c r="C80" s="2758" t="s">
        <v>6515</v>
      </c>
      <c r="D80" s="2758"/>
      <c r="E80" s="2758" t="s">
        <v>4942</v>
      </c>
      <c r="F80" s="2758" t="s">
        <v>361</v>
      </c>
      <c r="G80" s="2758" t="s">
        <v>4955</v>
      </c>
      <c r="H80" s="2758" t="s">
        <v>33</v>
      </c>
      <c r="I80" s="2758" t="s">
        <v>34</v>
      </c>
      <c r="J80" s="2758" t="s">
        <v>6516</v>
      </c>
      <c r="K80" s="2758"/>
      <c r="L80" s="2758"/>
      <c r="M80" s="2758"/>
      <c r="N80" s="2758"/>
      <c r="O80" s="2759">
        <v>45218</v>
      </c>
      <c r="P80" s="2751">
        <v>60</v>
      </c>
      <c r="Q80" s="2751"/>
      <c r="R80" s="2945">
        <v>43650</v>
      </c>
      <c r="S80" s="2945"/>
      <c r="T80" s="2866">
        <v>8730</v>
      </c>
      <c r="U80" s="2866"/>
      <c r="V80" s="2751" t="s">
        <v>45</v>
      </c>
      <c r="W80" s="2751"/>
      <c r="X80" s="2751"/>
      <c r="Y80" s="2751" t="s">
        <v>1210</v>
      </c>
      <c r="Z80" s="2758"/>
      <c r="AA80" s="2758"/>
      <c r="AB80" s="2758" t="s">
        <v>6517</v>
      </c>
      <c r="AC80" s="2758"/>
      <c r="AD80" s="2758"/>
      <c r="AE80" s="2758"/>
      <c r="AF80" s="2752"/>
      <c r="AG80" s="2752"/>
      <c r="AH80" s="2866"/>
    </row>
    <row r="81" spans="1:34" ht="43.5" hidden="1">
      <c r="A81" s="2317" t="s">
        <v>4941</v>
      </c>
      <c r="B81" s="2317"/>
      <c r="C81" s="2758" t="s">
        <v>6518</v>
      </c>
      <c r="D81" s="2758"/>
      <c r="E81" s="2758" t="s">
        <v>4942</v>
      </c>
      <c r="F81" s="2758" t="s">
        <v>361</v>
      </c>
      <c r="G81" s="2758" t="s">
        <v>4943</v>
      </c>
      <c r="H81" s="2758" t="s">
        <v>4949</v>
      </c>
      <c r="I81" s="2758"/>
      <c r="J81" s="2758" t="s">
        <v>6519</v>
      </c>
      <c r="K81" s="2758"/>
      <c r="L81" s="2758"/>
      <c r="M81" s="2758"/>
      <c r="N81" s="2758"/>
      <c r="O81" s="2759">
        <v>45138</v>
      </c>
      <c r="P81" s="2751" t="s">
        <v>5087</v>
      </c>
      <c r="Q81" s="2751"/>
      <c r="R81" s="2945">
        <v>52825</v>
      </c>
      <c r="S81" s="2945"/>
      <c r="T81" s="2866"/>
      <c r="U81" s="2866"/>
      <c r="V81" s="2751" t="s">
        <v>45</v>
      </c>
      <c r="W81" s="2751"/>
      <c r="X81" s="2751"/>
      <c r="Y81" s="2751" t="s">
        <v>6520</v>
      </c>
      <c r="Z81" s="2758" t="s">
        <v>4951</v>
      </c>
      <c r="AA81" s="2758"/>
      <c r="AB81" s="2758" t="s">
        <v>727</v>
      </c>
      <c r="AC81" s="2758"/>
      <c r="AD81" s="2758"/>
      <c r="AE81" s="2758"/>
      <c r="AF81" s="2752" t="s">
        <v>6521</v>
      </c>
      <c r="AG81" s="2752"/>
      <c r="AH81" s="2866"/>
    </row>
    <row r="82" spans="1:34" ht="29" hidden="1">
      <c r="A82" s="2317" t="s">
        <v>4941</v>
      </c>
      <c r="B82" s="2317"/>
      <c r="C82" s="2758" t="s">
        <v>6522</v>
      </c>
      <c r="D82" s="2758"/>
      <c r="E82" s="2758" t="s">
        <v>4942</v>
      </c>
      <c r="F82" s="2758" t="s">
        <v>361</v>
      </c>
      <c r="G82" s="2758" t="s">
        <v>4943</v>
      </c>
      <c r="H82" s="2758" t="s">
        <v>4622</v>
      </c>
      <c r="I82" s="2758"/>
      <c r="J82" s="2758" t="s">
        <v>6523</v>
      </c>
      <c r="K82" s="2758"/>
      <c r="L82" s="2758"/>
      <c r="M82" s="2758"/>
      <c r="N82" s="2758"/>
      <c r="O82" s="2759">
        <v>45199</v>
      </c>
      <c r="P82" s="2751" t="s">
        <v>5087</v>
      </c>
      <c r="Q82" s="2751"/>
      <c r="R82" s="2945">
        <v>66666</v>
      </c>
      <c r="S82" s="2945"/>
      <c r="T82" s="2866">
        <v>220000</v>
      </c>
      <c r="U82" s="2866"/>
      <c r="V82" s="2751" t="s">
        <v>45</v>
      </c>
      <c r="W82" s="2751"/>
      <c r="X82" s="2751"/>
      <c r="Y82" s="2751" t="s">
        <v>1210</v>
      </c>
      <c r="Z82" s="2758" t="s">
        <v>4951</v>
      </c>
      <c r="AA82" s="2758"/>
      <c r="AB82" s="2758" t="s">
        <v>594</v>
      </c>
      <c r="AC82" s="2758"/>
      <c r="AD82" s="2758"/>
      <c r="AE82" s="2758"/>
      <c r="AF82" s="2752"/>
      <c r="AG82" s="2752"/>
      <c r="AH82" s="2866"/>
    </row>
    <row r="83" spans="1:34" ht="29" hidden="1">
      <c r="A83" s="2317">
        <v>44713</v>
      </c>
      <c r="B83" s="2317"/>
      <c r="C83" s="2318">
        <v>21631</v>
      </c>
      <c r="D83" s="2318"/>
      <c r="E83" s="2949" t="s">
        <v>4704</v>
      </c>
      <c r="F83" s="2758" t="s">
        <v>1270</v>
      </c>
      <c r="G83" s="2758" t="s">
        <v>569</v>
      </c>
      <c r="H83" s="2318" t="s">
        <v>33</v>
      </c>
      <c r="I83" s="2758" t="s">
        <v>34</v>
      </c>
      <c r="J83" s="2318" t="s">
        <v>6524</v>
      </c>
      <c r="K83" s="2318"/>
      <c r="L83" s="2318"/>
      <c r="M83" s="2318"/>
      <c r="N83" s="2318"/>
      <c r="O83" s="2319">
        <v>45748</v>
      </c>
      <c r="P83" s="2320">
        <v>60</v>
      </c>
      <c r="Q83" s="2320" t="s">
        <v>171</v>
      </c>
      <c r="R83" s="2322">
        <v>320000</v>
      </c>
      <c r="S83" s="2322"/>
      <c r="T83" s="463"/>
      <c r="U83" s="463"/>
      <c r="V83" s="2320" t="s">
        <v>34</v>
      </c>
      <c r="W83" s="2320"/>
      <c r="X83" s="2320"/>
      <c r="Y83" s="2320"/>
      <c r="Z83" s="2318" t="s">
        <v>45</v>
      </c>
      <c r="AA83" s="2318" t="s">
        <v>45</v>
      </c>
      <c r="AB83" s="2318"/>
      <c r="AC83" s="2318"/>
      <c r="AD83" s="2318"/>
      <c r="AE83" s="2318"/>
      <c r="AF83" s="2342" t="s">
        <v>6525</v>
      </c>
      <c r="AG83" s="2342"/>
      <c r="AH83" s="463"/>
    </row>
    <row r="84" spans="1:34" ht="43.5" hidden="1">
      <c r="A84" s="2317">
        <v>44713</v>
      </c>
      <c r="B84" s="2317"/>
      <c r="C84" s="2318">
        <v>21513</v>
      </c>
      <c r="D84" s="2318"/>
      <c r="E84" s="2949" t="s">
        <v>4704</v>
      </c>
      <c r="F84" s="2758" t="s">
        <v>361</v>
      </c>
      <c r="G84" s="2758" t="s">
        <v>4943</v>
      </c>
      <c r="H84" s="2318" t="s">
        <v>33</v>
      </c>
      <c r="I84" s="2758"/>
      <c r="J84" s="2318" t="s">
        <v>6434</v>
      </c>
      <c r="K84" s="2318"/>
      <c r="L84" s="2318"/>
      <c r="M84" s="2318"/>
      <c r="N84" s="2318"/>
      <c r="O84" s="2319">
        <v>45350</v>
      </c>
      <c r="P84" s="2320">
        <v>24</v>
      </c>
      <c r="Q84" s="2320">
        <v>24</v>
      </c>
      <c r="R84" s="2322">
        <v>330000</v>
      </c>
      <c r="S84" s="2322"/>
      <c r="T84" s="463"/>
      <c r="U84" s="463"/>
      <c r="V84" s="2320" t="s">
        <v>34</v>
      </c>
      <c r="W84" s="2320"/>
      <c r="X84" s="2320"/>
      <c r="Y84" s="2320"/>
      <c r="Z84" s="2318" t="s">
        <v>45</v>
      </c>
      <c r="AA84" s="2318" t="s">
        <v>45</v>
      </c>
      <c r="AB84" s="2318"/>
      <c r="AC84" s="2318"/>
      <c r="AD84" s="2318"/>
      <c r="AE84" s="2318"/>
      <c r="AF84" s="2342" t="s">
        <v>6526</v>
      </c>
      <c r="AG84" s="2342"/>
      <c r="AH84" s="463"/>
    </row>
    <row r="85" spans="1:34" ht="130.5" hidden="1">
      <c r="A85" s="2317" t="s">
        <v>4941</v>
      </c>
      <c r="B85" s="2317"/>
      <c r="C85" s="2758" t="s">
        <v>6527</v>
      </c>
      <c r="D85" s="2758"/>
      <c r="E85" s="2758" t="s">
        <v>4704</v>
      </c>
      <c r="F85" s="2758" t="s">
        <v>1270</v>
      </c>
      <c r="G85" s="2758" t="s">
        <v>569</v>
      </c>
      <c r="H85" s="2318" t="s">
        <v>33</v>
      </c>
      <c r="I85" s="2758"/>
      <c r="J85" s="2758" t="s">
        <v>6528</v>
      </c>
      <c r="K85" s="2758"/>
      <c r="L85" s="2758"/>
      <c r="M85" s="2758"/>
      <c r="N85" s="2758"/>
      <c r="O85" s="2759">
        <v>45748</v>
      </c>
      <c r="P85" s="2751"/>
      <c r="Q85" s="2751"/>
      <c r="R85" s="2945">
        <v>220000</v>
      </c>
      <c r="S85" s="2945"/>
      <c r="T85" s="2931"/>
      <c r="U85" s="2931"/>
      <c r="V85" s="2751" t="s">
        <v>45</v>
      </c>
      <c r="W85" s="2751"/>
      <c r="X85" s="2751"/>
      <c r="Y85" s="2751" t="s">
        <v>6529</v>
      </c>
      <c r="Z85" s="2758"/>
      <c r="AA85" s="2758" t="s">
        <v>1633</v>
      </c>
      <c r="AB85" s="2758"/>
      <c r="AC85" s="2758"/>
      <c r="AD85" s="2758"/>
      <c r="AE85" s="2758"/>
      <c r="AF85" s="2344" t="s">
        <v>6530</v>
      </c>
      <c r="AG85" s="2344"/>
      <c r="AH85" s="2931"/>
    </row>
    <row r="86" spans="1:34" ht="101.5" hidden="1">
      <c r="A86" s="2317" t="s">
        <v>4941</v>
      </c>
      <c r="B86" s="2317"/>
      <c r="C86" s="2758" t="s">
        <v>6531</v>
      </c>
      <c r="D86" s="2758"/>
      <c r="E86" s="2758" t="s">
        <v>4704</v>
      </c>
      <c r="F86" s="2758" t="s">
        <v>1270</v>
      </c>
      <c r="G86" s="2758" t="s">
        <v>569</v>
      </c>
      <c r="H86" s="2758" t="s">
        <v>33</v>
      </c>
      <c r="I86" s="2758" t="s">
        <v>47</v>
      </c>
      <c r="J86" s="2758" t="s">
        <v>6532</v>
      </c>
      <c r="K86" s="2758"/>
      <c r="L86" s="2758"/>
      <c r="M86" s="2758"/>
      <c r="N86" s="2758"/>
      <c r="O86" s="2759">
        <v>45747</v>
      </c>
      <c r="P86" s="2751"/>
      <c r="Q86" s="2751"/>
      <c r="R86" s="2945">
        <v>126285.7</v>
      </c>
      <c r="S86" s="2945"/>
      <c r="T86" s="2931"/>
      <c r="U86" s="2931"/>
      <c r="V86" s="2751" t="s">
        <v>45</v>
      </c>
      <c r="W86" s="2751"/>
      <c r="X86" s="2751"/>
      <c r="Y86" s="2751" t="s">
        <v>6533</v>
      </c>
      <c r="Z86" s="2758"/>
      <c r="AA86" s="2758" t="s">
        <v>6183</v>
      </c>
      <c r="AB86" s="2758"/>
      <c r="AC86" s="2758"/>
      <c r="AD86" s="2758"/>
      <c r="AE86" s="2758"/>
      <c r="AF86" s="2344" t="s">
        <v>6534</v>
      </c>
      <c r="AG86" s="2344"/>
      <c r="AH86" s="2931"/>
    </row>
    <row r="87" spans="1:34" ht="43.5" hidden="1">
      <c r="A87" s="2317" t="s">
        <v>4941</v>
      </c>
      <c r="B87" s="2317"/>
      <c r="C87" s="2758" t="s">
        <v>6535</v>
      </c>
      <c r="D87" s="2758"/>
      <c r="E87" s="2758" t="s">
        <v>4704</v>
      </c>
      <c r="F87" s="2758" t="s">
        <v>361</v>
      </c>
      <c r="G87" s="2758" t="s">
        <v>569</v>
      </c>
      <c r="H87" s="2758" t="s">
        <v>33</v>
      </c>
      <c r="I87" s="2758" t="s">
        <v>47</v>
      </c>
      <c r="J87" s="2758" t="s">
        <v>6536</v>
      </c>
      <c r="K87" s="2758"/>
      <c r="L87" s="2758"/>
      <c r="M87" s="2758"/>
      <c r="N87" s="2758"/>
      <c r="O87" s="2759">
        <v>44895</v>
      </c>
      <c r="P87" s="2751"/>
      <c r="Q87" s="2751"/>
      <c r="R87" s="2945">
        <v>140252</v>
      </c>
      <c r="S87" s="2945"/>
      <c r="T87" s="2931">
        <v>15000</v>
      </c>
      <c r="U87" s="2931"/>
      <c r="V87" s="2751" t="s">
        <v>45</v>
      </c>
      <c r="W87" s="2751"/>
      <c r="X87" s="2751"/>
      <c r="Y87" s="2751" t="s">
        <v>6537</v>
      </c>
      <c r="Z87" s="2758"/>
      <c r="AA87" s="2758" t="s">
        <v>4944</v>
      </c>
      <c r="AB87" s="2758"/>
      <c r="AC87" s="2758"/>
      <c r="AD87" s="2758"/>
      <c r="AE87" s="2758"/>
      <c r="AF87" s="2344" t="s">
        <v>6538</v>
      </c>
      <c r="AG87" s="2344"/>
      <c r="AH87" s="2931"/>
    </row>
    <row r="88" spans="1:34" s="906" customFormat="1" ht="26" hidden="1">
      <c r="A88" s="1444" t="s">
        <v>1170</v>
      </c>
      <c r="B88" s="1629" t="s">
        <v>44</v>
      </c>
      <c r="C88" s="1630" t="s">
        <v>1170</v>
      </c>
      <c r="D88" s="1630" t="s">
        <v>502</v>
      </c>
      <c r="E88" s="1631" t="s">
        <v>1341</v>
      </c>
      <c r="F88" s="1630" t="s">
        <v>1067</v>
      </c>
      <c r="G88" s="1490" t="s">
        <v>502</v>
      </c>
      <c r="H88" s="2270" t="s">
        <v>514</v>
      </c>
      <c r="I88" s="1631" t="s">
        <v>47</v>
      </c>
      <c r="J88" s="1444" t="s">
        <v>6539</v>
      </c>
      <c r="K88" s="2272" t="s">
        <v>6540</v>
      </c>
      <c r="L88" s="1447" t="s">
        <v>1170</v>
      </c>
      <c r="M88" s="2223" t="s">
        <v>1170</v>
      </c>
      <c r="N88" s="1447" t="s">
        <v>1170</v>
      </c>
      <c r="O88" s="1635">
        <v>45108</v>
      </c>
      <c r="P88" s="1631" t="s">
        <v>1170</v>
      </c>
      <c r="Q88" s="1631" t="s">
        <v>1170</v>
      </c>
      <c r="R88" s="1636">
        <v>2700</v>
      </c>
      <c r="S88" s="2372">
        <f>SUM(R88*20%)+R88</f>
        <v>3240</v>
      </c>
      <c r="T88" s="1447" t="s">
        <v>1170</v>
      </c>
      <c r="U88" s="1447"/>
      <c r="V88" s="1631" t="e">
        <v>#REF!</v>
      </c>
      <c r="W88" s="1631" t="s">
        <v>1170</v>
      </c>
      <c r="X88" s="1631" t="s">
        <v>1170</v>
      </c>
      <c r="Y88" s="1629"/>
      <c r="Z88" s="2272" t="s">
        <v>4984</v>
      </c>
      <c r="AA88" s="1631" t="s">
        <v>1170</v>
      </c>
      <c r="AB88" s="1631" t="s">
        <v>1170</v>
      </c>
      <c r="AC88" s="1631" t="s">
        <v>1170</v>
      </c>
      <c r="AD88" s="1631" t="s">
        <v>1170</v>
      </c>
      <c r="AE88" s="2222" t="s">
        <v>1170</v>
      </c>
      <c r="AF88" s="2378" t="s">
        <v>1170</v>
      </c>
      <c r="AG88" s="2223" t="s">
        <v>1170</v>
      </c>
      <c r="AH88" s="1376" t="str">
        <f ca="1">IFERROR(TODAY()-AE88,"N/A")</f>
        <v>N/A</v>
      </c>
    </row>
    <row r="89" spans="1:34" s="1082" customFormat="1" ht="87" hidden="1">
      <c r="A89" s="2326" t="s">
        <v>4941</v>
      </c>
      <c r="B89" s="2326"/>
      <c r="C89" s="2327" t="s">
        <v>238</v>
      </c>
      <c r="D89" s="2327"/>
      <c r="E89" s="2327" t="s">
        <v>4952</v>
      </c>
      <c r="F89" s="2327" t="s">
        <v>1067</v>
      </c>
      <c r="G89" s="2327" t="s">
        <v>502</v>
      </c>
      <c r="H89" s="2327" t="s">
        <v>514</v>
      </c>
      <c r="I89" s="2327" t="s">
        <v>47</v>
      </c>
      <c r="J89" s="2327" t="s">
        <v>6541</v>
      </c>
      <c r="K89" s="2327"/>
      <c r="L89" s="2327"/>
      <c r="M89" s="2327"/>
      <c r="N89" s="2327"/>
      <c r="O89" s="2328">
        <v>43008</v>
      </c>
      <c r="P89" s="2329" t="s">
        <v>1170</v>
      </c>
      <c r="Q89" s="2329" t="s">
        <v>1170</v>
      </c>
      <c r="R89" s="2330">
        <v>17636</v>
      </c>
      <c r="S89" s="2330"/>
      <c r="T89" s="2331"/>
      <c r="U89" s="2331"/>
      <c r="V89" s="2329" t="s">
        <v>45</v>
      </c>
      <c r="W89" s="2329"/>
      <c r="X89" s="2329"/>
      <c r="Y89" s="2329" t="s">
        <v>6542</v>
      </c>
      <c r="Z89" s="2327" t="s">
        <v>6543</v>
      </c>
      <c r="AA89" s="2327" t="s">
        <v>1170</v>
      </c>
      <c r="AB89" s="2327" t="s">
        <v>1170</v>
      </c>
      <c r="AC89" s="2327"/>
      <c r="AD89" s="2327"/>
      <c r="AE89" s="2327"/>
      <c r="AF89" s="2398" t="s">
        <v>6544</v>
      </c>
      <c r="AG89" s="2398"/>
      <c r="AH89" s="2331"/>
    </row>
    <row r="90" spans="1:34" s="906" customFormat="1" ht="39" hidden="1">
      <c r="A90" s="2373">
        <v>44974</v>
      </c>
      <c r="B90" s="2301" t="s">
        <v>100</v>
      </c>
      <c r="C90" s="876" t="s">
        <v>45</v>
      </c>
      <c r="D90" s="2171" t="s">
        <v>1192</v>
      </c>
      <c r="E90" s="773" t="s">
        <v>1168</v>
      </c>
      <c r="F90" s="2075" t="s">
        <v>1270</v>
      </c>
      <c r="G90" s="2193" t="s">
        <v>4945</v>
      </c>
      <c r="H90" s="2172" t="s">
        <v>4995</v>
      </c>
      <c r="I90" s="876" t="s">
        <v>1170</v>
      </c>
      <c r="J90" s="2375" t="s">
        <v>4595</v>
      </c>
      <c r="K90" s="876" t="s">
        <v>4596</v>
      </c>
      <c r="L90" s="2375" t="s">
        <v>1170</v>
      </c>
      <c r="M90" s="2375" t="s">
        <v>1170</v>
      </c>
      <c r="N90" s="2375" t="s">
        <v>1170</v>
      </c>
      <c r="O90" s="2376">
        <v>45352</v>
      </c>
      <c r="P90" s="722">
        <v>36</v>
      </c>
      <c r="Q90" s="773" t="s">
        <v>5007</v>
      </c>
      <c r="R90" s="2377">
        <v>30000</v>
      </c>
      <c r="S90" s="2372">
        <f>SUM(R90*20%)+R90</f>
        <v>36000</v>
      </c>
      <c r="T90" s="2380" t="s">
        <v>1170</v>
      </c>
      <c r="U90" s="2513"/>
      <c r="V90" s="755" t="s">
        <v>45</v>
      </c>
      <c r="W90" s="710" t="s">
        <v>45</v>
      </c>
      <c r="X90" s="710" t="s">
        <v>45</v>
      </c>
      <c r="Y90" s="710"/>
      <c r="Z90" s="707" t="s">
        <v>4598</v>
      </c>
      <c r="AA90" s="710" t="s">
        <v>45</v>
      </c>
      <c r="AB90" s="773" t="s">
        <v>1170</v>
      </c>
      <c r="AC90" s="876" t="s">
        <v>1170</v>
      </c>
      <c r="AD90" s="876" t="s">
        <v>1170</v>
      </c>
      <c r="AE90" s="2222">
        <v>44630</v>
      </c>
      <c r="AF90" s="2379" t="s">
        <v>6545</v>
      </c>
      <c r="AG90" s="2380" t="s">
        <v>1170</v>
      </c>
      <c r="AH90" s="1376">
        <f t="shared" ref="AH90:AH96" ca="1" si="1">IFERROR(TODAY()-AE90,"N/A")</f>
        <v>678</v>
      </c>
    </row>
    <row r="91" spans="1:34" s="906" customFormat="1" ht="104" hidden="1">
      <c r="A91" s="749">
        <v>44818</v>
      </c>
      <c r="B91" s="960" t="s">
        <v>56</v>
      </c>
      <c r="C91" s="722" t="s">
        <v>45</v>
      </c>
      <c r="D91" s="2454" t="s">
        <v>348</v>
      </c>
      <c r="E91" s="794" t="s">
        <v>449</v>
      </c>
      <c r="F91" s="739" t="s">
        <v>361</v>
      </c>
      <c r="G91" s="2188" t="s">
        <v>362</v>
      </c>
      <c r="H91" s="794"/>
      <c r="I91" s="723" t="s">
        <v>47</v>
      </c>
      <c r="J91" s="851" t="s">
        <v>6546</v>
      </c>
      <c r="K91" s="283" t="s">
        <v>6547</v>
      </c>
      <c r="L91" s="723" t="e">
        <f>IF(OR(V91=#REF!,V91=#REF!,V91=#REF!,V91=#REF!,V91=#REF!,V91=#REF!,V91=#REF!,V91=#REF!),12,IF(OR(V91=#REF!,V91=#REF!,V91=#REF!,V91=#REF!,V91=#REF!,V91=#REF!,V91=#REF!),3,IF(V91=#REF!,1,IF(V91=#REF!,18,IF(OR(V91=#REF!,V91=#REF!,V91=#REF!,V91=#REF!,V91=#REF!),14,"Invalid proposed procurement method")))))</f>
        <v>#REF!</v>
      </c>
      <c r="M91" s="792">
        <v>44866</v>
      </c>
      <c r="N91" s="2950"/>
      <c r="O91" s="1273">
        <v>45047</v>
      </c>
      <c r="P91" s="2951">
        <v>48</v>
      </c>
      <c r="Q91" s="2914" t="s">
        <v>60</v>
      </c>
      <c r="R91" s="742">
        <v>1176864.07</v>
      </c>
      <c r="S91" s="937">
        <f>SUM(R91*20%)+R91</f>
        <v>1412236.8840000001</v>
      </c>
      <c r="T91" s="283"/>
      <c r="U91" s="283"/>
      <c r="V91" s="2914" t="s">
        <v>176</v>
      </c>
      <c r="W91" s="2914" t="s">
        <v>589</v>
      </c>
      <c r="X91" s="2914" t="s">
        <v>589</v>
      </c>
      <c r="Y91" s="2765"/>
      <c r="Z91" s="794" t="s">
        <v>6548</v>
      </c>
      <c r="AA91" s="730" t="s">
        <v>784</v>
      </c>
      <c r="AB91" s="719" t="s">
        <v>115</v>
      </c>
      <c r="AC91" s="285" t="s">
        <v>154</v>
      </c>
      <c r="AD91" s="719" t="s">
        <v>70</v>
      </c>
      <c r="AE91" s="2222">
        <v>45035</v>
      </c>
      <c r="AF91" s="1427" t="s">
        <v>6549</v>
      </c>
      <c r="AG91" s="2787"/>
      <c r="AH91" s="1376">
        <f t="shared" ca="1" si="1"/>
        <v>273</v>
      </c>
    </row>
    <row r="92" spans="1:34" s="906" customFormat="1" ht="26" hidden="1">
      <c r="A92" s="2403">
        <v>44858</v>
      </c>
      <c r="B92" s="2437" t="s">
        <v>56</v>
      </c>
      <c r="C92" s="2410" t="s">
        <v>45</v>
      </c>
      <c r="D92" s="2405"/>
      <c r="E92" s="2440" t="s">
        <v>4704</v>
      </c>
      <c r="F92" s="2417" t="s">
        <v>630</v>
      </c>
      <c r="G92" s="2414" t="s">
        <v>362</v>
      </c>
      <c r="H92" s="2418"/>
      <c r="I92" s="2418"/>
      <c r="J92" s="2404" t="s">
        <v>6550</v>
      </c>
      <c r="K92" s="2404" t="s">
        <v>6551</v>
      </c>
      <c r="L92" s="2404"/>
      <c r="M92" s="2404"/>
      <c r="N92" s="2404"/>
      <c r="O92" s="2411">
        <v>44958</v>
      </c>
      <c r="P92" s="2423">
        <v>12</v>
      </c>
      <c r="Q92" s="2407">
        <v>12</v>
      </c>
      <c r="R92" s="2450">
        <v>70000</v>
      </c>
      <c r="S92" s="937">
        <f>IF(ISNUMBER(R92),SUM(R92*20%)+R92,"")</f>
        <v>84000</v>
      </c>
      <c r="T92" s="2408"/>
      <c r="U92" s="2508"/>
      <c r="V92" s="2439" t="s">
        <v>1346</v>
      </c>
      <c r="W92" s="2410"/>
      <c r="X92" s="2410"/>
      <c r="Y92" s="2410"/>
      <c r="Z92" s="2410"/>
      <c r="AA92" s="2410" t="s">
        <v>4948</v>
      </c>
      <c r="AB92" s="2410"/>
      <c r="AC92" s="2404"/>
      <c r="AD92" s="2404"/>
      <c r="AE92" s="2404"/>
      <c r="AF92" s="2462" t="s">
        <v>6552</v>
      </c>
      <c r="AG92" s="2412"/>
      <c r="AH92" s="1376">
        <f t="shared" ca="1" si="1"/>
        <v>45308</v>
      </c>
    </row>
    <row r="93" spans="1:34" s="906" customFormat="1" ht="26" hidden="1">
      <c r="A93" s="1566">
        <v>44974</v>
      </c>
      <c r="B93" s="1571" t="s">
        <v>44</v>
      </c>
      <c r="C93" s="1571" t="s">
        <v>45</v>
      </c>
      <c r="D93" s="1630" t="s">
        <v>1169</v>
      </c>
      <c r="E93" s="1571" t="s">
        <v>1168</v>
      </c>
      <c r="F93" s="1571" t="s">
        <v>361</v>
      </c>
      <c r="G93" s="1490" t="s">
        <v>1440</v>
      </c>
      <c r="H93" s="1630" t="s">
        <v>33</v>
      </c>
      <c r="I93" s="1571" t="s">
        <v>1170</v>
      </c>
      <c r="J93" s="2472" t="s">
        <v>1541</v>
      </c>
      <c r="K93" s="1571" t="s">
        <v>1105</v>
      </c>
      <c r="L93" s="1567" t="s">
        <v>1170</v>
      </c>
      <c r="M93" s="1567" t="s">
        <v>1170</v>
      </c>
      <c r="N93" s="1567" t="s">
        <v>1170</v>
      </c>
      <c r="O93" s="1573">
        <v>45017</v>
      </c>
      <c r="P93" s="1572" t="s">
        <v>4966</v>
      </c>
      <c r="Q93" s="1571" t="s">
        <v>589</v>
      </c>
      <c r="R93" s="930">
        <v>200000</v>
      </c>
      <c r="S93" s="937">
        <f>IF(ISNUMBER(R93),SUM(R93*20%)+R93,"")</f>
        <v>240000</v>
      </c>
      <c r="T93" s="1567" t="s">
        <v>1170</v>
      </c>
      <c r="U93" s="1567"/>
      <c r="V93" s="1572" t="s">
        <v>45</v>
      </c>
      <c r="W93" s="1571" t="s">
        <v>1170</v>
      </c>
      <c r="X93" s="1571" t="s">
        <v>1170</v>
      </c>
      <c r="Y93" s="1571"/>
      <c r="Z93" s="1575" t="s">
        <v>6400</v>
      </c>
      <c r="AA93" s="1571" t="s">
        <v>1170</v>
      </c>
      <c r="AB93" s="1571" t="s">
        <v>1170</v>
      </c>
      <c r="AC93" s="1571" t="s">
        <v>1170</v>
      </c>
      <c r="AD93" s="1571" t="s">
        <v>1170</v>
      </c>
      <c r="AE93" s="2222">
        <v>44952</v>
      </c>
      <c r="AF93" s="2216" t="s">
        <v>6553</v>
      </c>
      <c r="AG93" s="1567" t="s">
        <v>1170</v>
      </c>
      <c r="AH93" s="1376">
        <f t="shared" ca="1" si="1"/>
        <v>356</v>
      </c>
    </row>
    <row r="94" spans="1:34" s="906" customFormat="1" ht="117" hidden="1">
      <c r="A94" s="1566">
        <v>44974</v>
      </c>
      <c r="B94" s="1571" t="s">
        <v>44</v>
      </c>
      <c r="C94" s="1571" t="s">
        <v>45</v>
      </c>
      <c r="D94" s="1630" t="s">
        <v>1178</v>
      </c>
      <c r="E94" s="1571" t="s">
        <v>1168</v>
      </c>
      <c r="F94" s="1571" t="s">
        <v>361</v>
      </c>
      <c r="G94" s="1490" t="s">
        <v>569</v>
      </c>
      <c r="H94" s="2286" t="s">
        <v>33</v>
      </c>
      <c r="I94" s="1571" t="s">
        <v>1170</v>
      </c>
      <c r="J94" s="2472" t="s">
        <v>1496</v>
      </c>
      <c r="K94" s="1571" t="s">
        <v>5305</v>
      </c>
      <c r="L94" s="1567" t="s">
        <v>1170</v>
      </c>
      <c r="M94" s="1567" t="s">
        <v>1170</v>
      </c>
      <c r="N94" s="1567" t="s">
        <v>1170</v>
      </c>
      <c r="O94" s="1573">
        <v>45067</v>
      </c>
      <c r="P94" s="1572" t="s">
        <v>4966</v>
      </c>
      <c r="Q94" s="1571" t="s">
        <v>589</v>
      </c>
      <c r="R94" s="930">
        <v>54000</v>
      </c>
      <c r="S94" s="930">
        <f>IF(ISNUMBER(R94),SUM(R94*20%)+R94,"")</f>
        <v>64800</v>
      </c>
      <c r="T94" s="930">
        <v>54000</v>
      </c>
      <c r="U94" s="930"/>
      <c r="V94" s="1572" t="s">
        <v>45</v>
      </c>
      <c r="W94" s="1571" t="s">
        <v>1170</v>
      </c>
      <c r="X94" s="1571" t="s">
        <v>1170</v>
      </c>
      <c r="Y94" s="1571"/>
      <c r="Z94" s="1575" t="s">
        <v>1190</v>
      </c>
      <c r="AA94" s="1571" t="s">
        <v>1170</v>
      </c>
      <c r="AB94" s="1571" t="s">
        <v>1170</v>
      </c>
      <c r="AC94" s="1571" t="s">
        <v>1170</v>
      </c>
      <c r="AD94" s="1571" t="s">
        <v>1170</v>
      </c>
      <c r="AE94" s="2222">
        <v>44883</v>
      </c>
      <c r="AF94" s="2216" t="s">
        <v>6554</v>
      </c>
      <c r="AG94" s="2205" t="s">
        <v>1170</v>
      </c>
      <c r="AH94" s="1376">
        <f t="shared" ca="1" si="1"/>
        <v>425</v>
      </c>
    </row>
    <row r="95" spans="1:34" s="906" customFormat="1" ht="52" hidden="1">
      <c r="A95" s="1566">
        <v>44974</v>
      </c>
      <c r="B95" s="1571" t="s">
        <v>56</v>
      </c>
      <c r="C95" s="1571" t="s">
        <v>45</v>
      </c>
      <c r="D95" s="1630" t="s">
        <v>1254</v>
      </c>
      <c r="E95" s="1571" t="s">
        <v>1168</v>
      </c>
      <c r="F95" s="1571" t="s">
        <v>630</v>
      </c>
      <c r="G95" s="1490" t="s">
        <v>1315</v>
      </c>
      <c r="H95" s="1630" t="s">
        <v>4946</v>
      </c>
      <c r="I95" s="1571" t="s">
        <v>1170</v>
      </c>
      <c r="J95" s="2472" t="s">
        <v>6555</v>
      </c>
      <c r="K95" s="1571" t="s">
        <v>589</v>
      </c>
      <c r="L95" s="1567" t="s">
        <v>1170</v>
      </c>
      <c r="M95" s="1567" t="s">
        <v>1170</v>
      </c>
      <c r="N95" s="1567" t="s">
        <v>1170</v>
      </c>
      <c r="O95" s="1572" t="s">
        <v>45</v>
      </c>
      <c r="P95" s="1575" t="s">
        <v>45</v>
      </c>
      <c r="Q95" s="1571" t="s">
        <v>45</v>
      </c>
      <c r="R95" s="1574">
        <v>95000</v>
      </c>
      <c r="S95" s="937">
        <f>IF(ISNUMBER(R95),SUM(R95*20%)+R95,"")</f>
        <v>114000</v>
      </c>
      <c r="T95" s="1567" t="s">
        <v>1170</v>
      </c>
      <c r="U95" s="1567"/>
      <c r="V95" s="1572" t="s">
        <v>45</v>
      </c>
      <c r="W95" s="1571" t="s">
        <v>1170</v>
      </c>
      <c r="X95" s="1571" t="s">
        <v>1170</v>
      </c>
      <c r="Y95" s="1571"/>
      <c r="Z95" s="1630" t="s">
        <v>6556</v>
      </c>
      <c r="AA95" s="1571" t="s">
        <v>1170</v>
      </c>
      <c r="AB95" s="1571" t="s">
        <v>1170</v>
      </c>
      <c r="AC95" s="1571" t="s">
        <v>1170</v>
      </c>
      <c r="AD95" s="1571" t="s">
        <v>1170</v>
      </c>
      <c r="AE95" s="2222">
        <v>44914</v>
      </c>
      <c r="AF95" s="2216" t="s">
        <v>6557</v>
      </c>
      <c r="AG95" s="1567" t="s">
        <v>1170</v>
      </c>
      <c r="AH95" s="1376">
        <f t="shared" ca="1" si="1"/>
        <v>394</v>
      </c>
    </row>
    <row r="96" spans="1:34" s="2323" customFormat="1" ht="65" hidden="1">
      <c r="A96" s="2428" t="s">
        <v>4941</v>
      </c>
      <c r="B96" s="2428" t="s">
        <v>44</v>
      </c>
      <c r="C96" s="2418" t="s">
        <v>5477</v>
      </c>
      <c r="D96" s="2418" t="s">
        <v>1551</v>
      </c>
      <c r="E96" s="2418" t="s">
        <v>4704</v>
      </c>
      <c r="F96" s="2418" t="s">
        <v>630</v>
      </c>
      <c r="G96" s="2418" t="s">
        <v>569</v>
      </c>
      <c r="H96" s="2418" t="s">
        <v>33</v>
      </c>
      <c r="I96" s="2418"/>
      <c r="J96" s="2406" t="s">
        <v>5478</v>
      </c>
      <c r="K96" s="2418"/>
      <c r="L96" s="2418"/>
      <c r="M96" s="2418"/>
      <c r="N96" s="2418"/>
      <c r="O96" s="2421">
        <v>45903</v>
      </c>
      <c r="P96" s="2418"/>
      <c r="Q96" s="2418"/>
      <c r="R96" s="772">
        <v>270000</v>
      </c>
      <c r="S96" s="937">
        <f>IF(ISNUMBER(R96),SUM(R96*20%)+R96,"")</f>
        <v>324000</v>
      </c>
      <c r="T96" s="2436"/>
      <c r="U96" s="2436"/>
      <c r="V96" s="2418" t="s">
        <v>45</v>
      </c>
      <c r="W96" s="2418"/>
      <c r="X96" s="2418"/>
      <c r="Y96" s="2418" t="s">
        <v>1210</v>
      </c>
      <c r="Z96" s="2418"/>
      <c r="AA96" s="2418" t="s">
        <v>6558</v>
      </c>
      <c r="AB96" s="2418"/>
      <c r="AC96" s="2418"/>
      <c r="AD96" s="2418"/>
      <c r="AE96" s="2406"/>
      <c r="AF96" s="1607" t="s">
        <v>6559</v>
      </c>
      <c r="AG96" s="1607"/>
      <c r="AH96" s="1376">
        <f t="shared" ca="1" si="1"/>
        <v>45308</v>
      </c>
    </row>
    <row r="97" spans="1:36" s="2323" customFormat="1" ht="39">
      <c r="A97" s="2428" t="s">
        <v>4941</v>
      </c>
      <c r="B97" s="2428" t="s">
        <v>56</v>
      </c>
      <c r="C97" s="2418" t="s">
        <v>6560</v>
      </c>
      <c r="D97" s="2418" t="s">
        <v>1551</v>
      </c>
      <c r="E97" s="2418" t="s">
        <v>4704</v>
      </c>
      <c r="F97" s="2418" t="s">
        <v>630</v>
      </c>
      <c r="G97" s="2418" t="s">
        <v>1360</v>
      </c>
      <c r="H97" s="2418" t="s">
        <v>4962</v>
      </c>
      <c r="I97" s="2417"/>
      <c r="J97" s="2406" t="s">
        <v>6424</v>
      </c>
      <c r="K97" s="2418"/>
      <c r="L97" s="2418"/>
      <c r="M97" s="2417"/>
      <c r="N97" s="2417"/>
      <c r="O97" s="2421">
        <v>44681</v>
      </c>
      <c r="P97" s="2418"/>
      <c r="Q97" s="2418"/>
      <c r="R97" s="772">
        <v>239000</v>
      </c>
      <c r="S97" s="937">
        <f t="shared" ref="S97:S102" si="2">IF(ISNUMBER(R97),SUM(R97*20%)+R97,"")</f>
        <v>286800</v>
      </c>
      <c r="T97" s="2436"/>
      <c r="U97" s="744" t="s">
        <v>45</v>
      </c>
      <c r="V97" s="2418" t="s">
        <v>45</v>
      </c>
      <c r="W97" s="2418"/>
      <c r="X97" s="2418"/>
      <c r="Y97" s="2418" t="s">
        <v>3335</v>
      </c>
      <c r="Z97" s="2418" t="s">
        <v>6561</v>
      </c>
      <c r="AA97" s="2418" t="s">
        <v>45</v>
      </c>
      <c r="AB97" s="2418"/>
      <c r="AC97" s="2418"/>
      <c r="AD97" s="2418"/>
      <c r="AE97" s="2406"/>
      <c r="AF97" s="1607" t="s">
        <v>6562</v>
      </c>
      <c r="AG97" s="1607"/>
      <c r="AH97" s="1376">
        <f t="shared" ref="AH97:AH102" ca="1" si="3">IFERROR(TODAY()-AE97,"N/A")</f>
        <v>45308</v>
      </c>
    </row>
    <row r="98" spans="1:36" s="2323" customFormat="1" ht="39">
      <c r="A98" s="2428" t="s">
        <v>4941</v>
      </c>
      <c r="B98" s="2428" t="s">
        <v>44</v>
      </c>
      <c r="C98" s="2410"/>
      <c r="D98" s="2410" t="s">
        <v>1551</v>
      </c>
      <c r="E98" s="2418" t="s">
        <v>4942</v>
      </c>
      <c r="F98" s="2418" t="s">
        <v>1270</v>
      </c>
      <c r="G98" s="2418" t="s">
        <v>4981</v>
      </c>
      <c r="H98" s="2410" t="s">
        <v>4982</v>
      </c>
      <c r="I98" s="2418"/>
      <c r="J98" s="2404" t="s">
        <v>6563</v>
      </c>
      <c r="K98" s="2410"/>
      <c r="L98" s="2410"/>
      <c r="M98" s="2410"/>
      <c r="N98" s="2410"/>
      <c r="O98" s="2411" t="s">
        <v>5588</v>
      </c>
      <c r="P98" s="2410"/>
      <c r="Q98" s="2448" t="s">
        <v>6564</v>
      </c>
      <c r="R98" s="2431"/>
      <c r="S98" s="937" t="str">
        <f t="shared" si="2"/>
        <v/>
      </c>
      <c r="T98" s="2431"/>
      <c r="U98" s="2475" t="s">
        <v>45</v>
      </c>
      <c r="V98" s="1632" t="s">
        <v>45</v>
      </c>
      <c r="W98" s="2410"/>
      <c r="X98" s="2410"/>
      <c r="Y98" s="2410"/>
      <c r="Z98" s="2410" t="s">
        <v>5041</v>
      </c>
      <c r="AA98" s="2410" t="s">
        <v>5042</v>
      </c>
      <c r="AB98" s="2410" t="s">
        <v>594</v>
      </c>
      <c r="AC98" s="2410"/>
      <c r="AD98" s="2410"/>
      <c r="AE98" s="2404"/>
      <c r="AF98" s="2427"/>
      <c r="AG98" s="2427"/>
      <c r="AH98" s="1376">
        <f t="shared" ca="1" si="3"/>
        <v>45308</v>
      </c>
    </row>
    <row r="99" spans="1:36" s="2323" customFormat="1" ht="26">
      <c r="A99" s="2428" t="s">
        <v>4941</v>
      </c>
      <c r="B99" s="2428" t="s">
        <v>44</v>
      </c>
      <c r="C99" s="2410"/>
      <c r="D99" s="2410" t="s">
        <v>1551</v>
      </c>
      <c r="E99" s="2418" t="s">
        <v>4942</v>
      </c>
      <c r="F99" s="2418" t="s">
        <v>361</v>
      </c>
      <c r="G99" s="2418" t="s">
        <v>1406</v>
      </c>
      <c r="H99" s="2410" t="s">
        <v>33</v>
      </c>
      <c r="I99" s="2418"/>
      <c r="J99" s="2404" t="s">
        <v>6565</v>
      </c>
      <c r="K99" s="2410"/>
      <c r="L99" s="2410"/>
      <c r="M99" s="2410"/>
      <c r="N99" s="2410"/>
      <c r="O99" s="2411" t="s">
        <v>5588</v>
      </c>
      <c r="P99" s="2410"/>
      <c r="Q99" s="2448" t="s">
        <v>6566</v>
      </c>
      <c r="R99" s="2431"/>
      <c r="S99" s="937" t="str">
        <f t="shared" si="2"/>
        <v/>
      </c>
      <c r="T99" s="2431"/>
      <c r="U99" s="2475" t="s">
        <v>45</v>
      </c>
      <c r="V99" s="1632" t="s">
        <v>45</v>
      </c>
      <c r="W99" s="2410"/>
      <c r="X99" s="2410"/>
      <c r="Y99" s="2410"/>
      <c r="Z99" s="2410" t="s">
        <v>5041</v>
      </c>
      <c r="AA99" s="2410" t="s">
        <v>5042</v>
      </c>
      <c r="AB99" s="2410" t="s">
        <v>594</v>
      </c>
      <c r="AC99" s="2410"/>
      <c r="AD99" s="2410"/>
      <c r="AE99" s="2404"/>
      <c r="AF99" s="2427"/>
      <c r="AG99" s="2427"/>
      <c r="AH99" s="1376">
        <f t="shared" ca="1" si="3"/>
        <v>45308</v>
      </c>
    </row>
    <row r="100" spans="1:36" s="2413" customFormat="1" ht="39">
      <c r="A100" s="2428" t="s">
        <v>4941</v>
      </c>
      <c r="B100" s="2428" t="s">
        <v>44</v>
      </c>
      <c r="C100" s="2410"/>
      <c r="D100" s="2410" t="s">
        <v>1551</v>
      </c>
      <c r="E100" s="2418" t="s">
        <v>4942</v>
      </c>
      <c r="F100" s="2418" t="s">
        <v>361</v>
      </c>
      <c r="G100" s="2418" t="s">
        <v>362</v>
      </c>
      <c r="H100" s="2410" t="s">
        <v>4949</v>
      </c>
      <c r="I100" s="2418"/>
      <c r="J100" s="2404" t="s">
        <v>6567</v>
      </c>
      <c r="K100" s="2410"/>
      <c r="L100" s="2410"/>
      <c r="M100" s="2410"/>
      <c r="N100" s="2410"/>
      <c r="O100" s="2411" t="s">
        <v>5588</v>
      </c>
      <c r="P100" s="2410"/>
      <c r="Q100" s="2410"/>
      <c r="R100" s="2431"/>
      <c r="S100" s="937" t="str">
        <f t="shared" si="2"/>
        <v/>
      </c>
      <c r="T100" s="2431"/>
      <c r="U100" s="2475" t="s">
        <v>45</v>
      </c>
      <c r="V100" s="1632" t="s">
        <v>45</v>
      </c>
      <c r="W100" s="2410"/>
      <c r="X100" s="2410"/>
      <c r="Y100" s="2410"/>
      <c r="Z100" s="2410" t="s">
        <v>5041</v>
      </c>
      <c r="AA100" s="2410" t="s">
        <v>5042</v>
      </c>
      <c r="AB100" s="2410" t="s">
        <v>594</v>
      </c>
      <c r="AC100" s="2410"/>
      <c r="AD100" s="2410"/>
      <c r="AE100" s="2404"/>
      <c r="AF100" s="2427"/>
      <c r="AG100" s="2427"/>
      <c r="AH100" s="1376">
        <f t="shared" ca="1" si="3"/>
        <v>45308</v>
      </c>
    </row>
    <row r="101" spans="1:36" s="2413" customFormat="1" ht="26">
      <c r="A101" s="2428" t="s">
        <v>4941</v>
      </c>
      <c r="B101" s="2428" t="s">
        <v>44</v>
      </c>
      <c r="C101" s="2410"/>
      <c r="D101" s="2410" t="s">
        <v>1551</v>
      </c>
      <c r="E101" s="2418" t="s">
        <v>4942</v>
      </c>
      <c r="F101" s="2418" t="s">
        <v>1270</v>
      </c>
      <c r="G101" s="2418" t="s">
        <v>5942</v>
      </c>
      <c r="H101" s="2410" t="s">
        <v>4949</v>
      </c>
      <c r="I101" s="2418"/>
      <c r="J101" s="2404" t="s">
        <v>6568</v>
      </c>
      <c r="K101" s="2410"/>
      <c r="L101" s="2410"/>
      <c r="M101" s="2410"/>
      <c r="N101" s="2410"/>
      <c r="O101" s="2411" t="s">
        <v>5588</v>
      </c>
      <c r="P101" s="2410"/>
      <c r="Q101" s="2410"/>
      <c r="R101" s="2431"/>
      <c r="S101" s="937" t="str">
        <f t="shared" si="2"/>
        <v/>
      </c>
      <c r="T101" s="2431"/>
      <c r="U101" s="2475" t="s">
        <v>45</v>
      </c>
      <c r="V101" s="1632" t="s">
        <v>45</v>
      </c>
      <c r="W101" s="2410"/>
      <c r="X101" s="2410"/>
      <c r="Y101" s="2410"/>
      <c r="Z101" s="2410" t="s">
        <v>6569</v>
      </c>
      <c r="AA101" s="2410" t="s">
        <v>5042</v>
      </c>
      <c r="AB101" s="2410" t="s">
        <v>594</v>
      </c>
      <c r="AC101" s="2410"/>
      <c r="AD101" s="2410"/>
      <c r="AE101" s="2404"/>
      <c r="AF101" s="2427"/>
      <c r="AG101" s="2427"/>
      <c r="AH101" s="1376">
        <f t="shared" ca="1" si="3"/>
        <v>45308</v>
      </c>
    </row>
    <row r="102" spans="1:36" s="2413" customFormat="1" ht="39">
      <c r="A102" s="2428" t="s">
        <v>4941</v>
      </c>
      <c r="B102" s="2428" t="s">
        <v>44</v>
      </c>
      <c r="C102" s="2410"/>
      <c r="D102" s="2410" t="s">
        <v>1551</v>
      </c>
      <c r="E102" s="2418" t="s">
        <v>4942</v>
      </c>
      <c r="F102" s="2418" t="s">
        <v>1270</v>
      </c>
      <c r="G102" s="2418" t="s">
        <v>4981</v>
      </c>
      <c r="H102" s="2410" t="s">
        <v>4982</v>
      </c>
      <c r="I102" s="2418"/>
      <c r="J102" s="2404" t="s">
        <v>6570</v>
      </c>
      <c r="K102" s="2410"/>
      <c r="L102" s="2410"/>
      <c r="M102" s="2410"/>
      <c r="N102" s="2410"/>
      <c r="O102" s="2411" t="s">
        <v>5588</v>
      </c>
      <c r="P102" s="2410"/>
      <c r="Q102" s="2410"/>
      <c r="R102" s="2431"/>
      <c r="S102" s="937" t="str">
        <f t="shared" si="2"/>
        <v/>
      </c>
      <c r="T102" s="2431"/>
      <c r="U102" s="2475" t="s">
        <v>45</v>
      </c>
      <c r="V102" s="1632" t="s">
        <v>45</v>
      </c>
      <c r="W102" s="2410"/>
      <c r="X102" s="2410"/>
      <c r="Y102" s="2410"/>
      <c r="Z102" s="2410" t="s">
        <v>5041</v>
      </c>
      <c r="AA102" s="2410" t="s">
        <v>5042</v>
      </c>
      <c r="AB102" s="2410" t="s">
        <v>594</v>
      </c>
      <c r="AC102" s="2410"/>
      <c r="AD102" s="2410"/>
      <c r="AE102" s="2404"/>
      <c r="AF102" s="2427"/>
      <c r="AG102" s="2427"/>
      <c r="AH102" s="1376">
        <f t="shared" ca="1" si="3"/>
        <v>45308</v>
      </c>
    </row>
    <row r="103" spans="1:36" s="906" customFormat="1" ht="26">
      <c r="A103" s="2443" t="s">
        <v>4941</v>
      </c>
      <c r="B103" s="2443" t="s">
        <v>44</v>
      </c>
      <c r="C103" s="2407" t="s">
        <v>45</v>
      </c>
      <c r="D103" s="2407" t="s">
        <v>1551</v>
      </c>
      <c r="E103" s="2416" t="s">
        <v>4704</v>
      </c>
      <c r="F103" s="2416" t="s">
        <v>361</v>
      </c>
      <c r="G103" s="2416" t="s">
        <v>4955</v>
      </c>
      <c r="H103" s="2407" t="s">
        <v>33</v>
      </c>
      <c r="I103" s="2416"/>
      <c r="J103" s="2426" t="s">
        <v>6571</v>
      </c>
      <c r="K103" s="2407"/>
      <c r="L103" s="2407"/>
      <c r="M103" s="2407"/>
      <c r="N103" s="2407"/>
      <c r="O103" s="2481">
        <v>45278</v>
      </c>
      <c r="P103" s="2407">
        <v>36</v>
      </c>
      <c r="Q103" s="2407" t="s">
        <v>160</v>
      </c>
      <c r="R103" s="2408">
        <v>62000</v>
      </c>
      <c r="S103" s="937">
        <f t="shared" ref="S103:S108" si="4">IF(ISNUMBER(R103),SUM(R103*20%)+R103,"")</f>
        <v>74400</v>
      </c>
      <c r="T103" s="2408"/>
      <c r="U103" s="2475" t="s">
        <v>45</v>
      </c>
      <c r="V103" s="1632" t="s">
        <v>45</v>
      </c>
      <c r="W103" s="2407"/>
      <c r="X103" s="2407"/>
      <c r="Y103" s="2407"/>
      <c r="Z103" s="2407" t="s">
        <v>6572</v>
      </c>
      <c r="AA103" s="2407" t="s">
        <v>4948</v>
      </c>
      <c r="AB103" s="2407"/>
      <c r="AC103" s="2407"/>
      <c r="AD103" s="2407"/>
      <c r="AE103" s="2426"/>
      <c r="AF103" s="2412" t="s">
        <v>6573</v>
      </c>
      <c r="AG103" s="2412"/>
      <c r="AH103" s="1376">
        <f t="shared" ref="AH103:AH108" ca="1" si="5">IFERROR(TODAY()-AE103,"N/A")</f>
        <v>45308</v>
      </c>
    </row>
    <row r="104" spans="1:36" s="906" customFormat="1" ht="39">
      <c r="A104" s="2428" t="s">
        <v>4941</v>
      </c>
      <c r="B104" s="2437" t="s">
        <v>44</v>
      </c>
      <c r="C104" s="2418" t="s">
        <v>45</v>
      </c>
      <c r="D104" s="2422" t="s">
        <v>1551</v>
      </c>
      <c r="E104" s="2416" t="s">
        <v>4947</v>
      </c>
      <c r="F104" s="2417" t="s">
        <v>630</v>
      </c>
      <c r="G104" s="2417" t="s">
        <v>1319</v>
      </c>
      <c r="H104" s="2418" t="s">
        <v>4962</v>
      </c>
      <c r="I104" s="2418" t="s">
        <v>47</v>
      </c>
      <c r="J104" s="2406" t="s">
        <v>6574</v>
      </c>
      <c r="K104" s="2418"/>
      <c r="L104" s="2418">
        <v>18</v>
      </c>
      <c r="M104" s="711">
        <f>IFERROR(EDATE(N104,-3),"Invalid procurement method or date entered")</f>
        <v>44661</v>
      </c>
      <c r="N104" s="712">
        <f>IFERROR(EDATE(O104,-L104),"Invalid procurement method or date entered")</f>
        <v>44752</v>
      </c>
      <c r="O104" s="2421">
        <v>45301</v>
      </c>
      <c r="P104" s="2415"/>
      <c r="Q104" s="2416"/>
      <c r="R104" s="742">
        <v>260000</v>
      </c>
      <c r="S104" s="937">
        <f t="shared" si="4"/>
        <v>312000</v>
      </c>
      <c r="T104" s="2930"/>
      <c r="U104" s="2562" t="s">
        <v>45</v>
      </c>
      <c r="V104" s="2422" t="s">
        <v>45</v>
      </c>
      <c r="W104" s="2418"/>
      <c r="X104" s="2418"/>
      <c r="Y104" s="2418" t="s">
        <v>1210</v>
      </c>
      <c r="Z104" s="2418"/>
      <c r="AA104" s="2410" t="s">
        <v>3955</v>
      </c>
      <c r="AB104" s="2441" t="s">
        <v>115</v>
      </c>
      <c r="AC104" s="2418"/>
      <c r="AD104" s="2418"/>
      <c r="AE104" s="2406"/>
      <c r="AF104" s="2419" t="s">
        <v>6575</v>
      </c>
      <c r="AG104" s="2929"/>
      <c r="AH104" s="1376">
        <f t="shared" ca="1" si="5"/>
        <v>45308</v>
      </c>
    </row>
    <row r="105" spans="1:36" s="2323" customFormat="1" ht="39">
      <c r="A105" s="2428" t="s">
        <v>4941</v>
      </c>
      <c r="B105" s="2428" t="s">
        <v>44</v>
      </c>
      <c r="C105" s="2418" t="s">
        <v>6576</v>
      </c>
      <c r="D105" s="2418" t="s">
        <v>1551</v>
      </c>
      <c r="E105" s="2418" t="s">
        <v>4704</v>
      </c>
      <c r="F105" s="2410" t="s">
        <v>361</v>
      </c>
      <c r="G105" s="2410" t="s">
        <v>1440</v>
      </c>
      <c r="H105" s="2418" t="s">
        <v>33</v>
      </c>
      <c r="I105" s="2418"/>
      <c r="J105" s="2406" t="s">
        <v>6577</v>
      </c>
      <c r="K105" s="2418"/>
      <c r="L105" s="2418"/>
      <c r="M105" s="2418"/>
      <c r="N105" s="2418"/>
      <c r="O105" s="2421">
        <v>45242</v>
      </c>
      <c r="P105" s="2418"/>
      <c r="Q105" s="2418"/>
      <c r="R105" s="2482">
        <v>63600</v>
      </c>
      <c r="S105" s="937">
        <f t="shared" si="4"/>
        <v>76320</v>
      </c>
      <c r="T105" s="2436">
        <v>60000</v>
      </c>
      <c r="U105" s="744" t="s">
        <v>45</v>
      </c>
      <c r="V105" s="2418" t="s">
        <v>45</v>
      </c>
      <c r="W105" s="2418"/>
      <c r="X105" s="2418"/>
      <c r="Y105" s="2418" t="s">
        <v>6578</v>
      </c>
      <c r="Z105" s="2418"/>
      <c r="AA105" s="2410" t="s">
        <v>45</v>
      </c>
      <c r="AB105" s="2418"/>
      <c r="AC105" s="2418"/>
      <c r="AD105" s="2418"/>
      <c r="AE105" s="2406"/>
      <c r="AF105" s="2488" t="s">
        <v>6579</v>
      </c>
      <c r="AG105" s="2488"/>
      <c r="AH105" s="1376">
        <f t="shared" ca="1" si="5"/>
        <v>45308</v>
      </c>
    </row>
    <row r="106" spans="1:36" s="2585" customFormat="1" ht="15" customHeight="1">
      <c r="A106" s="2428" t="s">
        <v>4941</v>
      </c>
      <c r="B106" s="2428" t="s">
        <v>44</v>
      </c>
      <c r="C106" s="2418" t="s">
        <v>6580</v>
      </c>
      <c r="D106" s="2418" t="s">
        <v>1551</v>
      </c>
      <c r="E106" s="2418" t="s">
        <v>4942</v>
      </c>
      <c r="F106" s="2418" t="s">
        <v>1270</v>
      </c>
      <c r="G106" s="2418" t="s">
        <v>569</v>
      </c>
      <c r="H106" s="2418" t="s">
        <v>33</v>
      </c>
      <c r="I106" s="2418"/>
      <c r="J106" s="2406" t="s">
        <v>6581</v>
      </c>
      <c r="K106" s="2418"/>
      <c r="L106" s="2418"/>
      <c r="M106" s="2418"/>
      <c r="N106" s="2418"/>
      <c r="O106" s="2592">
        <v>45199</v>
      </c>
      <c r="P106" s="2418" t="s">
        <v>5153</v>
      </c>
      <c r="Q106" s="2418"/>
      <c r="R106" s="2501"/>
      <c r="S106" s="937" t="str">
        <f t="shared" si="4"/>
        <v/>
      </c>
      <c r="T106" s="2593">
        <v>12439</v>
      </c>
      <c r="U106" s="744" t="s">
        <v>45</v>
      </c>
      <c r="V106" s="2418" t="s">
        <v>45</v>
      </c>
      <c r="W106" s="2418"/>
      <c r="X106" s="2418"/>
      <c r="Y106" s="2418" t="s">
        <v>71</v>
      </c>
      <c r="Z106" s="2418" t="s">
        <v>6582</v>
      </c>
      <c r="AA106" s="2410"/>
      <c r="AB106" s="2418"/>
      <c r="AC106" s="2418"/>
      <c r="AD106" s="2418"/>
      <c r="AE106" s="2406"/>
      <c r="AF106" s="2432" t="s">
        <v>6583</v>
      </c>
      <c r="AG106" s="2432"/>
      <c r="AH106" s="1376">
        <f t="shared" ca="1" si="5"/>
        <v>45308</v>
      </c>
      <c r="AI106" s="2323"/>
      <c r="AJ106" s="2323"/>
    </row>
    <row r="107" spans="1:36" s="2589" customFormat="1" ht="15" customHeight="1">
      <c r="A107" s="1564">
        <v>44974</v>
      </c>
      <c r="B107" s="1569" t="s">
        <v>44</v>
      </c>
      <c r="C107" s="1655" t="s">
        <v>45</v>
      </c>
      <c r="D107" s="1632" t="s">
        <v>1169</v>
      </c>
      <c r="E107" s="1653" t="s">
        <v>1168</v>
      </c>
      <c r="F107" s="1571" t="s">
        <v>361</v>
      </c>
      <c r="G107" s="1490" t="s">
        <v>1440</v>
      </c>
      <c r="H107" s="1632" t="s">
        <v>33</v>
      </c>
      <c r="I107" s="2418" t="s">
        <v>47</v>
      </c>
      <c r="J107" s="2375" t="s">
        <v>1541</v>
      </c>
      <c r="K107" s="1655" t="s">
        <v>1105</v>
      </c>
      <c r="L107" s="2196" t="s">
        <v>1170</v>
      </c>
      <c r="M107" s="1564">
        <v>45139</v>
      </c>
      <c r="N107" s="1564">
        <v>45139</v>
      </c>
      <c r="O107" s="1755">
        <v>45383</v>
      </c>
      <c r="P107" s="1664">
        <v>12</v>
      </c>
      <c r="Q107" s="1655">
        <v>12</v>
      </c>
      <c r="R107" s="937">
        <v>200000</v>
      </c>
      <c r="S107" s="2588">
        <f t="shared" si="4"/>
        <v>240000</v>
      </c>
      <c r="T107" s="2205" t="s">
        <v>1170</v>
      </c>
      <c r="U107" s="2471" t="s">
        <v>45</v>
      </c>
      <c r="V107" s="1664" t="s">
        <v>45</v>
      </c>
      <c r="W107" s="1655" t="s">
        <v>1170</v>
      </c>
      <c r="X107" s="1655" t="s">
        <v>1170</v>
      </c>
      <c r="Y107" s="1655"/>
      <c r="Z107" s="2385" t="s">
        <v>6400</v>
      </c>
      <c r="AA107" s="2439" t="s">
        <v>3955</v>
      </c>
      <c r="AB107" s="1655" t="s">
        <v>1170</v>
      </c>
      <c r="AC107" s="1842" t="s">
        <v>1170</v>
      </c>
      <c r="AD107" s="1655" t="s">
        <v>1170</v>
      </c>
      <c r="AE107" s="2222">
        <v>44952</v>
      </c>
      <c r="AF107" s="2379" t="s">
        <v>6553</v>
      </c>
      <c r="AG107" s="2205" t="s">
        <v>1170</v>
      </c>
      <c r="AH107" s="1376">
        <f t="shared" ca="1" si="5"/>
        <v>356</v>
      </c>
      <c r="AI107" s="906"/>
      <c r="AJ107" s="906"/>
    </row>
    <row r="108" spans="1:36" s="2589" customFormat="1" ht="15" customHeight="1">
      <c r="A108" s="749"/>
      <c r="B108" s="782" t="s">
        <v>44</v>
      </c>
      <c r="C108" s="738"/>
      <c r="D108" s="808" t="s">
        <v>57</v>
      </c>
      <c r="E108" s="794" t="s">
        <v>449</v>
      </c>
      <c r="F108" s="727" t="s">
        <v>630</v>
      </c>
      <c r="G108" s="2192" t="s">
        <v>569</v>
      </c>
      <c r="H108" s="710" t="s">
        <v>33</v>
      </c>
      <c r="I108" s="710" t="s">
        <v>47</v>
      </c>
      <c r="J108" s="709" t="s">
        <v>4463</v>
      </c>
      <c r="K108" s="710"/>
      <c r="L108" s="710" t="e">
        <f>IF(OR(V108=#REF!,V108=#REF!,V108=#REF!,V108=#REF!,V108=#REF!,V108=#REF!,V108=#REF!,V108=#REF!),12,IF(OR(V108=#REF!,V108=#REF!,V108=#REF!,V108=#REF!,V108=#REF!,V108=#REF!,V108=#REF!),3,IF(V108=#REF!,1,IF(V108=#REF!,18,IF(OR(V108=#REF!,V108=#REF!,V108=#REF!,V108=#REF!,V108=#REF!),14,"Invalid proposed procurement method")))))</f>
        <v>#REF!</v>
      </c>
      <c r="M108" s="769" t="str">
        <f>IFERROR(EDATE($N108,-3),"Invalid procurement method or date entered")</f>
        <v>Invalid procurement method or date entered</v>
      </c>
      <c r="N108" s="769" t="str">
        <f>IFERROR(EDATE(O108,-L108),"Invalid procurement method or date entered")</f>
        <v>Invalid procurement method or date entered</v>
      </c>
      <c r="O108" s="769">
        <v>45627</v>
      </c>
      <c r="P108" s="738" t="s">
        <v>45</v>
      </c>
      <c r="Q108" s="738" t="s">
        <v>45</v>
      </c>
      <c r="R108" s="937" t="s">
        <v>45</v>
      </c>
      <c r="S108" s="937" t="str">
        <f t="shared" si="4"/>
        <v/>
      </c>
      <c r="T108" s="850">
        <v>15715</v>
      </c>
      <c r="U108" s="2476" t="s">
        <v>45</v>
      </c>
      <c r="V108" s="710" t="s">
        <v>45</v>
      </c>
      <c r="W108" s="808" t="s">
        <v>38</v>
      </c>
      <c r="X108" s="838" t="s">
        <v>67</v>
      </c>
      <c r="Y108" s="838"/>
      <c r="Z108" s="710" t="s">
        <v>340</v>
      </c>
      <c r="AA108" s="2439" t="s">
        <v>3955</v>
      </c>
      <c r="AB108" s="710" t="s">
        <v>115</v>
      </c>
      <c r="AC108" s="750"/>
      <c r="AD108" s="710" t="s">
        <v>70</v>
      </c>
      <c r="AE108" s="2222" t="s">
        <v>71</v>
      </c>
      <c r="AF108" s="717"/>
      <c r="AG108" s="723" t="s">
        <v>96</v>
      </c>
      <c r="AH108" s="1376" t="str">
        <f t="shared" ca="1" si="5"/>
        <v>N/A</v>
      </c>
      <c r="AI108" s="906"/>
      <c r="AJ108" s="906"/>
    </row>
    <row r="109" spans="1:36" s="906" customFormat="1" ht="25.5" customHeight="1">
      <c r="A109" s="749" t="s">
        <v>71</v>
      </c>
      <c r="B109" s="782" t="s">
        <v>44</v>
      </c>
      <c r="C109" s="738" t="s">
        <v>45</v>
      </c>
      <c r="D109" s="808" t="s">
        <v>32</v>
      </c>
      <c r="E109" s="794" t="s">
        <v>449</v>
      </c>
      <c r="F109" s="739" t="s">
        <v>361</v>
      </c>
      <c r="G109" s="1497" t="s">
        <v>569</v>
      </c>
      <c r="H109" s="710" t="s">
        <v>33</v>
      </c>
      <c r="I109" s="710" t="s">
        <v>47</v>
      </c>
      <c r="J109" s="709" t="s">
        <v>6584</v>
      </c>
      <c r="K109" s="710"/>
      <c r="L109" s="710">
        <v>11</v>
      </c>
      <c r="M109" s="769">
        <f>IFERROR(EDATE($N109,-3),"Invalid procurement method or date entered")</f>
        <v>44593</v>
      </c>
      <c r="N109" s="769">
        <f>IFERROR(EDATE(O109,-L109),"Invalid procurement method or date entered")</f>
        <v>44682</v>
      </c>
      <c r="O109" s="947">
        <v>45017</v>
      </c>
      <c r="P109" s="738" t="s">
        <v>45</v>
      </c>
      <c r="Q109" s="710" t="s">
        <v>45</v>
      </c>
      <c r="R109" s="742">
        <v>500000</v>
      </c>
      <c r="S109" s="937">
        <f>IF(ISNUMBER(R109),SUM(R109*20%)+R109,"")</f>
        <v>600000</v>
      </c>
      <c r="T109" s="807">
        <v>600000</v>
      </c>
      <c r="U109" s="2476" t="s">
        <v>45</v>
      </c>
      <c r="V109" s="710" t="s">
        <v>45</v>
      </c>
      <c r="W109" s="836" t="s">
        <v>70</v>
      </c>
      <c r="X109" s="837" t="s">
        <v>67</v>
      </c>
      <c r="Y109" s="837"/>
      <c r="Z109" s="710" t="s">
        <v>383</v>
      </c>
      <c r="AA109" s="2172" t="s">
        <v>54</v>
      </c>
      <c r="AB109" s="723" t="s">
        <v>115</v>
      </c>
      <c r="AC109" s="750" t="s">
        <v>87</v>
      </c>
      <c r="AD109" s="710" t="s">
        <v>70</v>
      </c>
      <c r="AE109" s="2222">
        <v>45079</v>
      </c>
      <c r="AF109" s="943" t="s">
        <v>6585</v>
      </c>
      <c r="AG109" s="723" t="s">
        <v>385</v>
      </c>
      <c r="AH109" s="1376">
        <f ca="1">IFERROR(TODAY()-AE109,"N/A")</f>
        <v>229</v>
      </c>
    </row>
    <row r="110" spans="1:36" s="906" customFormat="1" ht="25.5" customHeight="1">
      <c r="A110" s="749">
        <v>44958</v>
      </c>
      <c r="B110" s="706" t="s">
        <v>44</v>
      </c>
      <c r="C110" s="707"/>
      <c r="D110" s="708" t="s">
        <v>32</v>
      </c>
      <c r="E110" s="794" t="s">
        <v>449</v>
      </c>
      <c r="F110" s="698" t="s">
        <v>1270</v>
      </c>
      <c r="G110" s="1451" t="s">
        <v>1271</v>
      </c>
      <c r="H110" s="710" t="s">
        <v>4622</v>
      </c>
      <c r="I110" s="710" t="s">
        <v>47</v>
      </c>
      <c r="J110" s="709" t="s">
        <v>6586</v>
      </c>
      <c r="K110" s="710" t="s">
        <v>6587</v>
      </c>
      <c r="L110" s="710">
        <v>1</v>
      </c>
      <c r="M110" s="711">
        <f>IFERROR(EDATE(N110,-3),"Invalid procurement method or date entered")</f>
        <v>44896</v>
      </c>
      <c r="N110" s="712">
        <f>IFERROR(EDATE(O110,-L110),"Invalid procurement method or date entered")</f>
        <v>44986</v>
      </c>
      <c r="O110" s="713">
        <v>45017</v>
      </c>
      <c r="P110" s="721">
        <v>12</v>
      </c>
      <c r="Q110" s="722">
        <v>12</v>
      </c>
      <c r="R110" s="742">
        <v>60000</v>
      </c>
      <c r="S110" s="937">
        <f>IF(ISNUMBER(R110),SUM(R110*20%)+R110,"")</f>
        <v>72000</v>
      </c>
      <c r="T110" s="793">
        <v>60000</v>
      </c>
      <c r="U110" s="730" t="s">
        <v>51</v>
      </c>
      <c r="V110" s="716" t="s">
        <v>51</v>
      </c>
      <c r="W110" s="710" t="s">
        <v>38</v>
      </c>
      <c r="X110" s="584" t="s">
        <v>67</v>
      </c>
      <c r="Y110" s="199"/>
      <c r="Z110" s="710" t="s">
        <v>524</v>
      </c>
      <c r="AA110" s="915" t="s">
        <v>54</v>
      </c>
      <c r="AB110" s="710" t="s">
        <v>727</v>
      </c>
      <c r="AC110" s="710"/>
      <c r="AD110" s="724" t="s">
        <v>70</v>
      </c>
      <c r="AE110" s="2222">
        <v>45079</v>
      </c>
      <c r="AF110" s="717" t="s">
        <v>6588</v>
      </c>
      <c r="AG110" s="723" t="s">
        <v>73</v>
      </c>
      <c r="AH110" s="1376">
        <f ca="1">IFERROR(TODAY()-AE110,"N/A")</f>
        <v>229</v>
      </c>
    </row>
    <row r="111" spans="1:36" s="906" customFormat="1" ht="25.5" customHeight="1">
      <c r="A111" s="2443">
        <v>45027</v>
      </c>
      <c r="B111" s="2443" t="s">
        <v>44</v>
      </c>
      <c r="C111" s="2416"/>
      <c r="D111" s="2416" t="s">
        <v>1551</v>
      </c>
      <c r="E111" s="2416" t="s">
        <v>4704</v>
      </c>
      <c r="F111" s="1271" t="s">
        <v>361</v>
      </c>
      <c r="G111" s="1271" t="s">
        <v>362</v>
      </c>
      <c r="H111" s="723" t="s">
        <v>1595</v>
      </c>
      <c r="I111" s="723" t="s">
        <v>47</v>
      </c>
      <c r="J111" s="2444" t="s">
        <v>6589</v>
      </c>
      <c r="K111" s="2416"/>
      <c r="L111" s="2416"/>
      <c r="M111" s="2416"/>
      <c r="N111" s="2416"/>
      <c r="O111" s="2489" t="s">
        <v>45</v>
      </c>
      <c r="P111" s="2416">
        <v>36</v>
      </c>
      <c r="Q111" s="2416">
        <v>36</v>
      </c>
      <c r="R111" s="807">
        <v>170000</v>
      </c>
      <c r="S111" s="937">
        <f>IF(ISNUMBER(R111),SUM(R111*20%)+R111,"")</f>
        <v>204000</v>
      </c>
      <c r="T111" s="2930"/>
      <c r="U111" s="2475" t="s">
        <v>45</v>
      </c>
      <c r="V111" s="1632" t="s">
        <v>45</v>
      </c>
      <c r="W111" s="2416"/>
      <c r="X111" s="2416"/>
      <c r="Y111" s="2416"/>
      <c r="Z111" s="2416"/>
      <c r="AA111" s="1632" t="s">
        <v>45</v>
      </c>
      <c r="AB111" s="2416"/>
      <c r="AC111" s="2416"/>
      <c r="AD111" s="2416"/>
      <c r="AE111" s="2490">
        <v>44930</v>
      </c>
      <c r="AF111" s="2434" t="s">
        <v>6590</v>
      </c>
      <c r="AG111" s="2390"/>
      <c r="AH111" s="1376">
        <f ca="1">IFERROR(TODAY()-AE111,"N/A")</f>
        <v>378</v>
      </c>
    </row>
  </sheetData>
  <autoFilter ref="A1:AH96" xr:uid="{0C2CA385-B6C3-4AFA-9FBB-79632EDEE7F5}">
    <filterColumn colId="9">
      <customFilters>
        <customFilter val="*a60015*"/>
      </customFilters>
    </filterColumn>
  </autoFilter>
  <conditionalFormatting sqref="AE2">
    <cfRule type="timePeriod" dxfId="81" priority="78" timePeriod="last7Days">
      <formula>AND(TODAY()-FLOOR(AE2,1)&lt;=6,FLOOR(AE2,1)&lt;=TODAY())</formula>
    </cfRule>
  </conditionalFormatting>
  <conditionalFormatting sqref="AH1">
    <cfRule type="timePeriod" dxfId="80" priority="77" timePeriod="last7Days">
      <formula>AND(TODAY()-FLOOR(AH1,1)&lt;=6,FLOOR(AH1,1)&lt;=TODAY())</formula>
    </cfRule>
  </conditionalFormatting>
  <conditionalFormatting sqref="AE3">
    <cfRule type="timePeriod" dxfId="79" priority="73" timePeriod="last7Days">
      <formula>AND(TODAY()-FLOOR(AE3,1)&lt;=6,FLOOR(AE3,1)&lt;=TODAY())</formula>
    </cfRule>
  </conditionalFormatting>
  <conditionalFormatting sqref="AE4">
    <cfRule type="timePeriod" dxfId="78" priority="70" timePeriod="last7Days">
      <formula>AND(TODAY()-FLOOR(AE4,1)&lt;=6,FLOOR(AE4,1)&lt;=TODAY())</formula>
    </cfRule>
  </conditionalFormatting>
  <conditionalFormatting sqref="AE5:AE7">
    <cfRule type="timePeriod" dxfId="77" priority="69" timePeriod="last7Days">
      <formula>AND(TODAY()-FLOOR(AE5,1)&lt;=6,FLOOR(AE5,1)&lt;=TODAY())</formula>
    </cfRule>
  </conditionalFormatting>
  <conditionalFormatting sqref="AE8">
    <cfRule type="timePeriod" dxfId="76" priority="68" timePeriod="last7Days">
      <formula>AND(TODAY()-FLOOR(AE8,1)&lt;=6,FLOOR(AE8,1)&lt;=TODAY())</formula>
    </cfRule>
  </conditionalFormatting>
  <conditionalFormatting sqref="AE9:AE11">
    <cfRule type="timePeriod" dxfId="75" priority="67" timePeriod="last7Days">
      <formula>AND(TODAY()-FLOOR(AE9,1)&lt;=6,FLOOR(AE9,1)&lt;=TODAY())</formula>
    </cfRule>
  </conditionalFormatting>
  <conditionalFormatting sqref="AE12">
    <cfRule type="timePeriod" dxfId="74" priority="66" timePeriod="last7Days">
      <formula>AND(TODAY()-FLOOR(AE12,1)&lt;=6,FLOOR(AE12,1)&lt;=TODAY())</formula>
    </cfRule>
  </conditionalFormatting>
  <conditionalFormatting sqref="AE13">
    <cfRule type="timePeriod" dxfId="73" priority="65" timePeriod="last7Days">
      <formula>AND(TODAY()-FLOOR(AE13,1)&lt;=6,FLOOR(AE13,1)&lt;=TODAY())</formula>
    </cfRule>
  </conditionalFormatting>
  <conditionalFormatting sqref="AE13">
    <cfRule type="timePeriod" dxfId="72" priority="64" timePeriod="last7Days">
      <formula>AND(TODAY()-FLOOR(AE13,1)&lt;=6,FLOOR(AE13,1)&lt;=TODAY())</formula>
    </cfRule>
  </conditionalFormatting>
  <conditionalFormatting sqref="AE14:AE15">
    <cfRule type="timePeriod" dxfId="71" priority="63" timePeriod="last7Days">
      <formula>AND(TODAY()-FLOOR(AE14,1)&lt;=6,FLOOR(AE14,1)&lt;=TODAY())</formula>
    </cfRule>
  </conditionalFormatting>
  <conditionalFormatting sqref="AE16:AE18">
    <cfRule type="timePeriod" dxfId="70" priority="62" timePeriod="last7Days">
      <formula>AND(TODAY()-FLOOR(AE16,1)&lt;=6,FLOOR(AE16,1)&lt;=TODAY())</formula>
    </cfRule>
  </conditionalFormatting>
  <conditionalFormatting sqref="AE19">
    <cfRule type="timePeriod" dxfId="69" priority="61" timePeriod="last7Days">
      <formula>AND(TODAY()-FLOOR(AE19,1)&lt;=6,FLOOR(AE19,1)&lt;=TODAY())</formula>
    </cfRule>
  </conditionalFormatting>
  <conditionalFormatting sqref="AE20">
    <cfRule type="timePeriod" dxfId="68" priority="60" timePeriod="last7Days">
      <formula>AND(TODAY()-FLOOR(AE20,1)&lt;=6,FLOOR(AE20,1)&lt;=TODAY())</formula>
    </cfRule>
  </conditionalFormatting>
  <conditionalFormatting sqref="AE20">
    <cfRule type="timePeriod" dxfId="67" priority="59" timePeriod="last7Days">
      <formula>AND(TODAY()-FLOOR(AE20,1)&lt;=6,FLOOR(AE20,1)&lt;=TODAY())</formula>
    </cfRule>
  </conditionalFormatting>
  <conditionalFormatting sqref="AE20">
    <cfRule type="timePeriod" dxfId="66" priority="58" timePeriod="last7Days">
      <formula>AND(TODAY()-FLOOR(AE20,1)&lt;=6,FLOOR(AE20,1)&lt;=TODAY())</formula>
    </cfRule>
  </conditionalFormatting>
  <conditionalFormatting sqref="AE21">
    <cfRule type="timePeriod" dxfId="65" priority="57" timePeriod="last7Days">
      <formula>AND(TODAY()-FLOOR(AE21,1)&lt;=6,FLOOR(AE21,1)&lt;=TODAY())</formula>
    </cfRule>
  </conditionalFormatting>
  <conditionalFormatting sqref="AE22:AE24">
    <cfRule type="timePeriod" dxfId="64" priority="56" timePeriod="last7Days">
      <formula>AND(TODAY()-FLOOR(AE22,1)&lt;=6,FLOOR(AE22,1)&lt;=TODAY())</formula>
    </cfRule>
  </conditionalFormatting>
  <conditionalFormatting sqref="AE25:AE26">
    <cfRule type="timePeriod" dxfId="63" priority="52" timePeriod="last7Days">
      <formula>AND(TODAY()-FLOOR(AE25,1)&lt;=6,FLOOR(AE25,1)&lt;=TODAY())</formula>
    </cfRule>
  </conditionalFormatting>
  <conditionalFormatting sqref="AE27:AE28">
    <cfRule type="timePeriod" dxfId="62" priority="51" timePeriod="last7Days">
      <formula>AND(TODAY()-FLOOR(AE27,1)&lt;=6,FLOOR(AE27,1)&lt;=TODAY())</formula>
    </cfRule>
  </conditionalFormatting>
  <conditionalFormatting sqref="AE29:AE30">
    <cfRule type="timePeriod" dxfId="61" priority="50" timePeriod="last7Days">
      <formula>AND(TODAY()-FLOOR(AE29,1)&lt;=6,FLOOR(AE29,1)&lt;=TODAY())</formula>
    </cfRule>
  </conditionalFormatting>
  <conditionalFormatting sqref="AE31">
    <cfRule type="timePeriod" dxfId="60" priority="49" timePeriod="last7Days">
      <formula>AND(TODAY()-FLOOR(AE31,1)&lt;=6,FLOOR(AE31,1)&lt;=TODAY())</formula>
    </cfRule>
  </conditionalFormatting>
  <conditionalFormatting sqref="AE31">
    <cfRule type="timePeriod" dxfId="59" priority="48" timePeriod="last7Days">
      <formula>AND(TODAY()-FLOOR(AE31,1)&lt;=6,FLOOR(AE31,1)&lt;=TODAY())</formula>
    </cfRule>
  </conditionalFormatting>
  <conditionalFormatting sqref="AE32">
    <cfRule type="timePeriod" dxfId="58" priority="47" timePeriod="last7Days">
      <formula>AND(TODAY()-FLOOR(AE32,1)&lt;=6,FLOOR(AE32,1)&lt;=TODAY())</formula>
    </cfRule>
  </conditionalFormatting>
  <conditionalFormatting sqref="AE33:AE35">
    <cfRule type="timePeriod" dxfId="57" priority="46" timePeriod="last7Days">
      <formula>AND(TODAY()-FLOOR(AE33,1)&lt;=6,FLOOR(AE33,1)&lt;=TODAY())</formula>
    </cfRule>
  </conditionalFormatting>
  <conditionalFormatting sqref="AE36:AE37">
    <cfRule type="timePeriod" dxfId="56" priority="45" timePeriod="last7Days">
      <formula>AND(TODAY()-FLOOR(AE36,1)&lt;=6,FLOOR(AE36,1)&lt;=TODAY())</formula>
    </cfRule>
  </conditionalFormatting>
  <conditionalFormatting sqref="AE38:AE39">
    <cfRule type="timePeriod" dxfId="55" priority="43" timePeriod="last7Days">
      <formula>AND(TODAY()-FLOOR(AE38,1)&lt;=6,FLOOR(AE38,1)&lt;=TODAY())</formula>
    </cfRule>
  </conditionalFormatting>
  <conditionalFormatting sqref="AE40:AE41">
    <cfRule type="timePeriod" dxfId="54" priority="41" timePeriod="last7Days">
      <formula>AND(TODAY()-FLOOR(AE40,1)&lt;=6,FLOOR(AE40,1)&lt;=TODAY())</formula>
    </cfRule>
  </conditionalFormatting>
  <conditionalFormatting sqref="AE42">
    <cfRule type="timePeriod" dxfId="53" priority="40" timePeriod="last7Days">
      <formula>AND(TODAY()-FLOOR(AE42,1)&lt;=6,FLOOR(AE42,1)&lt;=TODAY())</formula>
    </cfRule>
  </conditionalFormatting>
  <conditionalFormatting sqref="AE43">
    <cfRule type="timePeriod" dxfId="52" priority="38" timePeriod="last7Days">
      <formula>AND(TODAY()-FLOOR(AE43,1)&lt;=6,FLOOR(AE43,1)&lt;=TODAY())</formula>
    </cfRule>
  </conditionalFormatting>
  <conditionalFormatting sqref="AE44">
    <cfRule type="timePeriod" dxfId="51" priority="37" timePeriod="last7Days">
      <formula>AND(TODAY()-FLOOR(AE44,1)&lt;=6,FLOOR(AE44,1)&lt;=TODAY())</formula>
    </cfRule>
  </conditionalFormatting>
  <conditionalFormatting sqref="AE45:AE47">
    <cfRule type="timePeriod" dxfId="50" priority="36" timePeriod="last7Days">
      <formula>AND(TODAY()-FLOOR(AE45,1)&lt;=6,FLOOR(AE45,1)&lt;=TODAY())</formula>
    </cfRule>
  </conditionalFormatting>
  <conditionalFormatting sqref="AE48">
    <cfRule type="timePeriod" dxfId="49" priority="35" timePeriod="last7Days">
      <formula>AND(TODAY()-FLOOR(AE48,1)&lt;=6,FLOOR(AE48,1)&lt;=TODAY())</formula>
    </cfRule>
  </conditionalFormatting>
  <conditionalFormatting sqref="AE88">
    <cfRule type="timePeriod" dxfId="48" priority="34" timePeriod="last7Days">
      <formula>AND(TODAY()-FLOOR(AE88,1)&lt;=6,FLOOR(AE88,1)&lt;=TODAY())</formula>
    </cfRule>
  </conditionalFormatting>
  <conditionalFormatting sqref="AE90">
    <cfRule type="timePeriod" dxfId="47" priority="32" timePeriod="last7Days">
      <formula>AND(TODAY()-FLOOR(AE90,1)&lt;=6,FLOOR(AE90,1)&lt;=TODAY())</formula>
    </cfRule>
  </conditionalFormatting>
  <conditionalFormatting sqref="AE91">
    <cfRule type="timePeriod" dxfId="46" priority="30" timePeriod="last7Days">
      <formula>AND(TODAY()-FLOOR(AE91,1)&lt;=6,FLOOR(AE91,1)&lt;=TODAY())</formula>
    </cfRule>
  </conditionalFormatting>
  <conditionalFormatting sqref="AE77">
    <cfRule type="timePeriod" dxfId="45" priority="28" timePeriod="last7Days">
      <formula>AND(TODAY()-FLOOR(AE77,1)&lt;=6,FLOOR(AE77,1)&lt;=TODAY())</formula>
    </cfRule>
  </conditionalFormatting>
  <conditionalFormatting sqref="AE92">
    <cfRule type="timePeriod" dxfId="44" priority="26" timePeriod="last7Days">
      <formula>AND(TODAY()-FLOOR(AE92,1)&lt;=6,FLOOR(AE92,1)&lt;=TODAY())</formula>
    </cfRule>
  </conditionalFormatting>
  <conditionalFormatting sqref="AE92">
    <cfRule type="timePeriod" dxfId="43" priority="24" timePeriod="last7Days">
      <formula>AND(TODAY()-FLOOR(AE92,1)&lt;=6,FLOOR(AE92,1)&lt;=TODAY())</formula>
    </cfRule>
  </conditionalFormatting>
  <conditionalFormatting sqref="AE93">
    <cfRule type="timePeriod" dxfId="42" priority="23" timePeriod="last7Days">
      <formula>AND(TODAY()-FLOOR(AE93,1)&lt;=6,FLOOR(AE93,1)&lt;=TODAY())</formula>
    </cfRule>
  </conditionalFormatting>
  <conditionalFormatting sqref="AE94">
    <cfRule type="timePeriod" dxfId="41" priority="22" timePeriod="last7Days">
      <formula>AND(TODAY()-FLOOR(AE94,1)&lt;=6,FLOOR(AE94,1)&lt;=TODAY())</formula>
    </cfRule>
  </conditionalFormatting>
  <conditionalFormatting sqref="AE94">
    <cfRule type="timePeriod" dxfId="40" priority="21" timePeriod="last7Days">
      <formula>AND(TODAY()-FLOOR(AE94,1)&lt;=6,FLOOR(AE94,1)&lt;=TODAY())</formula>
    </cfRule>
  </conditionalFormatting>
  <conditionalFormatting sqref="AE94">
    <cfRule type="timePeriod" dxfId="39" priority="20" timePeriod="last7Days">
      <formula>AND(TODAY()-FLOOR(AE94,1)&lt;=6,FLOOR(AE94,1)&lt;=TODAY())</formula>
    </cfRule>
  </conditionalFormatting>
  <conditionalFormatting sqref="AE95">
    <cfRule type="timePeriod" dxfId="38" priority="19" timePeriod="last7Days">
      <formula>AND(TODAY()-FLOOR(AE95,1)&lt;=6,FLOOR(AE95,1)&lt;=TODAY())</formula>
    </cfRule>
  </conditionalFormatting>
  <conditionalFormatting sqref="AE99">
    <cfRule type="timePeriod" dxfId="37" priority="18" timePeriod="last7Days">
      <formula>AND(TODAY()-FLOOR(AE99,1)&lt;=6,FLOOR(AE99,1)&lt;=TODAY())</formula>
    </cfRule>
  </conditionalFormatting>
  <conditionalFormatting sqref="AE103">
    <cfRule type="timePeriod" dxfId="36" priority="17" timePeriod="last7Days">
      <formula>AND(TODAY()-FLOOR(AE103,1)&lt;=6,FLOOR(AE103,1)&lt;=TODAY())</formula>
    </cfRule>
  </conditionalFormatting>
  <conditionalFormatting sqref="AE104">
    <cfRule type="timePeriod" dxfId="35" priority="16" timePeriod="last7Days">
      <formula>AND(TODAY()-FLOOR(AE104,1)&lt;=6,FLOOR(AE104,1)&lt;=TODAY())</formula>
    </cfRule>
  </conditionalFormatting>
  <conditionalFormatting sqref="AE105">
    <cfRule type="timePeriod" dxfId="34" priority="15" timePeriod="last7Days">
      <formula>AND(TODAY()-FLOOR(AE105,1)&lt;=6,FLOOR(AE105,1)&lt;=TODAY())</formula>
    </cfRule>
  </conditionalFormatting>
  <conditionalFormatting sqref="AE107">
    <cfRule type="timePeriod" dxfId="33" priority="14" timePeriod="last7Days">
      <formula>AND(TODAY()-FLOOR(AE107,1)&lt;=6,FLOOR(AE107,1)&lt;=TODAY())</formula>
    </cfRule>
  </conditionalFormatting>
  <conditionalFormatting sqref="AE107">
    <cfRule type="timePeriod" dxfId="32" priority="13" timePeriod="last7Days">
      <formula>AND(TODAY()-FLOOR(AE107,1)&lt;=6,FLOOR(AE107,1)&lt;=TODAY())</formula>
    </cfRule>
  </conditionalFormatting>
  <conditionalFormatting sqref="AE108">
    <cfRule type="timePeriod" dxfId="31" priority="8" timePeriod="last7Days">
      <formula>AND(TODAY()-FLOOR(AE108,1)&lt;=6,FLOOR(AE108,1)&lt;=TODAY())</formula>
    </cfRule>
  </conditionalFormatting>
  <conditionalFormatting sqref="AE109">
    <cfRule type="timePeriod" dxfId="30" priority="7" timePeriod="last7Days">
      <formula>AND(TODAY()-FLOOR(AE109,1)&lt;=6,FLOOR(AE109,1)&lt;=TODAY())</formula>
    </cfRule>
  </conditionalFormatting>
  <conditionalFormatting sqref="AE109">
    <cfRule type="timePeriod" dxfId="29" priority="6" timePeriod="last7Days">
      <formula>AND(TODAY()-FLOOR(AE109,1)&lt;=6,FLOOR(AE109,1)&lt;=TODAY())</formula>
    </cfRule>
  </conditionalFormatting>
  <conditionalFormatting sqref="AE109">
    <cfRule type="timePeriod" dxfId="28" priority="5" timePeriod="last7Days">
      <formula>AND(TODAY()-FLOOR(AE109,1)&lt;=6,FLOOR(AE109,1)&lt;=TODAY())</formula>
    </cfRule>
  </conditionalFormatting>
  <conditionalFormatting sqref="AE109">
    <cfRule type="timePeriod" dxfId="27" priority="4" timePeriod="last7Days">
      <formula>AND(TODAY()-FLOOR(AE109,1)&lt;=6,FLOOR(AE109,1)&lt;=TODAY())</formula>
    </cfRule>
  </conditionalFormatting>
  <conditionalFormatting sqref="AE110">
    <cfRule type="timePeriod" dxfId="26" priority="3" timePeriod="last7Days">
      <formula>AND(TODAY()-FLOOR(AE110,1)&lt;=6,FLOOR(AE110,1)&lt;=TODAY())</formula>
    </cfRule>
  </conditionalFormatting>
  <conditionalFormatting sqref="AE110">
    <cfRule type="timePeriod" dxfId="25" priority="2" timePeriod="last7Days">
      <formula>AND(TODAY()-FLOOR(AE110,1)&lt;=6,FLOOR(AE110,1)&lt;=TODAY())</formula>
    </cfRule>
  </conditionalFormatting>
  <conditionalFormatting sqref="AE111">
    <cfRule type="timePeriod" dxfId="24" priority="1" timePeriod="last7Days">
      <formula>AND(TODAY()-FLOOR(AE111,1)&lt;=6,FLOOR(AE111,1)&lt;=TODAY())</formula>
    </cfRule>
  </conditionalFormatting>
  <dataValidations count="7">
    <dataValidation type="list" allowBlank="1" showInputMessage="1" showErrorMessage="1" sqref="G1:G2 G6 G13 G49:G67 G88:G111" xr:uid="{557537EB-6BB8-4660-B798-39B08ACCE80E}">
      <formula1>INDIRECT($F1)</formula1>
    </dataValidation>
    <dataValidation type="list" allowBlank="1" showInputMessage="1" showErrorMessage="1" sqref="F1 F49:F67 F88:F111" xr:uid="{6D617B0C-46CF-4E34-8156-82A94C0E9253}">
      <formula1>"CYPS,HAS,Resources,CD,Environment,HR_BS,LE,LDS"</formula1>
    </dataValidation>
    <dataValidation allowBlank="1" showInputMessage="1" showErrorMessage="1" sqref="D1:E1 D88 D90:D92 D103:D104 D107:D110 AA111" xr:uid="{E9565EB1-B920-42D6-A10B-3A8367683352}"/>
    <dataValidation type="list" allowBlank="1" showInputMessage="1" showErrorMessage="1" sqref="AC88 AC90:AC92 AC103:AC104 AC110" xr:uid="{5F766EB9-8570-4518-B7F7-DD0D6709CBC7}">
      <formula1>Tiering</formula1>
    </dataValidation>
    <dataValidation type="list" allowBlank="1" showInputMessage="1" showErrorMessage="1" sqref="E88 E90:E110" xr:uid="{C2717FF9-B765-431F-B7E8-59E48B3669D1}">
      <formula1>Original</formula1>
    </dataValidation>
    <dataValidation type="list" allowBlank="1" showInputMessage="1" showErrorMessage="1" sqref="AC107:AC109" xr:uid="{A2895DB0-48B1-47FF-BEEC-F9EAF9E5F3D7}"/>
    <dataValidation type="list" allowBlank="1" showInputMessage="1" showErrorMessage="1" sqref="B1 B88 B90:B110 Z97 AA42 AB107 AA90:AA110 AB5:AB6 AB109:AB111 AB103:AB104 AB90:AB92 AA88:AB88 AB10:AB15 AB1:AB3 AB32 AB28 AB21 AB17 AB8 V1 V90:V92 V88 V104 V107:V110 U1:U1048576 H1:H1048576 I1 I88 I90:I92 I103:I104 I108:I110 AG1 AG88 AG90:AG92 AG94 AG103:AG104 AG107:AG110" xr:uid="{39DA103F-C467-4B1C-B8F9-E6953E4D4F12}">
      <formula1>#REF!</formula1>
    </dataValidation>
  </dataValidations>
  <pageMargins left="0.7" right="0.7" top="0.75" bottom="0.75" header="0.3" footer="0.3"/>
  <headerFooter>
    <oddFooter>&amp;C_x000D_&amp;1#&amp;"Calibri"&amp;10&amp;KFF0000 OFFICIAL - SENSITIVE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3F29F-C00D-4E6A-B006-0056E94F8F7E}">
  <dimension ref="A2:O38"/>
  <sheetViews>
    <sheetView topLeftCell="A4" workbookViewId="0">
      <selection activeCell="B32" sqref="B32:D38"/>
    </sheetView>
  </sheetViews>
  <sheetFormatPr defaultRowHeight="15.5"/>
  <cols>
    <col min="1" max="1" width="25.4609375" bestFit="1" customWidth="1"/>
    <col min="2" max="2" width="10.07421875" customWidth="1"/>
    <col min="3" max="4" width="16.07421875" customWidth="1"/>
    <col min="5" max="5" width="4.07421875" customWidth="1"/>
    <col min="6" max="6" width="9.84375" bestFit="1" customWidth="1"/>
    <col min="7" max="10" width="7.84375" customWidth="1"/>
    <col min="14" max="14" width="14.53515625" customWidth="1"/>
  </cols>
  <sheetData>
    <row r="2" spans="1:15" ht="21" customHeight="1">
      <c r="B2" s="3052" t="s">
        <v>6591</v>
      </c>
      <c r="C2" s="3052"/>
      <c r="D2" s="3052"/>
      <c r="L2" s="3052" t="s">
        <v>6592</v>
      </c>
      <c r="M2" s="3052"/>
      <c r="N2" s="3052"/>
      <c r="O2" s="3052"/>
    </row>
    <row r="3" spans="1:15" ht="47.9" customHeight="1">
      <c r="B3" s="2732" t="s">
        <v>6593</v>
      </c>
      <c r="C3" s="2732" t="s">
        <v>6594</v>
      </c>
      <c r="D3" s="2732" t="s">
        <v>6595</v>
      </c>
      <c r="F3" s="2734" t="s">
        <v>6596</v>
      </c>
      <c r="G3" s="1229" t="s">
        <v>6597</v>
      </c>
      <c r="H3" s="1229" t="s">
        <v>6598</v>
      </c>
      <c r="I3" s="1229" t="s">
        <v>6599</v>
      </c>
      <c r="J3" s="1229" t="s">
        <v>6600</v>
      </c>
      <c r="L3" s="2732" t="s">
        <v>6596</v>
      </c>
      <c r="M3" s="2732" t="s">
        <v>6593</v>
      </c>
      <c r="N3" s="2732" t="s">
        <v>6594</v>
      </c>
      <c r="O3" s="2732" t="s">
        <v>6595</v>
      </c>
    </row>
    <row r="4" spans="1:15">
      <c r="A4" s="1265" t="s">
        <v>6601</v>
      </c>
      <c r="B4" s="1280"/>
      <c r="C4" s="1280"/>
      <c r="D4" s="1281"/>
      <c r="F4" s="2733"/>
      <c r="G4" s="1281"/>
      <c r="H4" s="1281"/>
      <c r="I4" s="1281"/>
      <c r="J4" s="1281"/>
      <c r="L4" s="1280"/>
      <c r="M4" s="1280"/>
      <c r="N4" s="1280"/>
      <c r="O4" s="1280"/>
    </row>
    <row r="5" spans="1:15">
      <c r="A5" s="1270" t="s">
        <v>413</v>
      </c>
      <c r="B5" s="1267" t="e">
        <f>COUNTIFS('Above £50K'!#REF!,'Updates Summary'!A5,'Above £50K'!#REF!,"Active")</f>
        <v>#REF!</v>
      </c>
      <c r="C5" s="1268" t="e">
        <f>COUNTIFS('Above £50K'!#REF!,A5,'Above £50K'!#REF!,"&lt;8",'Above £50K'!#REF!,"Active")</f>
        <v>#REF!</v>
      </c>
      <c r="D5" s="1269" t="e">
        <f>IF(B5=0,"N/A",C5/B5)</f>
        <v>#REF!</v>
      </c>
      <c r="F5" s="1267" t="e">
        <f>COUNTIFS('Above £50K'!#REF!,'Updates Summary'!A5,'Above £50K'!#REF!,"Non Active")</f>
        <v>#REF!</v>
      </c>
      <c r="G5" s="1227" t="e">
        <f>COUNTIFS('Above £50K'!#REF!,A5,'Above £50K'!#REF!,"&lt;15",'Above £50K'!#REF!,"Active")-C5</f>
        <v>#REF!</v>
      </c>
      <c r="H5" s="1227" t="e">
        <f>COUNTIFS('Above £50K'!#REF!,A5,'Above £50K'!#REF!,"&lt;22",'Above £50K'!#REF!,"Active")-C5-G5</f>
        <v>#REF!</v>
      </c>
      <c r="I5" s="1227" t="e">
        <f>COUNTIFS('Above £50K'!#REF!,A5,'Above £50K'!#REF!,"&lt;29",'Above £50K'!#REF!,"Active")-C5-G5-H5</f>
        <v>#REF!</v>
      </c>
      <c r="J5" s="1227" t="e">
        <f>COUNTIFS('Above £50K'!#REF!,A5,'Above £50K'!#REF!,"&gt;28",'Above £50K'!#REF!,"Active")</f>
        <v>#REF!</v>
      </c>
      <c r="L5" s="1267" t="e">
        <f>COUNTIFS(#REF!,'Updates Summary'!A5,#REF!,"Non Active")</f>
        <v>#REF!</v>
      </c>
      <c r="M5" s="1267" t="e">
        <f>COUNTIFS(#REF!,'Updates Summary'!A5,#REF!,"Active")</f>
        <v>#REF!</v>
      </c>
      <c r="N5" s="1268" t="e">
        <f>COUNTIFS(#REF!,A5,#REF!,"&lt;8",#REF!,"Active")</f>
        <v>#REF!</v>
      </c>
      <c r="O5" s="1269" t="e">
        <f>IF(M5=0,"N/A",N5/M5)</f>
        <v>#REF!</v>
      </c>
    </row>
    <row r="6" spans="1:15">
      <c r="A6" s="1263" t="s">
        <v>5138</v>
      </c>
      <c r="B6" s="1267" t="e">
        <f>COUNTIFS('Above £50K'!#REF!,'Updates Summary'!A6,'Above £50K'!#REF!,"Active")</f>
        <v>#REF!</v>
      </c>
      <c r="C6" s="1268" t="e">
        <f>COUNTIFS('Above £50K'!#REF!,A6,'Above £50K'!#REF!,"&lt;8",'Above £50K'!#REF!,"Active")</f>
        <v>#REF!</v>
      </c>
      <c r="D6" s="1269" t="e">
        <f t="shared" ref="D6:D29" si="0">IF(B6=0,"N/A",C6/B6)</f>
        <v>#REF!</v>
      </c>
      <c r="F6" s="1267" t="e">
        <f>COUNTIFS('Above £50K'!#REF!,'Updates Summary'!A6,'Above £50K'!#REF!,"Non Active")</f>
        <v>#REF!</v>
      </c>
      <c r="G6" s="1227" t="e">
        <f>COUNTIFS('Above £50K'!#REF!,A6,'Above £50K'!#REF!,"&lt;15",'Above £50K'!#REF!,"Active")-C6</f>
        <v>#REF!</v>
      </c>
      <c r="H6" s="1227" t="e">
        <f>COUNTIFS('Above £50K'!#REF!,A6,'Above £50K'!#REF!,"&lt;22",'Above £50K'!#REF!,"Active")-C6-G6</f>
        <v>#REF!</v>
      </c>
      <c r="I6" s="1227" t="e">
        <f>COUNTIFS('Above £50K'!#REF!,A6,'Above £50K'!#REF!,"&lt;29",'Above £50K'!#REF!,"Active")-C6-G6-H6</f>
        <v>#REF!</v>
      </c>
      <c r="J6" s="1227" t="e">
        <f>COUNTIFS('Above £50K'!#REF!,A6,'Above £50K'!#REF!,"&gt;28",'Above £50K'!#REF!,"Active")</f>
        <v>#REF!</v>
      </c>
      <c r="L6" s="1267" t="e">
        <f>COUNTIFS(#REF!,'Updates Summary'!A6,#REF!,"Non Active")</f>
        <v>#REF!</v>
      </c>
      <c r="M6" s="1267" t="e">
        <f>COUNTIFS(#REF!,'Updates Summary'!A6,#REF!,"Active")</f>
        <v>#REF!</v>
      </c>
      <c r="N6" s="1268" t="e">
        <f>COUNTIFS(#REF!,A6,#REF!,"&lt;8",#REF!,"Active")</f>
        <v>#REF!</v>
      </c>
      <c r="O6" s="1269" t="e">
        <f t="shared" ref="O6:O29" si="1">IF(M6=0,"N/A",N6/M6)</f>
        <v>#REF!</v>
      </c>
    </row>
    <row r="7" spans="1:15">
      <c r="A7" s="1263" t="s">
        <v>5084</v>
      </c>
      <c r="B7" s="1267" t="e">
        <f>COUNTIFS('Above £50K'!#REF!,'Updates Summary'!A7,'Above £50K'!#REF!,"Active")</f>
        <v>#REF!</v>
      </c>
      <c r="C7" s="1268" t="e">
        <f>COUNTIFS('Above £50K'!#REF!,A7,'Above £50K'!#REF!,"&lt;8",'Above £50K'!#REF!,"Active")</f>
        <v>#REF!</v>
      </c>
      <c r="D7" s="1269" t="e">
        <f t="shared" si="0"/>
        <v>#REF!</v>
      </c>
      <c r="F7" s="1267" t="e">
        <f>COUNTIFS('Above £50K'!#REF!,'Updates Summary'!A7,'Above £50K'!#REF!,"Non Active")</f>
        <v>#REF!</v>
      </c>
      <c r="G7" s="1227" t="e">
        <f>COUNTIFS('Above £50K'!#REF!,A7,'Above £50K'!#REF!,"&lt;15",'Above £50K'!#REF!,"Active")-C7</f>
        <v>#REF!</v>
      </c>
      <c r="H7" s="1227" t="e">
        <f>COUNTIFS('Above £50K'!#REF!,A7,'Above £50K'!#REF!,"&lt;22",'Above £50K'!#REF!,"Active")-C7-G7</f>
        <v>#REF!</v>
      </c>
      <c r="I7" s="1227" t="e">
        <f>COUNTIFS('Above £50K'!#REF!,A7,'Above £50K'!#REF!,"&lt;29",'Above £50K'!#REF!,"Active")-C7-G7-H7</f>
        <v>#REF!</v>
      </c>
      <c r="J7" s="1227" t="e">
        <f>COUNTIFS('Above £50K'!#REF!,A7,'Above £50K'!#REF!,"&gt;28",'Above £50K'!#REF!,"Active")</f>
        <v>#REF!</v>
      </c>
      <c r="L7" s="1267" t="e">
        <f>COUNTIFS(#REF!,'Updates Summary'!A7,#REF!,"Non Active")</f>
        <v>#REF!</v>
      </c>
      <c r="M7" s="1267" t="e">
        <f>COUNTIFS(#REF!,'Updates Summary'!A7,#REF!,"Active")</f>
        <v>#REF!</v>
      </c>
      <c r="N7" s="1268" t="e">
        <f>COUNTIFS(#REF!,A7,#REF!,"&lt;8",#REF!,"Active")</f>
        <v>#REF!</v>
      </c>
      <c r="O7" s="1269" t="e">
        <f t="shared" si="1"/>
        <v>#REF!</v>
      </c>
    </row>
    <row r="8" spans="1:15">
      <c r="A8" s="1263" t="s">
        <v>679</v>
      </c>
      <c r="B8" s="1267" t="e">
        <f>COUNTIFS('Above £50K'!#REF!,'Updates Summary'!A8,'Above £50K'!#REF!,"Active")</f>
        <v>#REF!</v>
      </c>
      <c r="C8" s="1268" t="e">
        <f>COUNTIFS('Above £50K'!#REF!,A8,'Above £50K'!#REF!,"&lt;8",'Above £50K'!#REF!,"Active")</f>
        <v>#REF!</v>
      </c>
      <c r="D8" s="1269" t="e">
        <f t="shared" si="0"/>
        <v>#REF!</v>
      </c>
      <c r="F8" s="1267" t="e">
        <f>COUNTIFS('Above £50K'!#REF!,'Updates Summary'!A8,'Above £50K'!#REF!,"Non Active")</f>
        <v>#REF!</v>
      </c>
      <c r="G8" s="1227" t="e">
        <f>COUNTIFS('Above £50K'!#REF!,A8,'Above £50K'!#REF!,"&lt;15",'Above £50K'!#REF!,"Active")-C8</f>
        <v>#REF!</v>
      </c>
      <c r="H8" s="1227" t="e">
        <f>COUNTIFS('Above £50K'!#REF!,A8,'Above £50K'!#REF!,"&lt;22",'Above £50K'!#REF!,"Active")-C8-G8</f>
        <v>#REF!</v>
      </c>
      <c r="I8" s="1227" t="e">
        <f>COUNTIFS('Above £50K'!#REF!,A8,'Above £50K'!#REF!,"&lt;29",'Above £50K'!#REF!,"Active")-C8-G8-H8</f>
        <v>#REF!</v>
      </c>
      <c r="J8" s="1227" t="e">
        <f>COUNTIFS('Above £50K'!#REF!,A8,'Above £50K'!#REF!,"&gt;28",'Above £50K'!#REF!,"Active")</f>
        <v>#REF!</v>
      </c>
      <c r="L8" s="1267" t="e">
        <f>COUNTIFS(#REF!,'Updates Summary'!A8,#REF!,"Non Active")</f>
        <v>#REF!</v>
      </c>
      <c r="M8" s="1267" t="e">
        <f>COUNTIFS(#REF!,'Updates Summary'!A8,#REF!,"Active")</f>
        <v>#REF!</v>
      </c>
      <c r="N8" s="1268" t="e">
        <f>COUNTIFS(#REF!,A8,#REF!,"&lt;8",#REF!,"Active")</f>
        <v>#REF!</v>
      </c>
      <c r="O8" s="1269" t="e">
        <f t="shared" si="1"/>
        <v>#REF!</v>
      </c>
    </row>
    <row r="9" spans="1:15">
      <c r="A9" s="1263" t="s">
        <v>780</v>
      </c>
      <c r="B9" s="1267" t="e">
        <f>COUNTIFS('Above £50K'!#REF!,'Updates Summary'!A9,'Above £50K'!#REF!,"Active")</f>
        <v>#REF!</v>
      </c>
      <c r="C9" s="1268" t="e">
        <f>COUNTIFS('Above £50K'!#REF!,A9,'Above £50K'!#REF!,"&lt;8",'Above £50K'!#REF!,"Active")</f>
        <v>#REF!</v>
      </c>
      <c r="D9" s="1269" t="e">
        <f t="shared" si="0"/>
        <v>#REF!</v>
      </c>
      <c r="F9" s="1267" t="e">
        <f>COUNTIFS('Above £50K'!#REF!,'Updates Summary'!A9,'Above £50K'!#REF!,"Non Active")</f>
        <v>#REF!</v>
      </c>
      <c r="G9" s="1227" t="e">
        <f>COUNTIFS('Above £50K'!#REF!,A9,'Above £50K'!#REF!,"&lt;15",'Above £50K'!#REF!,"Active")-C9</f>
        <v>#REF!</v>
      </c>
      <c r="H9" s="1227" t="e">
        <f>COUNTIFS('Above £50K'!#REF!,A9,'Above £50K'!#REF!,"&lt;22",'Above £50K'!#REF!,"Active")-C9-G9</f>
        <v>#REF!</v>
      </c>
      <c r="I9" s="1227" t="e">
        <f>COUNTIFS('Above £50K'!#REF!,A9,'Above £50K'!#REF!,"&lt;29",'Above £50K'!#REF!,"Active")-C9-G9-H9</f>
        <v>#REF!</v>
      </c>
      <c r="J9" s="1227" t="e">
        <f>COUNTIFS('Above £50K'!#REF!,A9,'Above £50K'!#REF!,"&gt;28",'Above £50K'!#REF!,"Active")</f>
        <v>#REF!</v>
      </c>
      <c r="L9" s="1267" t="e">
        <f>COUNTIFS(#REF!,'Updates Summary'!A9,#REF!,"Non Active")</f>
        <v>#REF!</v>
      </c>
      <c r="M9" s="1267" t="e">
        <f>COUNTIFS(#REF!,'Updates Summary'!A9,#REF!,"Active")</f>
        <v>#REF!</v>
      </c>
      <c r="N9" s="1268" t="e">
        <f>COUNTIFS(#REF!,A9,#REF!,"&lt;8",#REF!,"Active")</f>
        <v>#REF!</v>
      </c>
      <c r="O9" s="1269" t="e">
        <f t="shared" si="1"/>
        <v>#REF!</v>
      </c>
    </row>
    <row r="10" spans="1:15">
      <c r="A10" s="1263" t="s">
        <v>77</v>
      </c>
      <c r="B10" s="1267" t="e">
        <f>COUNTIFS('Above £50K'!#REF!,'Updates Summary'!A10,'Above £50K'!#REF!,"Active")</f>
        <v>#REF!</v>
      </c>
      <c r="C10" s="1268" t="e">
        <f>COUNTIFS('Above £50K'!#REF!,A10,'Above £50K'!#REF!,"&lt;8",'Above £50K'!#REF!,"Active")</f>
        <v>#REF!</v>
      </c>
      <c r="D10" s="1269" t="e">
        <f t="shared" si="0"/>
        <v>#REF!</v>
      </c>
      <c r="F10" s="1267" t="e">
        <f>COUNTIFS('Above £50K'!#REF!,'Updates Summary'!A10,'Above £50K'!#REF!,"Non Active")</f>
        <v>#REF!</v>
      </c>
      <c r="G10" s="1227" t="e">
        <f>COUNTIFS('Above £50K'!#REF!,A10,'Above £50K'!#REF!,"&lt;15",'Above £50K'!#REF!,"Active")-C10</f>
        <v>#REF!</v>
      </c>
      <c r="H10" s="1227" t="e">
        <f>COUNTIFS('Above £50K'!#REF!,A10,'Above £50K'!#REF!,"&lt;22",'Above £50K'!#REF!,"Active")-C10-G10</f>
        <v>#REF!</v>
      </c>
      <c r="I10" s="1227" t="e">
        <f>COUNTIFS('Above £50K'!#REF!,A10,'Above £50K'!#REF!,"&lt;29",'Above £50K'!#REF!,"Active")-C10-G10-H10</f>
        <v>#REF!</v>
      </c>
      <c r="J10" s="1227" t="e">
        <f>COUNTIFS('Above £50K'!#REF!,A10,'Above £50K'!#REF!,"&gt;28",'Above £50K'!#REF!,"Active")</f>
        <v>#REF!</v>
      </c>
      <c r="L10" s="1267" t="e">
        <f>COUNTIFS(#REF!,'Updates Summary'!A10,#REF!,"Non Active")</f>
        <v>#REF!</v>
      </c>
      <c r="M10" s="1267" t="e">
        <f>COUNTIFS(#REF!,'Updates Summary'!A10,#REF!,"Active")</f>
        <v>#REF!</v>
      </c>
      <c r="N10" s="1268" t="e">
        <f>COUNTIFS(#REF!,A10,#REF!,"&lt;8",#REF!,"Active")</f>
        <v>#REF!</v>
      </c>
      <c r="O10" s="1269" t="e">
        <f t="shared" si="1"/>
        <v>#REF!</v>
      </c>
    </row>
    <row r="11" spans="1:15">
      <c r="A11" s="1263" t="s">
        <v>5066</v>
      </c>
      <c r="B11" s="1267" t="e">
        <f>COUNTIFS('Above £50K'!#REF!,'Updates Summary'!A11,'Above £50K'!#REF!,"Active")</f>
        <v>#REF!</v>
      </c>
      <c r="C11" s="1268" t="e">
        <f>COUNTIFS('Above £50K'!#REF!,A11,'Above £50K'!#REF!,"&lt;8",'Above £50K'!#REF!,"Active")</f>
        <v>#REF!</v>
      </c>
      <c r="D11" s="1269" t="e">
        <f t="shared" si="0"/>
        <v>#REF!</v>
      </c>
      <c r="F11" s="1267" t="e">
        <f>COUNTIFS('Above £50K'!#REF!,'Updates Summary'!A11,'Above £50K'!#REF!,"Non Active")</f>
        <v>#REF!</v>
      </c>
      <c r="G11" s="1227" t="e">
        <f>COUNTIFS('Above £50K'!#REF!,A11,'Above £50K'!#REF!,"&lt;15",'Above £50K'!#REF!,"Active")-C11</f>
        <v>#REF!</v>
      </c>
      <c r="H11" s="1227" t="e">
        <f>COUNTIFS('Above £50K'!#REF!,A11,'Above £50K'!#REF!,"&lt;22",'Above £50K'!#REF!,"Active")-C11-G11</f>
        <v>#REF!</v>
      </c>
      <c r="I11" s="1227" t="e">
        <f>COUNTIFS('Above £50K'!#REF!,A11,'Above £50K'!#REF!,"&lt;29",'Above £50K'!#REF!,"Active")-C11-G11-H11</f>
        <v>#REF!</v>
      </c>
      <c r="J11" s="1227" t="e">
        <f>COUNTIFS('Above £50K'!#REF!,A11,'Above £50K'!#REF!,"&gt;28",'Above £50K'!#REF!,"Active")</f>
        <v>#REF!</v>
      </c>
      <c r="L11" s="1267" t="e">
        <f>COUNTIFS(#REF!,'Updates Summary'!A11,#REF!,"Non Active")</f>
        <v>#REF!</v>
      </c>
      <c r="M11" s="1267" t="e">
        <f>COUNTIFS(#REF!,'Updates Summary'!A11,#REF!,"Active")</f>
        <v>#REF!</v>
      </c>
      <c r="N11" s="1268" t="e">
        <f>COUNTIFS(#REF!,A11,#REF!,"&lt;8",#REF!,"Active")</f>
        <v>#REF!</v>
      </c>
      <c r="O11" s="1269" t="e">
        <f t="shared" si="1"/>
        <v>#REF!</v>
      </c>
    </row>
    <row r="12" spans="1:15" ht="15" customHeight="1">
      <c r="A12" s="1263" t="s">
        <v>5005</v>
      </c>
      <c r="B12" s="1267" t="e">
        <f>COUNTIFS('Above £50K'!#REF!,'Updates Summary'!A12,'Above £50K'!#REF!,"Active")</f>
        <v>#REF!</v>
      </c>
      <c r="C12" s="1268" t="e">
        <f>COUNTIFS('Above £50K'!#REF!,A12,'Above £50K'!#REF!,"&lt;8",'Above £50K'!#REF!,"Active")</f>
        <v>#REF!</v>
      </c>
      <c r="D12" s="1269" t="e">
        <f t="shared" si="0"/>
        <v>#REF!</v>
      </c>
      <c r="F12" s="1267" t="e">
        <f>COUNTIFS('Above £50K'!#REF!,'Updates Summary'!A12,'Above £50K'!#REF!,"Non Active")</f>
        <v>#REF!</v>
      </c>
      <c r="G12" s="1227" t="e">
        <f>COUNTIFS('Above £50K'!#REF!,A12,'Above £50K'!#REF!,"&lt;15",'Above £50K'!#REF!,"Active")-C12</f>
        <v>#REF!</v>
      </c>
      <c r="H12" s="1227" t="e">
        <f>COUNTIFS('Above £50K'!#REF!,A12,'Above £50K'!#REF!,"&lt;22",'Above £50K'!#REF!,"Active")-C12-G12</f>
        <v>#REF!</v>
      </c>
      <c r="I12" s="1227" t="e">
        <f>COUNTIFS('Above £50K'!#REF!,A12,'Above £50K'!#REF!,"&lt;29",'Above £50K'!#REF!,"Active")-C12-G12-H12</f>
        <v>#REF!</v>
      </c>
      <c r="J12" s="1227" t="e">
        <f>COUNTIFS('Above £50K'!#REF!,A12,'Above £50K'!#REF!,"&gt;28",'Above £50K'!#REF!,"Active")</f>
        <v>#REF!</v>
      </c>
      <c r="L12" s="1267" t="e">
        <f>COUNTIFS(#REF!,'Updates Summary'!A12,#REF!,"Non Active")</f>
        <v>#REF!</v>
      </c>
      <c r="M12" s="1267" t="e">
        <f>COUNTIFS(#REF!,'Updates Summary'!A12,#REF!,"Active")</f>
        <v>#REF!</v>
      </c>
      <c r="N12" s="1268" t="e">
        <f>COUNTIFS(#REF!,A12,#REF!,"&lt;8",#REF!,"Active")</f>
        <v>#REF!</v>
      </c>
      <c r="O12" s="1269" t="e">
        <f t="shared" si="1"/>
        <v>#REF!</v>
      </c>
    </row>
    <row r="13" spans="1:15">
      <c r="A13" s="1263" t="s">
        <v>5039</v>
      </c>
      <c r="B13" s="1267" t="e">
        <f>COUNTIFS('Above £50K'!#REF!,'Updates Summary'!A13,'Above £50K'!#REF!,"Active")</f>
        <v>#REF!</v>
      </c>
      <c r="C13" s="1268" t="e">
        <f>COUNTIFS('Above £50K'!#REF!,A13,'Above £50K'!#REF!,"&lt;8",'Above £50K'!#REF!,"Active")</f>
        <v>#REF!</v>
      </c>
      <c r="D13" s="1269" t="e">
        <f t="shared" si="0"/>
        <v>#REF!</v>
      </c>
      <c r="F13" s="1267" t="e">
        <f>COUNTIFS('Above £50K'!#REF!,'Updates Summary'!A13,'Above £50K'!#REF!,"Non Active")</f>
        <v>#REF!</v>
      </c>
      <c r="G13" s="1227" t="e">
        <f>COUNTIFS('Above £50K'!#REF!,A13,'Above £50K'!#REF!,"&lt;15",'Above £50K'!#REF!,"Active")-C13</f>
        <v>#REF!</v>
      </c>
      <c r="H13" s="1227" t="e">
        <f>COUNTIFS('Above £50K'!#REF!,A13,'Above £50K'!#REF!,"&lt;22",'Above £50K'!#REF!,"Active")-C13-G13</f>
        <v>#REF!</v>
      </c>
      <c r="I13" s="1227" t="e">
        <f>COUNTIFS('Above £50K'!#REF!,A13,'Above £50K'!#REF!,"&lt;29",'Above £50K'!#REF!,"Active")-C13-G13-H13</f>
        <v>#REF!</v>
      </c>
      <c r="J13" s="1227" t="e">
        <f>COUNTIFS('Above £50K'!#REF!,A13,'Above £50K'!#REF!,"&gt;28",'Above £50K'!#REF!,"Active")</f>
        <v>#REF!</v>
      </c>
      <c r="L13" s="1267" t="e">
        <f>COUNTIFS(#REF!,'Updates Summary'!A13,#REF!,"Non Active")</f>
        <v>#REF!</v>
      </c>
      <c r="M13" s="1267" t="e">
        <f>COUNTIFS(#REF!,'Updates Summary'!A13,#REF!,"Active")</f>
        <v>#REF!</v>
      </c>
      <c r="N13" s="1268" t="e">
        <f>COUNTIFS(#REF!,A13,#REF!,"&lt;8",#REF!,"Active")</f>
        <v>#REF!</v>
      </c>
      <c r="O13" s="1269" t="e">
        <f t="shared" si="1"/>
        <v>#REF!</v>
      </c>
    </row>
    <row r="14" spans="1:15">
      <c r="A14" s="1263" t="s">
        <v>5071</v>
      </c>
      <c r="B14" s="1267" t="e">
        <f>COUNTIFS('Above £50K'!#REF!,'Updates Summary'!A14,'Above £50K'!#REF!,"Active")</f>
        <v>#REF!</v>
      </c>
      <c r="C14" s="1268" t="e">
        <f>COUNTIFS('Above £50K'!#REF!,A14,'Above £50K'!#REF!,"&lt;8",'Above £50K'!#REF!,"Active")</f>
        <v>#REF!</v>
      </c>
      <c r="D14" s="1269" t="e">
        <f t="shared" si="0"/>
        <v>#REF!</v>
      </c>
      <c r="F14" s="1267" t="e">
        <f>COUNTIFS('Above £50K'!#REF!,'Updates Summary'!A14,'Above £50K'!#REF!,"Non Active")</f>
        <v>#REF!</v>
      </c>
      <c r="G14" s="1227" t="e">
        <f>COUNTIFS('Above £50K'!#REF!,A14,'Above £50K'!#REF!,"&lt;15",'Above £50K'!#REF!,"Active")-C14</f>
        <v>#REF!</v>
      </c>
      <c r="H14" s="1227" t="e">
        <f>COUNTIFS('Above £50K'!#REF!,A14,'Above £50K'!#REF!,"&lt;22",'Above £50K'!#REF!,"Active")-C14-G14</f>
        <v>#REF!</v>
      </c>
      <c r="I14" s="1227" t="e">
        <f>COUNTIFS('Above £50K'!#REF!,A14,'Above £50K'!#REF!,"&lt;29",'Above £50K'!#REF!,"Active")-C14-G14-H14</f>
        <v>#REF!</v>
      </c>
      <c r="J14" s="1227" t="e">
        <f>COUNTIFS('Above £50K'!#REF!,A14,'Above £50K'!#REF!,"&gt;28",'Above £50K'!#REF!,"Active")</f>
        <v>#REF!</v>
      </c>
      <c r="L14" s="1267" t="e">
        <f>COUNTIFS(#REF!,'Updates Summary'!A14,#REF!,"Non Active")</f>
        <v>#REF!</v>
      </c>
      <c r="M14" s="1267" t="e">
        <f>COUNTIFS(#REF!,'Updates Summary'!A14,#REF!,"Active")</f>
        <v>#REF!</v>
      </c>
      <c r="N14" s="1268" t="e">
        <f>COUNTIFS(#REF!,A14,#REF!,"&lt;8",#REF!,"Active")</f>
        <v>#REF!</v>
      </c>
      <c r="O14" s="1269" t="e">
        <f t="shared" si="1"/>
        <v>#REF!</v>
      </c>
    </row>
    <row r="15" spans="1:15">
      <c r="A15" s="1263" t="s">
        <v>5190</v>
      </c>
      <c r="B15" s="1267" t="e">
        <f>COUNTIFS('Above £50K'!#REF!,'Updates Summary'!A15,'Above £50K'!#REF!,"Active")</f>
        <v>#REF!</v>
      </c>
      <c r="C15" s="1268" t="e">
        <f>COUNTIFS('Above £50K'!#REF!,A15,'Above £50K'!#REF!,"&lt;8",'Above £50K'!#REF!,"Active")</f>
        <v>#REF!</v>
      </c>
      <c r="D15" s="1269" t="e">
        <f t="shared" si="0"/>
        <v>#REF!</v>
      </c>
      <c r="F15" s="1267" t="e">
        <f>COUNTIFS('Above £50K'!#REF!,'Updates Summary'!A15,'Above £50K'!#REF!,"Non Active")</f>
        <v>#REF!</v>
      </c>
      <c r="G15" s="1227" t="e">
        <f>COUNTIFS('Above £50K'!#REF!,A15,'Above £50K'!#REF!,"&lt;15",'Above £50K'!#REF!,"Active")-C15</f>
        <v>#REF!</v>
      </c>
      <c r="H15" s="1227" t="e">
        <f>COUNTIFS('Above £50K'!#REF!,A15,'Above £50K'!#REF!,"&lt;22",'Above £50K'!#REF!,"Active")-C15-G15</f>
        <v>#REF!</v>
      </c>
      <c r="I15" s="1227" t="e">
        <f>COUNTIFS('Above £50K'!#REF!,A15,'Above £50K'!#REF!,"&lt;29",'Above £50K'!#REF!,"Active")-C15-G15-H15</f>
        <v>#REF!</v>
      </c>
      <c r="J15" s="1227" t="e">
        <f>COUNTIFS('Above £50K'!#REF!,A15,'Above £50K'!#REF!,"&gt;28",'Above £50K'!#REF!,"Active")</f>
        <v>#REF!</v>
      </c>
      <c r="L15" s="1267" t="e">
        <f>COUNTIFS(#REF!,'Updates Summary'!A15,#REF!,"Non Active")</f>
        <v>#REF!</v>
      </c>
      <c r="M15" s="1267" t="e">
        <f>COUNTIFS(#REF!,'Updates Summary'!A15,#REF!,"Active")</f>
        <v>#REF!</v>
      </c>
      <c r="N15" s="1268" t="e">
        <f>COUNTIFS(#REF!,A15,#REF!,"&lt;8",#REF!,"Active")</f>
        <v>#REF!</v>
      </c>
      <c r="O15" s="1269" t="e">
        <f t="shared" si="1"/>
        <v>#REF!</v>
      </c>
    </row>
    <row r="16" spans="1:15">
      <c r="A16" s="1263" t="s">
        <v>5094</v>
      </c>
      <c r="B16" s="1267" t="e">
        <f>COUNTIFS('Above £50K'!#REF!,'Updates Summary'!A16,'Above £50K'!#REF!,"Active")</f>
        <v>#REF!</v>
      </c>
      <c r="C16" s="1268" t="e">
        <f>COUNTIFS('Above £50K'!#REF!,A16,'Above £50K'!#REF!,"&lt;8",'Above £50K'!#REF!,"Active")</f>
        <v>#REF!</v>
      </c>
      <c r="D16" s="1269" t="e">
        <f t="shared" si="0"/>
        <v>#REF!</v>
      </c>
      <c r="F16" s="1267" t="e">
        <f>COUNTIFS('Above £50K'!#REF!,'Updates Summary'!A16,'Above £50K'!#REF!,"Non Active")</f>
        <v>#REF!</v>
      </c>
      <c r="G16" s="1227" t="e">
        <f>COUNTIFS('Above £50K'!#REF!,A16,'Above £50K'!#REF!,"&lt;15",'Above £50K'!#REF!,"Active")-C16</f>
        <v>#REF!</v>
      </c>
      <c r="H16" s="1227" t="e">
        <f>COUNTIFS('Above £50K'!#REF!,A16,'Above £50K'!#REF!,"&lt;22",'Above £50K'!#REF!,"Active")-C16-G16</f>
        <v>#REF!</v>
      </c>
      <c r="I16" s="1227" t="e">
        <f>COUNTIFS('Above £50K'!#REF!,A16,'Above £50K'!#REF!,"&lt;29",'Above £50K'!#REF!,"Active")-C16-G16-H16</f>
        <v>#REF!</v>
      </c>
      <c r="J16" s="1227" t="e">
        <f>COUNTIFS('Above £50K'!#REF!,A16,'Above £50K'!#REF!,"&gt;28",'Above £50K'!#REF!,"Active")</f>
        <v>#REF!</v>
      </c>
      <c r="L16" s="1267" t="e">
        <f>COUNTIFS(#REF!,'Updates Summary'!A16,#REF!,"Non Active")</f>
        <v>#REF!</v>
      </c>
      <c r="M16" s="1267" t="e">
        <f>COUNTIFS(#REF!,'Updates Summary'!A16,#REF!,"Active")</f>
        <v>#REF!</v>
      </c>
      <c r="N16" s="1268" t="e">
        <f>COUNTIFS(#REF!,A16,#REF!,"&lt;8",#REF!,"Active")</f>
        <v>#REF!</v>
      </c>
      <c r="O16" s="1269" t="e">
        <f t="shared" si="1"/>
        <v>#REF!</v>
      </c>
    </row>
    <row r="17" spans="1:15">
      <c r="A17" s="1263" t="s">
        <v>5141</v>
      </c>
      <c r="B17" s="1267" t="e">
        <f>COUNTIFS('Above £50K'!#REF!,'Updates Summary'!A17,'Above £50K'!#REF!,"Active")</f>
        <v>#REF!</v>
      </c>
      <c r="C17" s="1268" t="e">
        <f>COUNTIFS('Above £50K'!#REF!,A17,'Above £50K'!#REF!,"&lt;8",'Above £50K'!#REF!,"Active")</f>
        <v>#REF!</v>
      </c>
      <c r="D17" s="1269" t="e">
        <f t="shared" si="0"/>
        <v>#REF!</v>
      </c>
      <c r="F17" s="1267" t="e">
        <f>COUNTIFS('Above £50K'!#REF!,'Updates Summary'!A17,'Above £50K'!#REF!,"Non Active")</f>
        <v>#REF!</v>
      </c>
      <c r="G17" s="1227" t="e">
        <f>COUNTIFS('Above £50K'!#REF!,A17,'Above £50K'!#REF!,"&lt;15",'Above £50K'!#REF!,"Active")-C17</f>
        <v>#REF!</v>
      </c>
      <c r="H17" s="1227" t="e">
        <f>COUNTIFS('Above £50K'!#REF!,A17,'Above £50K'!#REF!,"&lt;22",'Above £50K'!#REF!,"Active")-C17-G17</f>
        <v>#REF!</v>
      </c>
      <c r="I17" s="1227" t="e">
        <f>COUNTIFS('Above £50K'!#REF!,A17,'Above £50K'!#REF!,"&lt;29",'Above £50K'!#REF!,"Active")-C17-G17-H17</f>
        <v>#REF!</v>
      </c>
      <c r="J17" s="1227" t="e">
        <f>COUNTIFS('Above £50K'!#REF!,A17,'Above £50K'!#REF!,"&gt;28",'Above £50K'!#REF!,"Active")</f>
        <v>#REF!</v>
      </c>
      <c r="L17" s="1267" t="e">
        <f>COUNTIFS(#REF!,'Updates Summary'!A17,#REF!,"Non Active")</f>
        <v>#REF!</v>
      </c>
      <c r="M17" s="1267" t="e">
        <f>COUNTIFS(#REF!,'Updates Summary'!A17,#REF!,"Active")</f>
        <v>#REF!</v>
      </c>
      <c r="N17" s="1268" t="e">
        <f>COUNTIFS(#REF!,A17,#REF!,"&lt;8",#REF!,"Active")</f>
        <v>#REF!</v>
      </c>
      <c r="O17" s="1269" t="e">
        <f t="shared" si="1"/>
        <v>#REF!</v>
      </c>
    </row>
    <row r="18" spans="1:15">
      <c r="A18" s="1263" t="s">
        <v>5097</v>
      </c>
      <c r="B18" s="1267" t="e">
        <f>COUNTIFS('Above £50K'!#REF!,'Updates Summary'!A18,'Above £50K'!#REF!,"Active")</f>
        <v>#REF!</v>
      </c>
      <c r="C18" s="1268" t="e">
        <f>COUNTIFS('Above £50K'!#REF!,A18,'Above £50K'!#REF!,"&lt;8",'Above £50K'!#REF!,"Active")</f>
        <v>#REF!</v>
      </c>
      <c r="D18" s="1269" t="e">
        <f t="shared" si="0"/>
        <v>#REF!</v>
      </c>
      <c r="F18" s="1267" t="e">
        <f>COUNTIFS('Above £50K'!#REF!,'Updates Summary'!A18,'Above £50K'!#REF!,"Non Active")</f>
        <v>#REF!</v>
      </c>
      <c r="G18" s="1227" t="e">
        <f>COUNTIFS('Above £50K'!#REF!,A18,'Above £50K'!#REF!,"&lt;15",'Above £50K'!#REF!,"Active")-C18</f>
        <v>#REF!</v>
      </c>
      <c r="H18" s="1227" t="e">
        <f>COUNTIFS('Above £50K'!#REF!,A18,'Above £50K'!#REF!,"&lt;22",'Above £50K'!#REF!,"Active")-C18-G18</f>
        <v>#REF!</v>
      </c>
      <c r="I18" s="1227" t="e">
        <f>COUNTIFS('Above £50K'!#REF!,A18,'Above £50K'!#REF!,"&lt;29",'Above £50K'!#REF!,"Active")-C18-G18-H18</f>
        <v>#REF!</v>
      </c>
      <c r="J18" s="1227" t="e">
        <f>COUNTIFS('Above £50K'!#REF!,A18,'Above £50K'!#REF!,"&gt;28",'Above £50K'!#REF!,"Active")</f>
        <v>#REF!</v>
      </c>
      <c r="L18" s="1267" t="e">
        <f>COUNTIFS(#REF!,'Updates Summary'!A18,#REF!,"Non Active")</f>
        <v>#REF!</v>
      </c>
      <c r="M18" s="1267" t="e">
        <f>COUNTIFS(#REF!,'Updates Summary'!A18,#REF!,"Active")</f>
        <v>#REF!</v>
      </c>
      <c r="N18" s="1268" t="e">
        <f>COUNTIFS(#REF!,A18,#REF!,"&lt;8",#REF!,"Active")</f>
        <v>#REF!</v>
      </c>
      <c r="O18" s="1269" t="e">
        <f t="shared" si="1"/>
        <v>#REF!</v>
      </c>
    </row>
    <row r="19" spans="1:15">
      <c r="A19" s="1263" t="s">
        <v>784</v>
      </c>
      <c r="B19" s="1267" t="e">
        <f>COUNTIFS('Above £50K'!#REF!,'Updates Summary'!A19,'Above £50K'!#REF!,"Active")</f>
        <v>#REF!</v>
      </c>
      <c r="C19" s="1268" t="e">
        <f>COUNTIFS('Above £50K'!#REF!,A19,'Above £50K'!#REF!,"&lt;8",'Above £50K'!#REF!,"Active")</f>
        <v>#REF!</v>
      </c>
      <c r="D19" s="1269" t="e">
        <f t="shared" si="0"/>
        <v>#REF!</v>
      </c>
      <c r="F19" s="1267" t="e">
        <f>COUNTIFS('Above £50K'!#REF!,'Updates Summary'!A19,'Above £50K'!#REF!,"Non Active")</f>
        <v>#REF!</v>
      </c>
      <c r="G19" s="1227" t="e">
        <f>COUNTIFS('Above £50K'!#REF!,A19,'Above £50K'!#REF!,"&lt;15",'Above £50K'!#REF!,"Active")-C19</f>
        <v>#REF!</v>
      </c>
      <c r="H19" s="1227" t="e">
        <f>COUNTIFS('Above £50K'!#REF!,A19,'Above £50K'!#REF!,"&lt;22",'Above £50K'!#REF!,"Active")-C19-G19</f>
        <v>#REF!</v>
      </c>
      <c r="I19" s="1227" t="e">
        <f>COUNTIFS('Above £50K'!#REF!,A19,'Above £50K'!#REF!,"&lt;29",'Above £50K'!#REF!,"Active")-C19-G19-H19</f>
        <v>#REF!</v>
      </c>
      <c r="J19" s="1227" t="e">
        <f>COUNTIFS('Above £50K'!#REF!,A19,'Above £50K'!#REF!,"&gt;28",'Above £50K'!#REF!,"Active")</f>
        <v>#REF!</v>
      </c>
      <c r="L19" s="1267" t="e">
        <f>COUNTIFS(#REF!,'Updates Summary'!A19,#REF!,"Non Active")</f>
        <v>#REF!</v>
      </c>
      <c r="M19" s="1267" t="e">
        <f>COUNTIFS(#REF!,'Updates Summary'!A19,#REF!,"Active")</f>
        <v>#REF!</v>
      </c>
      <c r="N19" s="1268" t="e">
        <f>COUNTIFS(#REF!,A19,#REF!,"&lt;8",#REF!,"Active")</f>
        <v>#REF!</v>
      </c>
      <c r="O19" s="1269" t="e">
        <f t="shared" si="1"/>
        <v>#REF!</v>
      </c>
    </row>
    <row r="20" spans="1:15">
      <c r="A20" s="1263" t="s">
        <v>86</v>
      </c>
      <c r="B20" s="1267" t="e">
        <f>COUNTIFS('Above £50K'!#REF!,'Updates Summary'!A20,'Above £50K'!#REF!,"Active")</f>
        <v>#REF!</v>
      </c>
      <c r="C20" s="1268" t="e">
        <f>COUNTIFS('Above £50K'!#REF!,A20,'Above £50K'!#REF!,"&lt;8",'Above £50K'!#REF!,"Active")</f>
        <v>#REF!</v>
      </c>
      <c r="D20" s="1269" t="e">
        <f t="shared" si="0"/>
        <v>#REF!</v>
      </c>
      <c r="F20" s="1267" t="e">
        <f>COUNTIFS('Above £50K'!#REF!,'Updates Summary'!A20,'Above £50K'!#REF!,"Non Active")</f>
        <v>#REF!</v>
      </c>
      <c r="G20" s="1227" t="e">
        <f>COUNTIFS('Above £50K'!#REF!,A20,'Above £50K'!#REF!,"&lt;15",'Above £50K'!#REF!,"Active")-C20</f>
        <v>#REF!</v>
      </c>
      <c r="H20" s="1227" t="e">
        <f>COUNTIFS('Above £50K'!#REF!,A20,'Above £50K'!#REF!,"&lt;22",'Above £50K'!#REF!,"Active")-C20-G20</f>
        <v>#REF!</v>
      </c>
      <c r="I20" s="1227" t="e">
        <f>COUNTIFS('Above £50K'!#REF!,A20,'Above £50K'!#REF!,"&lt;29",'Above £50K'!#REF!,"Active")-C20-G20-H20</f>
        <v>#REF!</v>
      </c>
      <c r="J20" s="1227" t="e">
        <f>COUNTIFS('Above £50K'!#REF!,A20,'Above £50K'!#REF!,"&gt;28",'Above £50K'!#REF!,"Active")</f>
        <v>#REF!</v>
      </c>
      <c r="L20" s="1267" t="e">
        <f>COUNTIFS(#REF!,'Updates Summary'!A20,#REF!,"Non Active")</f>
        <v>#REF!</v>
      </c>
      <c r="M20" s="1267" t="e">
        <f>COUNTIFS(#REF!,'Updates Summary'!A20,#REF!,"Active")</f>
        <v>#REF!</v>
      </c>
      <c r="N20" s="1268" t="e">
        <f>COUNTIFS(#REF!,A20,#REF!,"&lt;8",#REF!,"Active")</f>
        <v>#REF!</v>
      </c>
      <c r="O20" s="1269" t="e">
        <f t="shared" si="1"/>
        <v>#REF!</v>
      </c>
    </row>
    <row r="21" spans="1:15">
      <c r="A21" s="1263" t="s">
        <v>254</v>
      </c>
      <c r="B21" s="1267" t="e">
        <f>COUNTIFS('Above £50K'!#REF!,'Updates Summary'!A21,'Above £50K'!#REF!,"Active")</f>
        <v>#REF!</v>
      </c>
      <c r="C21" s="1268" t="e">
        <f>COUNTIFS('Above £50K'!#REF!,A21,'Above £50K'!#REF!,"&lt;8",'Above £50K'!#REF!,"Active")</f>
        <v>#REF!</v>
      </c>
      <c r="D21" s="1269" t="e">
        <f t="shared" si="0"/>
        <v>#REF!</v>
      </c>
      <c r="F21" s="1267" t="e">
        <f>COUNTIFS('Above £50K'!#REF!,'Updates Summary'!A21,'Above £50K'!#REF!,"Non Active")</f>
        <v>#REF!</v>
      </c>
      <c r="G21" s="1227" t="e">
        <f>COUNTIFS('Above £50K'!#REF!,A21,'Above £50K'!#REF!,"&lt;15",'Above £50K'!#REF!,"Active")-C21</f>
        <v>#REF!</v>
      </c>
      <c r="H21" s="1227" t="e">
        <f>COUNTIFS('Above £50K'!#REF!,A21,'Above £50K'!#REF!,"&lt;22",'Above £50K'!#REF!,"Active")-C21-G21</f>
        <v>#REF!</v>
      </c>
      <c r="I21" s="1227" t="e">
        <f>COUNTIFS('Above £50K'!#REF!,A21,'Above £50K'!#REF!,"&lt;29",'Above £50K'!#REF!,"Active")-C21-G21-H21</f>
        <v>#REF!</v>
      </c>
      <c r="J21" s="1227" t="e">
        <f>COUNTIFS('Above £50K'!#REF!,A21,'Above £50K'!#REF!,"&gt;28",'Above £50K'!#REF!,"Active")</f>
        <v>#REF!</v>
      </c>
      <c r="L21" s="1267" t="e">
        <f>COUNTIFS(#REF!,'Updates Summary'!A21,#REF!,"Non Active")</f>
        <v>#REF!</v>
      </c>
      <c r="M21" s="1267" t="e">
        <f>COUNTIFS(#REF!,'Updates Summary'!A21,#REF!,"Active")</f>
        <v>#REF!</v>
      </c>
      <c r="N21" s="1268" t="e">
        <f>COUNTIFS(#REF!,A21,#REF!,"&lt;8",#REF!,"Active")</f>
        <v>#REF!</v>
      </c>
      <c r="O21" s="1269" t="e">
        <f t="shared" si="1"/>
        <v>#REF!</v>
      </c>
    </row>
    <row r="22" spans="1:15">
      <c r="A22" s="1263" t="s">
        <v>94</v>
      </c>
      <c r="B22" s="1267" t="e">
        <f>COUNTIFS('Above £50K'!#REF!,'Updates Summary'!A22,'Above £50K'!#REF!,"Active")</f>
        <v>#REF!</v>
      </c>
      <c r="C22" s="1268" t="e">
        <f>COUNTIFS('Above £50K'!#REF!,A22,'Above £50K'!#REF!,"&lt;8",'Above £50K'!#REF!,"Active")</f>
        <v>#REF!</v>
      </c>
      <c r="D22" s="1269" t="e">
        <f t="shared" si="0"/>
        <v>#REF!</v>
      </c>
      <c r="F22" s="1267" t="e">
        <f>COUNTIFS('Above £50K'!#REF!,'Updates Summary'!A22,'Above £50K'!#REF!,"Non Active")</f>
        <v>#REF!</v>
      </c>
      <c r="G22" s="1227" t="e">
        <f>COUNTIFS('Above £50K'!#REF!,A22,'Above £50K'!#REF!,"&lt;15",'Above £50K'!#REF!,"Active")-C22</f>
        <v>#REF!</v>
      </c>
      <c r="H22" s="1227" t="e">
        <f>COUNTIFS('Above £50K'!#REF!,A22,'Above £50K'!#REF!,"&lt;22",'Above £50K'!#REF!,"Active")-C22-G22</f>
        <v>#REF!</v>
      </c>
      <c r="I22" s="1227" t="e">
        <f>COUNTIFS('Above £50K'!#REF!,A22,'Above £50K'!#REF!,"&lt;29",'Above £50K'!#REF!,"Active")-C22-G22-H22</f>
        <v>#REF!</v>
      </c>
      <c r="J22" s="1227" t="e">
        <f>COUNTIFS('Above £50K'!#REF!,A22,'Above £50K'!#REF!,"&gt;28",'Above £50K'!#REF!,"Active")</f>
        <v>#REF!</v>
      </c>
      <c r="L22" s="1267" t="e">
        <f>COUNTIFS(#REF!,'Updates Summary'!A22,#REF!,"Non Active")</f>
        <v>#REF!</v>
      </c>
      <c r="M22" s="1267" t="e">
        <f>COUNTIFS(#REF!,'Updates Summary'!A22,#REF!,"Active")</f>
        <v>#REF!</v>
      </c>
      <c r="N22" s="1268" t="e">
        <f>COUNTIFS(#REF!,A22,#REF!,"&lt;8",#REF!,"Active")</f>
        <v>#REF!</v>
      </c>
      <c r="O22" s="1269" t="e">
        <f t="shared" si="1"/>
        <v>#REF!</v>
      </c>
    </row>
    <row r="23" spans="1:15">
      <c r="A23" s="1263" t="s">
        <v>920</v>
      </c>
      <c r="B23" s="1267" t="e">
        <f>COUNTIFS('Above £50K'!#REF!,'Updates Summary'!A23,'Above £50K'!#REF!,"Active")</f>
        <v>#REF!</v>
      </c>
      <c r="C23" s="1268" t="e">
        <f>COUNTIFS('Above £50K'!#REF!,A23,'Above £50K'!#REF!,"&lt;8",'Above £50K'!#REF!,"Active")</f>
        <v>#REF!</v>
      </c>
      <c r="D23" s="1269" t="e">
        <f t="shared" si="0"/>
        <v>#REF!</v>
      </c>
      <c r="F23" s="1267" t="e">
        <f>COUNTIFS('Above £50K'!#REF!,'Updates Summary'!A23,'Above £50K'!#REF!,"Non Active")</f>
        <v>#REF!</v>
      </c>
      <c r="G23" s="1227" t="e">
        <f>COUNTIFS('Above £50K'!#REF!,A23,'Above £50K'!#REF!,"&lt;15",'Above £50K'!#REF!,"Active")-C23</f>
        <v>#REF!</v>
      </c>
      <c r="H23" s="1227" t="e">
        <f>COUNTIFS('Above £50K'!#REF!,A23,'Above £50K'!#REF!,"&lt;22",'Above £50K'!#REF!,"Active")-C23-G23</f>
        <v>#REF!</v>
      </c>
      <c r="I23" s="1227" t="e">
        <f>COUNTIFS('Above £50K'!#REF!,A23,'Above £50K'!#REF!,"&lt;29",'Above £50K'!#REF!,"Active")-C23-G23-H23</f>
        <v>#REF!</v>
      </c>
      <c r="J23" s="1227" t="e">
        <f>COUNTIFS('Above £50K'!#REF!,A23,'Above £50K'!#REF!,"&gt;28",'Above £50K'!#REF!,"Active")</f>
        <v>#REF!</v>
      </c>
      <c r="L23" s="1267" t="e">
        <f>COUNTIFS(#REF!,'Updates Summary'!A23,#REF!,"Non Active")</f>
        <v>#REF!</v>
      </c>
      <c r="M23" s="1267" t="e">
        <f>COUNTIFS(#REF!,'Updates Summary'!A23,#REF!,"Active")</f>
        <v>#REF!</v>
      </c>
      <c r="N23" s="1268" t="e">
        <f>COUNTIFS(#REF!,A23,#REF!,"&lt;8",#REF!,"Active")</f>
        <v>#REF!</v>
      </c>
      <c r="O23" s="1269" t="e">
        <f t="shared" si="1"/>
        <v>#REF!</v>
      </c>
    </row>
    <row r="24" spans="1:15">
      <c r="A24" s="1263" t="s">
        <v>5221</v>
      </c>
      <c r="B24" s="1267" t="e">
        <f>COUNTIFS('Above £50K'!#REF!,'Updates Summary'!A24,'Above £50K'!#REF!,"Active")</f>
        <v>#REF!</v>
      </c>
      <c r="C24" s="1268" t="e">
        <f>COUNTIFS('Above £50K'!#REF!,A24,'Above £50K'!#REF!,"&lt;8",'Above £50K'!#REF!,"Active")</f>
        <v>#REF!</v>
      </c>
      <c r="D24" s="1269" t="e">
        <f t="shared" si="0"/>
        <v>#REF!</v>
      </c>
      <c r="F24" s="1267" t="e">
        <f>COUNTIFS('Above £50K'!#REF!,'Updates Summary'!A24,'Above £50K'!#REF!,"Non Active")</f>
        <v>#REF!</v>
      </c>
      <c r="G24" s="1227" t="e">
        <f>COUNTIFS('Above £50K'!#REF!,A24,'Above £50K'!#REF!,"&lt;15",'Above £50K'!#REF!,"Active")-C24</f>
        <v>#REF!</v>
      </c>
      <c r="H24" s="1227" t="e">
        <f>COUNTIFS('Above £50K'!#REF!,A24,'Above £50K'!#REF!,"&lt;22",'Above £50K'!#REF!,"Active")-C24-G24</f>
        <v>#REF!</v>
      </c>
      <c r="I24" s="1227" t="e">
        <f>COUNTIFS('Above £50K'!#REF!,A24,'Above £50K'!#REF!,"&lt;29",'Above £50K'!#REF!,"Active")-C24-G24-H24</f>
        <v>#REF!</v>
      </c>
      <c r="J24" s="1227" t="e">
        <f>COUNTIFS('Above £50K'!#REF!,A24,'Above £50K'!#REF!,"&gt;28",'Above £50K'!#REF!,"Active")</f>
        <v>#REF!</v>
      </c>
      <c r="L24" s="1267" t="e">
        <f>COUNTIFS(#REF!,'Updates Summary'!A24,#REF!,"Non Active")</f>
        <v>#REF!</v>
      </c>
      <c r="M24" s="1267" t="e">
        <f>COUNTIFS(#REF!,'Updates Summary'!A24,#REF!,"Active")</f>
        <v>#REF!</v>
      </c>
      <c r="N24" s="1268" t="e">
        <f>COUNTIFS(#REF!,A24,#REF!,"&lt;8",#REF!,"Active")</f>
        <v>#REF!</v>
      </c>
      <c r="O24" s="1269" t="e">
        <f t="shared" si="1"/>
        <v>#REF!</v>
      </c>
    </row>
    <row r="25" spans="1:15">
      <c r="A25" s="1263" t="s">
        <v>125</v>
      </c>
      <c r="B25" s="1267" t="e">
        <f>COUNTIFS('Above £50K'!#REF!,'Updates Summary'!A25,'Above £50K'!#REF!,"Active")</f>
        <v>#REF!</v>
      </c>
      <c r="C25" s="1268" t="e">
        <f>COUNTIFS('Above £50K'!#REF!,A25,'Above £50K'!#REF!,"&lt;8",'Above £50K'!#REF!,"Active")</f>
        <v>#REF!</v>
      </c>
      <c r="D25" s="1269" t="e">
        <f t="shared" si="0"/>
        <v>#REF!</v>
      </c>
      <c r="F25" s="1267" t="e">
        <f>COUNTIFS('Above £50K'!#REF!,'Updates Summary'!A25,'Above £50K'!#REF!,"Non Active")</f>
        <v>#REF!</v>
      </c>
      <c r="G25" s="1227" t="e">
        <f>COUNTIFS('Above £50K'!#REF!,A25,'Above £50K'!#REF!,"&lt;15",'Above £50K'!#REF!,"Active")-C25</f>
        <v>#REF!</v>
      </c>
      <c r="H25" s="1227" t="e">
        <f>COUNTIFS('Above £50K'!#REF!,A25,'Above £50K'!#REF!,"&lt;22",'Above £50K'!#REF!,"Active")-C25-G25</f>
        <v>#REF!</v>
      </c>
      <c r="I25" s="1227" t="e">
        <f>COUNTIFS('Above £50K'!#REF!,A25,'Above £50K'!#REF!,"&lt;29",'Above £50K'!#REF!,"Active")-C25-G25-H25</f>
        <v>#REF!</v>
      </c>
      <c r="J25" s="1227" t="e">
        <f>COUNTIFS('Above £50K'!#REF!,A25,'Above £50K'!#REF!,"&gt;28",'Above £50K'!#REF!,"Active")</f>
        <v>#REF!</v>
      </c>
      <c r="L25" s="1267" t="e">
        <f>COUNTIFS(#REF!,'Updates Summary'!A25,#REF!,"Non Active")</f>
        <v>#REF!</v>
      </c>
      <c r="M25" s="1267" t="e">
        <f>COUNTIFS(#REF!,'Updates Summary'!A25,#REF!,"Active")</f>
        <v>#REF!</v>
      </c>
      <c r="N25" s="1268" t="e">
        <f>COUNTIFS(#REF!,A25,#REF!,"&lt;8",#REF!,"Active")</f>
        <v>#REF!</v>
      </c>
      <c r="O25" s="1269" t="e">
        <f t="shared" si="1"/>
        <v>#REF!</v>
      </c>
    </row>
    <row r="26" spans="1:15">
      <c r="A26" s="1263" t="s">
        <v>5037</v>
      </c>
      <c r="B26" s="1267" t="e">
        <f>COUNTIFS('Above £50K'!#REF!,'Updates Summary'!A26,'Above £50K'!#REF!,"Active")</f>
        <v>#REF!</v>
      </c>
      <c r="C26" s="1268" t="e">
        <f>COUNTIFS('Above £50K'!#REF!,A26,'Above £50K'!#REF!,"&lt;8",'Above £50K'!#REF!,"Active")</f>
        <v>#REF!</v>
      </c>
      <c r="D26" s="1269" t="e">
        <f t="shared" si="0"/>
        <v>#REF!</v>
      </c>
      <c r="F26" s="1267" t="e">
        <f>COUNTIFS('Above £50K'!#REF!,'Updates Summary'!A26,'Above £50K'!#REF!,"Non Active")</f>
        <v>#REF!</v>
      </c>
      <c r="G26" s="1227" t="e">
        <f>COUNTIFS('Above £50K'!#REF!,A26,'Above £50K'!#REF!,"&lt;15",'Above £50K'!#REF!,"Active")-C26</f>
        <v>#REF!</v>
      </c>
      <c r="H26" s="1227" t="e">
        <f>COUNTIFS('Above £50K'!#REF!,A26,'Above £50K'!#REF!,"&lt;22",'Above £50K'!#REF!,"Active")-C26-G26</f>
        <v>#REF!</v>
      </c>
      <c r="I26" s="1227" t="e">
        <f>COUNTIFS('Above £50K'!#REF!,A26,'Above £50K'!#REF!,"&lt;29",'Above £50K'!#REF!,"Active")-C26-G26-H26</f>
        <v>#REF!</v>
      </c>
      <c r="J26" s="1227" t="e">
        <f>COUNTIFS('Above £50K'!#REF!,A26,'Above £50K'!#REF!,"&gt;28",'Above £50K'!#REF!,"Active")</f>
        <v>#REF!</v>
      </c>
      <c r="L26" s="1267" t="e">
        <f>COUNTIFS(#REF!,'Updates Summary'!A26,#REF!,"Non Active")</f>
        <v>#REF!</v>
      </c>
      <c r="M26" s="1267" t="e">
        <f>COUNTIFS(#REF!,'Updates Summary'!A26,#REF!,"Active")</f>
        <v>#REF!</v>
      </c>
      <c r="N26" s="1268" t="e">
        <f>COUNTIFS(#REF!,A26,#REF!,"&lt;8",#REF!,"Active")</f>
        <v>#REF!</v>
      </c>
      <c r="O26" s="1269" t="e">
        <f t="shared" si="1"/>
        <v>#REF!</v>
      </c>
    </row>
    <row r="27" spans="1:15">
      <c r="A27" s="1263" t="s">
        <v>715</v>
      </c>
      <c r="B27" s="1267" t="e">
        <f>COUNTIFS('Above £50K'!#REF!,'Updates Summary'!A27,'Above £50K'!#REF!,"Active")</f>
        <v>#REF!</v>
      </c>
      <c r="C27" s="1268" t="e">
        <f>COUNTIFS('Above £50K'!#REF!,A27,'Above £50K'!#REF!,"&lt;8",'Above £50K'!#REF!,"Active")</f>
        <v>#REF!</v>
      </c>
      <c r="D27" s="1269" t="e">
        <f t="shared" si="0"/>
        <v>#REF!</v>
      </c>
      <c r="F27" s="1267" t="e">
        <f>COUNTIFS('Above £50K'!#REF!,'Updates Summary'!A27,'Above £50K'!#REF!,"Non Active")</f>
        <v>#REF!</v>
      </c>
      <c r="G27" s="1227" t="e">
        <f>COUNTIFS('Above £50K'!#REF!,A27,'Above £50K'!#REF!,"&lt;15",'Above £50K'!#REF!,"Active")-C27</f>
        <v>#REF!</v>
      </c>
      <c r="H27" s="1227" t="e">
        <f>COUNTIFS('Above £50K'!#REF!,A27,'Above £50K'!#REF!,"&lt;22",'Above £50K'!#REF!,"Active")-C27-G27</f>
        <v>#REF!</v>
      </c>
      <c r="I27" s="1227" t="e">
        <f>COUNTIFS('Above £50K'!#REF!,A27,'Above £50K'!#REF!,"&lt;29",'Above £50K'!#REF!,"Active")-C27-G27-H27</f>
        <v>#REF!</v>
      </c>
      <c r="J27" s="1227" t="e">
        <f>COUNTIFS('Above £50K'!#REF!,A27,'Above £50K'!#REF!,"&gt;28",'Above £50K'!#REF!,"Active")</f>
        <v>#REF!</v>
      </c>
      <c r="L27" s="1267" t="e">
        <f>COUNTIFS(#REF!,'Updates Summary'!A27,#REF!,"Non Active")</f>
        <v>#REF!</v>
      </c>
      <c r="M27" s="1267" t="e">
        <f>COUNTIFS(#REF!,'Updates Summary'!A27,#REF!,"Active")</f>
        <v>#REF!</v>
      </c>
      <c r="N27" s="1268" t="e">
        <f>COUNTIFS(#REF!,A27,#REF!,"&lt;8",#REF!,"Active")</f>
        <v>#REF!</v>
      </c>
      <c r="O27" s="1269" t="e">
        <f t="shared" si="1"/>
        <v>#REF!</v>
      </c>
    </row>
    <row r="28" spans="1:15">
      <c r="A28" s="1263" t="s">
        <v>312</v>
      </c>
      <c r="B28" s="1267" t="e">
        <f>COUNTIFS('Above £50K'!#REF!,'Updates Summary'!A28,'Above £50K'!#REF!,"Active")</f>
        <v>#REF!</v>
      </c>
      <c r="C28" s="1268" t="e">
        <f>COUNTIFS('Above £50K'!#REF!,A28,'Above £50K'!#REF!,"&lt;8",'Above £50K'!#REF!,"Active")</f>
        <v>#REF!</v>
      </c>
      <c r="D28" s="1269" t="e">
        <f t="shared" si="0"/>
        <v>#REF!</v>
      </c>
      <c r="F28" s="1267" t="e">
        <f>COUNTIFS('Above £50K'!#REF!,'Updates Summary'!A28,'Above £50K'!#REF!,"Non Active")</f>
        <v>#REF!</v>
      </c>
      <c r="G28" s="1227" t="e">
        <f>COUNTIFS('Above £50K'!#REF!,A28,'Above £50K'!#REF!,"&lt;15",'Above £50K'!#REF!,"Active")-C28</f>
        <v>#REF!</v>
      </c>
      <c r="H28" s="1227" t="e">
        <f>COUNTIFS('Above £50K'!#REF!,A28,'Above £50K'!#REF!,"&lt;22",'Above £50K'!#REF!,"Active")-C28-G28</f>
        <v>#REF!</v>
      </c>
      <c r="I28" s="1227" t="e">
        <f>COUNTIFS('Above £50K'!#REF!,A28,'Above £50K'!#REF!,"&lt;29",'Above £50K'!#REF!,"Active")-C28-G28-H28</f>
        <v>#REF!</v>
      </c>
      <c r="J28" s="1227" t="e">
        <f>COUNTIFS('Above £50K'!#REF!,A28,'Above £50K'!#REF!,"&gt;28",'Above £50K'!#REF!,"Active")</f>
        <v>#REF!</v>
      </c>
      <c r="K28" s="2547"/>
      <c r="L28" s="1267" t="e">
        <f>COUNTIFS(#REF!,'Updates Summary'!A28,#REF!,"Non Active")</f>
        <v>#REF!</v>
      </c>
      <c r="M28" s="1267" t="e">
        <f>COUNTIFS(#REF!,'Updates Summary'!A28,#REF!,"Active")</f>
        <v>#REF!</v>
      </c>
      <c r="N28" s="1268" t="e">
        <f>COUNTIFS(#REF!,A28,#REF!,"&lt;8",#REF!,"Active")</f>
        <v>#REF!</v>
      </c>
      <c r="O28" s="1269" t="e">
        <f t="shared" si="1"/>
        <v>#REF!</v>
      </c>
    </row>
    <row r="29" spans="1:15" ht="15" customHeight="1">
      <c r="A29" s="1263" t="s">
        <v>108</v>
      </c>
      <c r="B29" s="1267" t="e">
        <f>COUNTIFS('Above £50K'!#REF!,'Updates Summary'!A29,'Above £50K'!#REF!,"Active")</f>
        <v>#REF!</v>
      </c>
      <c r="C29" s="1268" t="e">
        <f>COUNTIFS('Above £50K'!#REF!,A29,'Above £50K'!#REF!,"&lt;8",'Above £50K'!#REF!,"Active")</f>
        <v>#REF!</v>
      </c>
      <c r="D29" s="1269" t="e">
        <f t="shared" si="0"/>
        <v>#REF!</v>
      </c>
      <c r="F29" s="1267" t="e">
        <f>COUNTIFS('Above £50K'!#REF!,'Updates Summary'!A29,'Above £50K'!#REF!,"Non Active")</f>
        <v>#REF!</v>
      </c>
      <c r="G29" s="1227" t="e">
        <f>COUNTIFS('Above £50K'!#REF!,A29,'Above £50K'!#REF!,"&lt;15",'Above £50K'!#REF!,"Active")-C29</f>
        <v>#REF!</v>
      </c>
      <c r="H29" s="1227" t="e">
        <f>COUNTIFS('Above £50K'!#REF!,A29,'Above £50K'!#REF!,"&lt;22",'Above £50K'!#REF!,"Active")-C29-G29</f>
        <v>#REF!</v>
      </c>
      <c r="I29" s="1227" t="e">
        <f>COUNTIFS('Above £50K'!#REF!,A29,'Above £50K'!#REF!,"&lt;29",'Above £50K'!#REF!,"Active")-C29-G29-H29</f>
        <v>#REF!</v>
      </c>
      <c r="J29" s="1227" t="e">
        <f>COUNTIFS('Above £50K'!#REF!,A29,'Above £50K'!#REF!,"&gt;28",'Above £50K'!#REF!,"Active")</f>
        <v>#REF!</v>
      </c>
      <c r="L29" s="1267" t="e">
        <f>COUNTIFS(#REF!,'Updates Summary'!A29,#REF!,"Non Active")</f>
        <v>#REF!</v>
      </c>
      <c r="M29" s="1267" t="e">
        <f>COUNTIFS(#REF!,'Updates Summary'!A29,#REF!,"Active")</f>
        <v>#REF!</v>
      </c>
      <c r="N29" s="1268" t="e">
        <f>COUNTIFS(#REF!,A29,#REF!,"&lt;8",#REF!,"Active")</f>
        <v>#REF!</v>
      </c>
      <c r="O29" s="1269" t="e">
        <f t="shared" si="1"/>
        <v>#REF!</v>
      </c>
    </row>
    <row r="30" spans="1:15">
      <c r="A30" s="1230"/>
    </row>
    <row r="31" spans="1:15">
      <c r="A31" s="1265" t="s">
        <v>6602</v>
      </c>
      <c r="B31" s="1280"/>
      <c r="C31" s="1280"/>
      <c r="D31" s="1281"/>
      <c r="F31" s="1281"/>
      <c r="G31" s="1281"/>
      <c r="H31" s="1281"/>
      <c r="I31" s="1281"/>
      <c r="J31" s="1281"/>
      <c r="L31" s="1280"/>
      <c r="M31" s="1280"/>
      <c r="N31" s="1280"/>
      <c r="O31" s="1280"/>
    </row>
    <row r="32" spans="1:15">
      <c r="A32" s="1266" t="s">
        <v>283</v>
      </c>
      <c r="B32" s="1267" t="e">
        <f>COUNTIFS('Above £50K'!#REF!,'Updates Summary'!A32,'Above £50K'!#REF!,"Active")</f>
        <v>#REF!</v>
      </c>
      <c r="C32" s="1268" t="e">
        <f>COUNTIFS('Above £50K'!#REF!,A32,'Above £50K'!#REF!,"&lt;8",'Above £50K'!#REF!,"Active")</f>
        <v>#REF!</v>
      </c>
      <c r="D32" s="1269" t="e">
        <f t="shared" ref="D32:D38" si="2">IF(B32=0,"N/A",C32/B32)</f>
        <v>#REF!</v>
      </c>
      <c r="F32" s="1267" t="e">
        <f>COUNTIFS('Above £50K'!#REF!,'Updates Summary'!A32,'Above £50K'!#REF!,"Non Active")</f>
        <v>#REF!</v>
      </c>
      <c r="G32" s="1227" t="e">
        <f>COUNTIFS('Above £50K'!#REF!,A32,'Above £50K'!#REF!,"&lt;15",'Above £50K'!#REF!,"Active")-C32</f>
        <v>#REF!</v>
      </c>
      <c r="H32" s="1227" t="e">
        <f>COUNTIFS('Above £50K'!#REF!,A32,'Above £50K'!#REF!,"&lt;22",'Above £50K'!#REF!,"Active")-C32-G32</f>
        <v>#REF!</v>
      </c>
      <c r="I32" s="1227" t="e">
        <f>COUNTIFS('Above £50K'!#REF!,A32,'Above £50K'!#REF!,"&lt;29",'Above £50K'!#REF!,"Active")-C32-G32-H32</f>
        <v>#REF!</v>
      </c>
      <c r="J32" s="1227" t="e">
        <f>COUNTIFS('Above £50K'!#REF!,A32,'Above £50K'!#REF!,"&gt;28",'Above £50K'!#REF!,"Active")</f>
        <v>#REF!</v>
      </c>
      <c r="L32" s="1267" t="e">
        <f>COUNTIFS(#REF!,'Updates Summary'!A32,#REF!,"Non Active")</f>
        <v>#REF!</v>
      </c>
      <c r="M32" s="1267" t="e">
        <f>COUNTIFS(#REF!,'Updates Summary'!A32,#REF!,"Active")</f>
        <v>#REF!</v>
      </c>
      <c r="N32" s="1268" t="e">
        <f>COUNTIFS(#REF!,A32,#REF!,"&lt;8",#REF!,"Active")</f>
        <v>#REF!</v>
      </c>
      <c r="O32" s="1269" t="e">
        <f t="shared" ref="O32:O38" si="3">IF(M32=0,"N/A",N32/M32)</f>
        <v>#REF!</v>
      </c>
    </row>
    <row r="33" spans="1:15">
      <c r="A33" s="1264" t="s">
        <v>470</v>
      </c>
      <c r="B33" s="1267" t="e">
        <f>COUNTIFS('Above £50K'!#REF!,'Updates Summary'!A33,'Above £50K'!#REF!,"Active")</f>
        <v>#REF!</v>
      </c>
      <c r="C33" s="1268" t="e">
        <f>COUNTIFS('Above £50K'!#REF!,A33,'Above £50K'!#REF!,"&lt;8",'Above £50K'!#REF!,"Active")</f>
        <v>#REF!</v>
      </c>
      <c r="D33" s="1269" t="e">
        <f t="shared" si="2"/>
        <v>#REF!</v>
      </c>
      <c r="F33" s="1267" t="e">
        <f>COUNTIFS('Above £50K'!#REF!,'Updates Summary'!A33,'Above £50K'!#REF!,"Non Active")</f>
        <v>#REF!</v>
      </c>
      <c r="G33" s="1227" t="e">
        <f>COUNTIFS('Above £50K'!#REF!,A33,'Above £50K'!#REF!,"&lt;15",'Above £50K'!#REF!,"Active")-C33</f>
        <v>#REF!</v>
      </c>
      <c r="H33" s="1227" t="e">
        <f>COUNTIFS('Above £50K'!#REF!,A33,'Above £50K'!#REF!,"&lt;22",'Above £50K'!#REF!,"Active")-C33-G33</f>
        <v>#REF!</v>
      </c>
      <c r="I33" s="1227" t="e">
        <f>COUNTIFS('Above £50K'!#REF!,A33,'Above £50K'!#REF!,"&lt;29",'Above £50K'!#REF!,"Active")-C33-G33-H33</f>
        <v>#REF!</v>
      </c>
      <c r="J33" s="1227" t="e">
        <f>COUNTIFS('Above £50K'!#REF!,A33,'Above £50K'!#REF!,"&gt;28",'Above £50K'!#REF!,"Active")</f>
        <v>#REF!</v>
      </c>
      <c r="L33" s="1267" t="e">
        <f>COUNTIFS(#REF!,'Updates Summary'!A33,#REF!,"Non Active")</f>
        <v>#REF!</v>
      </c>
      <c r="M33" s="1267" t="e">
        <f>COUNTIFS(#REF!,'Updates Summary'!A33,#REF!,"Active")</f>
        <v>#REF!</v>
      </c>
      <c r="N33" s="1268" t="e">
        <f>COUNTIFS(#REF!,A33,#REF!,"&lt;8",#REF!,"Active")</f>
        <v>#REF!</v>
      </c>
      <c r="O33" s="1269" t="e">
        <f t="shared" si="3"/>
        <v>#REF!</v>
      </c>
    </row>
    <row r="34" spans="1:15">
      <c r="A34" s="1264" t="s">
        <v>1334</v>
      </c>
      <c r="B34" s="1267" t="e">
        <f>COUNTIFS('Above £50K'!#REF!,'Updates Summary'!A34,'Above £50K'!#REF!,"Active")</f>
        <v>#REF!</v>
      </c>
      <c r="C34" s="1268" t="e">
        <f>COUNTIFS('Above £50K'!#REF!,A34,'Above £50K'!#REF!,"&lt;8",'Above £50K'!#REF!,"Active")</f>
        <v>#REF!</v>
      </c>
      <c r="D34" s="1269" t="e">
        <f t="shared" si="2"/>
        <v>#REF!</v>
      </c>
      <c r="F34" s="1267" t="e">
        <f>COUNTIFS('Above £50K'!#REF!,'Updates Summary'!A34,'Above £50K'!#REF!,"Non Active")</f>
        <v>#REF!</v>
      </c>
      <c r="G34" s="1227" t="e">
        <f>COUNTIFS('Above £50K'!#REF!,A34,'Above £50K'!#REF!,"&lt;15",'Above £50K'!#REF!,"Active")-C34</f>
        <v>#REF!</v>
      </c>
      <c r="H34" s="1227" t="e">
        <f>COUNTIFS('Above £50K'!#REF!,A34,'Above £50K'!#REF!,"&lt;22",'Above £50K'!#REF!,"Active")-C34-G34</f>
        <v>#REF!</v>
      </c>
      <c r="I34" s="1227" t="e">
        <f>COUNTIFS('Above £50K'!#REF!,A34,'Above £50K'!#REF!,"&lt;29",'Above £50K'!#REF!,"Active")-C34-G34-H34</f>
        <v>#REF!</v>
      </c>
      <c r="J34" s="1227" t="e">
        <f>COUNTIFS('Above £50K'!#REF!,A34,'Above £50K'!#REF!,"&gt;28",'Above £50K'!#REF!,"Active")</f>
        <v>#REF!</v>
      </c>
      <c r="L34" s="1267" t="e">
        <f>COUNTIFS(#REF!,'Updates Summary'!A34,#REF!,"Non Active")</f>
        <v>#REF!</v>
      </c>
      <c r="M34" s="1267" t="e">
        <f>COUNTIFS(#REF!,'Updates Summary'!A34,#REF!,"Active")</f>
        <v>#REF!</v>
      </c>
      <c r="N34" s="1268" t="e">
        <f>COUNTIFS(#REF!,A34,#REF!,"&lt;8",#REF!,"Active")</f>
        <v>#REF!</v>
      </c>
      <c r="O34" s="1269" t="e">
        <f t="shared" si="3"/>
        <v>#REF!</v>
      </c>
    </row>
    <row r="35" spans="1:15">
      <c r="A35" s="1264" t="s">
        <v>357</v>
      </c>
      <c r="B35" s="1267" t="e">
        <f>COUNTIFS('Above £50K'!#REF!,'Updates Summary'!A35,'Above £50K'!#REF!,"Active")</f>
        <v>#REF!</v>
      </c>
      <c r="C35" s="1268" t="e">
        <f>COUNTIFS('Above £50K'!#REF!,A35,'Above £50K'!#REF!,"&lt;8",'Above £50K'!#REF!,"Active")</f>
        <v>#REF!</v>
      </c>
      <c r="D35" s="1269" t="e">
        <f t="shared" si="2"/>
        <v>#REF!</v>
      </c>
      <c r="F35" s="1267" t="e">
        <f>COUNTIFS('Above £50K'!#REF!,'Updates Summary'!A35,'Above £50K'!#REF!,"Non Active")</f>
        <v>#REF!</v>
      </c>
      <c r="G35" s="1227" t="e">
        <f>COUNTIFS('Above £50K'!#REF!,A35,'Above £50K'!#REF!,"&lt;15",'Above £50K'!#REF!,"Active")-C35</f>
        <v>#REF!</v>
      </c>
      <c r="H35" s="1227" t="e">
        <f>COUNTIFS('Above £50K'!#REF!,A35,'Above £50K'!#REF!,"&lt;22",'Above £50K'!#REF!,"Active")-C35-G35</f>
        <v>#REF!</v>
      </c>
      <c r="I35" s="1227" t="e">
        <f>COUNTIFS('Above £50K'!#REF!,A35,'Above £50K'!#REF!,"&lt;29",'Above £50K'!#REF!,"Active")-C35-G35-H35</f>
        <v>#REF!</v>
      </c>
      <c r="J35" s="1227" t="e">
        <f>COUNTIFS('Above £50K'!#REF!,A35,'Above £50K'!#REF!,"&gt;28",'Above £50K'!#REF!,"Active")</f>
        <v>#REF!</v>
      </c>
      <c r="L35" s="1267" t="e">
        <f>COUNTIFS(#REF!,'Updates Summary'!A35,#REF!,"Non Active")</f>
        <v>#REF!</v>
      </c>
      <c r="M35" s="1267" t="e">
        <f>COUNTIFS(#REF!,'Updates Summary'!A35,#REF!,"Active")</f>
        <v>#REF!</v>
      </c>
      <c r="N35" s="1268" t="e">
        <f>COUNTIFS(#REF!,A35,#REF!,"&lt;8",#REF!,"Active")</f>
        <v>#REF!</v>
      </c>
      <c r="O35" s="1269" t="e">
        <f t="shared" si="3"/>
        <v>#REF!</v>
      </c>
    </row>
    <row r="36" spans="1:15">
      <c r="A36" s="1382" t="s">
        <v>1445</v>
      </c>
      <c r="B36" s="1267" t="e">
        <f>COUNTIFS('Above £50K'!#REF!,'Updates Summary'!A36,'Above £50K'!#REF!,"Active")</f>
        <v>#REF!</v>
      </c>
      <c r="C36" s="1268" t="e">
        <f>COUNTIFS('Above £50K'!#REF!,A36,'Above £50K'!#REF!,"&lt;8",'Above £50K'!#REF!,"Active")</f>
        <v>#REF!</v>
      </c>
      <c r="D36" s="1269" t="e">
        <f t="shared" si="2"/>
        <v>#REF!</v>
      </c>
      <c r="F36" s="1267" t="e">
        <f>COUNTIFS('Above £50K'!#REF!,'Updates Summary'!A36,'Above £50K'!#REF!,"Non Active")</f>
        <v>#REF!</v>
      </c>
      <c r="G36" s="1227" t="e">
        <f>COUNTIFS('Above £50K'!#REF!,A36,'Above £50K'!#REF!,"&lt;15",'Above £50K'!#REF!,"Active")-C36</f>
        <v>#REF!</v>
      </c>
      <c r="H36" s="1227" t="e">
        <f>COUNTIFS('Above £50K'!#REF!,A36,'Above £50K'!#REF!,"&lt;22",'Above £50K'!#REF!,"Active")-C36-G36</f>
        <v>#REF!</v>
      </c>
      <c r="I36" s="1227" t="e">
        <f>COUNTIFS('Above £50K'!#REF!,A36,'Above £50K'!#REF!,"&lt;29",'Above £50K'!#REF!,"Active")-C36-G36-H36</f>
        <v>#REF!</v>
      </c>
      <c r="J36" s="1227" t="e">
        <f>COUNTIFS('Above £50K'!#REF!,A36,'Above £50K'!#REF!,"&gt;28",'Above £50K'!#REF!,"Active")</f>
        <v>#REF!</v>
      </c>
      <c r="L36" s="1267" t="e">
        <f>COUNTIFS(#REF!,'Updates Summary'!A36,#REF!,"Non Active")</f>
        <v>#REF!</v>
      </c>
      <c r="M36" s="1267" t="e">
        <f>COUNTIFS(#REF!,'Updates Summary'!A36,#REF!,"Active")</f>
        <v>#REF!</v>
      </c>
      <c r="N36" s="1268" t="e">
        <f>COUNTIFS(#REF!,A36,#REF!,"&lt;8",#REF!,"Active")</f>
        <v>#REF!</v>
      </c>
      <c r="O36" s="1269" t="e">
        <f t="shared" si="3"/>
        <v>#REF!</v>
      </c>
    </row>
    <row r="37" spans="1:15">
      <c r="A37" s="1264" t="s">
        <v>561</v>
      </c>
      <c r="B37" s="1267" t="e">
        <f>COUNTIFS('Above £50K'!#REF!,'Updates Summary'!A37,'Above £50K'!#REF!,"Active")</f>
        <v>#REF!</v>
      </c>
      <c r="C37" s="1268" t="e">
        <f>COUNTIFS('Above £50K'!#REF!,A37,'Above £50K'!#REF!,"&lt;8",'Above £50K'!#REF!,"Active")</f>
        <v>#REF!</v>
      </c>
      <c r="D37" s="1269" t="e">
        <f t="shared" si="2"/>
        <v>#REF!</v>
      </c>
      <c r="F37" s="1267" t="e">
        <f>COUNTIFS('Above £50K'!#REF!,'Updates Summary'!A37,'Above £50K'!#REF!,"Non Active")</f>
        <v>#REF!</v>
      </c>
      <c r="G37" s="1227" t="e">
        <f>COUNTIFS('Above £50K'!#REF!,A37,'Above £50K'!#REF!,"&lt;15",'Above £50K'!#REF!,"Active")-C37</f>
        <v>#REF!</v>
      </c>
      <c r="H37" s="1227" t="e">
        <f>COUNTIFS('Above £50K'!#REF!,A37,'Above £50K'!#REF!,"&lt;22",'Above £50K'!#REF!,"Active")-C37-G37</f>
        <v>#REF!</v>
      </c>
      <c r="I37" s="1227" t="e">
        <f>COUNTIFS('Above £50K'!#REF!,A37,'Above £50K'!#REF!,"&lt;29",'Above £50K'!#REF!,"Active")-C37-G37-H37</f>
        <v>#REF!</v>
      </c>
      <c r="J37" s="1227" t="e">
        <f>COUNTIFS('Above £50K'!#REF!,A37,'Above £50K'!#REF!,"&gt;28",'Above £50K'!#REF!,"Active")</f>
        <v>#REF!</v>
      </c>
      <c r="L37" s="1267" t="e">
        <f>COUNTIFS(#REF!,'Updates Summary'!A37,#REF!,"Non Active")</f>
        <v>#REF!</v>
      </c>
      <c r="M37" s="1267" t="e">
        <f>COUNTIFS(#REF!,'Updates Summary'!A37,#REF!,"Active")</f>
        <v>#REF!</v>
      </c>
      <c r="N37" s="1268" t="e">
        <f>COUNTIFS(#REF!,A37,#REF!,"&lt;8",#REF!,"Active")</f>
        <v>#REF!</v>
      </c>
      <c r="O37" s="1269" t="e">
        <f t="shared" si="3"/>
        <v>#REF!</v>
      </c>
    </row>
    <row r="38" spans="1:15">
      <c r="A38" s="1264" t="s">
        <v>120</v>
      </c>
      <c r="B38" s="1267" t="e">
        <f>COUNTIFS('Above £50K'!#REF!,'Updates Summary'!A38,'Above £50K'!#REF!,"Active")</f>
        <v>#REF!</v>
      </c>
      <c r="C38" s="1268" t="e">
        <f>COUNTIFS('Above £50K'!#REF!,A38,'Above £50K'!#REF!,"&lt;8",'Above £50K'!#REF!,"Active")</f>
        <v>#REF!</v>
      </c>
      <c r="D38" s="1269" t="e">
        <f t="shared" si="2"/>
        <v>#REF!</v>
      </c>
      <c r="F38" s="1267" t="e">
        <f>COUNTIFS('Above £50K'!#REF!,'Updates Summary'!A38,'Above £50K'!#REF!,"Non Active")</f>
        <v>#REF!</v>
      </c>
      <c r="G38" s="1227" t="e">
        <f>COUNTIFS('Above £50K'!#REF!,A38,'Above £50K'!#REF!,"&lt;15",'Above £50K'!#REF!,"Active")-C38</f>
        <v>#REF!</v>
      </c>
      <c r="H38" s="1227" t="e">
        <f>COUNTIFS('Above £50K'!#REF!,A38,'Above £50K'!#REF!,"&lt;22",'Above £50K'!#REF!,"Active")-C38-G38</f>
        <v>#REF!</v>
      </c>
      <c r="I38" s="1227" t="e">
        <f>COUNTIFS('Above £50K'!#REF!,A38,'Above £50K'!#REF!,"&lt;29",'Above £50K'!#REF!,"Active")-C38-G38-H38</f>
        <v>#REF!</v>
      </c>
      <c r="J38" s="1227" t="e">
        <f>COUNTIFS('Above £50K'!#REF!,A38,'Above £50K'!#REF!,"&gt;28",'Above £50K'!#REF!,"Active")</f>
        <v>#REF!</v>
      </c>
      <c r="L38" s="1267" t="e">
        <f>COUNTIFS(#REF!,'Updates Summary'!A38,#REF!,"Non Active")</f>
        <v>#REF!</v>
      </c>
      <c r="M38" s="1267" t="e">
        <f>COUNTIFS(#REF!,'Updates Summary'!A38,#REF!,"Active")</f>
        <v>#REF!</v>
      </c>
      <c r="N38" s="1268" t="e">
        <f>COUNTIFS(#REF!,A38,#REF!,"&lt;8",#REF!,"Active")</f>
        <v>#REF!</v>
      </c>
      <c r="O38" s="1269" t="e">
        <f t="shared" si="3"/>
        <v>#REF!</v>
      </c>
    </row>
  </sheetData>
  <mergeCells count="2">
    <mergeCell ref="B2:D2"/>
    <mergeCell ref="L2:O2"/>
  </mergeCells>
  <conditionalFormatting sqref="J5:J29">
    <cfRule type="dataBar" priority="2175">
      <dataBar>
        <cfvo type="min"/>
        <cfvo type="max"/>
        <color rgb="FFFF555A"/>
      </dataBar>
      <extLst>
        <ext xmlns:x14="http://schemas.microsoft.com/office/spreadsheetml/2009/9/main" uri="{B025F937-C7B1-47D3-B67F-A62EFF666E3E}">
          <x14:id>{986902B8-BB2D-4BB6-A794-5F4EA68CA792}</x14:id>
        </ext>
      </extLst>
    </cfRule>
  </conditionalFormatting>
  <conditionalFormatting sqref="G5:G29">
    <cfRule type="dataBar" priority="2179">
      <dataBar>
        <cfvo type="min"/>
        <cfvo type="max"/>
        <color rgb="FFFFB628"/>
      </dataBar>
      <extLst>
        <ext xmlns:x14="http://schemas.microsoft.com/office/spreadsheetml/2009/9/main" uri="{B025F937-C7B1-47D3-B67F-A62EFF666E3E}">
          <x14:id>{6008E567-8691-4C7E-9CA5-31321197A766}</x14:id>
        </ext>
      </extLst>
    </cfRule>
  </conditionalFormatting>
  <conditionalFormatting sqref="H5:H29">
    <cfRule type="dataBar" priority="2182">
      <dataBar>
        <cfvo type="min"/>
        <cfvo type="max"/>
        <color rgb="FFFF555A"/>
      </dataBar>
      <extLst>
        <ext xmlns:x14="http://schemas.microsoft.com/office/spreadsheetml/2009/9/main" uri="{B025F937-C7B1-47D3-B67F-A62EFF666E3E}">
          <x14:id>{85EA44E3-E28A-41BC-8B75-7679E4663C11}</x14:id>
        </ext>
      </extLst>
    </cfRule>
  </conditionalFormatting>
  <conditionalFormatting sqref="I5:I29">
    <cfRule type="dataBar" priority="2185">
      <dataBar>
        <cfvo type="min"/>
        <cfvo type="max"/>
        <color rgb="FFFF555A"/>
      </dataBar>
      <extLst>
        <ext xmlns:x14="http://schemas.microsoft.com/office/spreadsheetml/2009/9/main" uri="{B025F937-C7B1-47D3-B67F-A62EFF666E3E}">
          <x14:id>{7E5E454C-B1C1-4601-B952-6CCA762B1F49}</x14:id>
        </ext>
      </extLst>
    </cfRule>
  </conditionalFormatting>
  <conditionalFormatting sqref="D32:D39 D5:D29">
    <cfRule type="dataBar" priority="2187">
      <dataBar>
        <cfvo type="min"/>
        <cfvo type="max"/>
        <color rgb="FF63C384"/>
      </dataBar>
      <extLst>
        <ext xmlns:x14="http://schemas.microsoft.com/office/spreadsheetml/2009/9/main" uri="{B025F937-C7B1-47D3-B67F-A62EFF666E3E}">
          <x14:id>{42DD260D-E48A-44EE-99B0-C806007214B5}</x14:id>
        </ext>
      </extLst>
    </cfRule>
  </conditionalFormatting>
  <conditionalFormatting sqref="J32:J38">
    <cfRule type="dataBar" priority="4">
      <dataBar>
        <cfvo type="min"/>
        <cfvo type="max"/>
        <color rgb="FFFF555A"/>
      </dataBar>
      <extLst>
        <ext xmlns:x14="http://schemas.microsoft.com/office/spreadsheetml/2009/9/main" uri="{B025F937-C7B1-47D3-B67F-A62EFF666E3E}">
          <x14:id>{405B9D19-045E-4901-B55E-71AAC69CAA35}</x14:id>
        </ext>
      </extLst>
    </cfRule>
  </conditionalFormatting>
  <conditionalFormatting sqref="G32:G38">
    <cfRule type="dataBar" priority="5">
      <dataBar>
        <cfvo type="min"/>
        <cfvo type="max"/>
        <color rgb="FFFFB628"/>
      </dataBar>
      <extLst>
        <ext xmlns:x14="http://schemas.microsoft.com/office/spreadsheetml/2009/9/main" uri="{B025F937-C7B1-47D3-B67F-A62EFF666E3E}">
          <x14:id>{D60CFE85-4EC3-42DD-AFE2-B20A2B9EF685}</x14:id>
        </ext>
      </extLst>
    </cfRule>
  </conditionalFormatting>
  <conditionalFormatting sqref="H32:H38">
    <cfRule type="dataBar" priority="6">
      <dataBar>
        <cfvo type="min"/>
        <cfvo type="max"/>
        <color rgb="FFFF555A"/>
      </dataBar>
      <extLst>
        <ext xmlns:x14="http://schemas.microsoft.com/office/spreadsheetml/2009/9/main" uri="{B025F937-C7B1-47D3-B67F-A62EFF666E3E}">
          <x14:id>{68872478-2CE0-4F5F-AB12-8FF4F4302E39}</x14:id>
        </ext>
      </extLst>
    </cfRule>
  </conditionalFormatting>
  <conditionalFormatting sqref="I32:I38">
    <cfRule type="dataBar" priority="7">
      <dataBar>
        <cfvo type="min"/>
        <cfvo type="max"/>
        <color rgb="FFFF555A"/>
      </dataBar>
      <extLst>
        <ext xmlns:x14="http://schemas.microsoft.com/office/spreadsheetml/2009/9/main" uri="{B025F937-C7B1-47D3-B67F-A62EFF666E3E}">
          <x14:id>{8F5C6893-C6B5-48DF-8511-A9E335ACF8E3}</x14:id>
        </ext>
      </extLst>
    </cfRule>
  </conditionalFormatting>
  <conditionalFormatting sqref="O32:O38">
    <cfRule type="dataBar" priority="2">
      <dataBar>
        <cfvo type="min"/>
        <cfvo type="max"/>
        <color rgb="FF63C384"/>
      </dataBar>
      <extLst>
        <ext xmlns:x14="http://schemas.microsoft.com/office/spreadsheetml/2009/9/main" uri="{B025F937-C7B1-47D3-B67F-A62EFF666E3E}">
          <x14:id>{B52B0490-6944-45DC-8B44-183607B02858}</x14:id>
        </ext>
      </extLst>
    </cfRule>
  </conditionalFormatting>
  <conditionalFormatting sqref="O5:O29">
    <cfRule type="dataBar" priority="1">
      <dataBar>
        <cfvo type="min"/>
        <cfvo type="max"/>
        <color rgb="FF63C384"/>
      </dataBar>
      <extLst>
        <ext xmlns:x14="http://schemas.microsoft.com/office/spreadsheetml/2009/9/main" uri="{B025F937-C7B1-47D3-B67F-A62EFF666E3E}">
          <x14:id>{36EE9F1E-5686-4D6B-A258-3662C341585C}</x14:id>
        </ext>
      </extLst>
    </cfRule>
  </conditionalFormatting>
  <pageMargins left="0.7" right="0.7" top="0.75" bottom="0.75" header="0.3" footer="0.3"/>
  <pageSetup paperSize="9" orientation="portrait" r:id="rId1"/>
  <headerFooter>
    <oddFooter>&amp;C_x000D_&amp;1#&amp;"Calibri"&amp;10&amp;KFF0000 OFFICIAL - SENSITIVE</oddFooter>
  </headerFooter>
  <extLst>
    <ext xmlns:x14="http://schemas.microsoft.com/office/spreadsheetml/2009/9/main" uri="{78C0D931-6437-407d-A8EE-F0AAD7539E65}">
      <x14:conditionalFormattings>
        <x14:conditionalFormatting xmlns:xm="http://schemas.microsoft.com/office/excel/2006/main">
          <x14:cfRule type="dataBar" id="{986902B8-BB2D-4BB6-A794-5F4EA68CA792}">
            <x14:dataBar minLength="0" maxLength="100" border="1" negativeBarBorderColorSameAsPositive="0">
              <x14:cfvo type="autoMin"/>
              <x14:cfvo type="autoMax"/>
              <x14:borderColor rgb="FFFF555A"/>
              <x14:negativeFillColor rgb="FFFF0000"/>
              <x14:negativeBorderColor rgb="FFFF0000"/>
              <x14:axisColor rgb="FF000000"/>
            </x14:dataBar>
          </x14:cfRule>
          <xm:sqref>J5:J29</xm:sqref>
        </x14:conditionalFormatting>
        <x14:conditionalFormatting xmlns:xm="http://schemas.microsoft.com/office/excel/2006/main">
          <x14:cfRule type="dataBar" id="{6008E567-8691-4C7E-9CA5-31321197A766}">
            <x14:dataBar minLength="0" maxLength="100" border="1" negativeBarBorderColorSameAsPositive="0">
              <x14:cfvo type="autoMin"/>
              <x14:cfvo type="autoMax"/>
              <x14:borderColor rgb="FFFFB628"/>
              <x14:negativeFillColor rgb="FFFF0000"/>
              <x14:negativeBorderColor rgb="FFFF0000"/>
              <x14:axisColor rgb="FF000000"/>
            </x14:dataBar>
          </x14:cfRule>
          <xm:sqref>G5:G29</xm:sqref>
        </x14:conditionalFormatting>
        <x14:conditionalFormatting xmlns:xm="http://schemas.microsoft.com/office/excel/2006/main">
          <x14:cfRule type="dataBar" id="{85EA44E3-E28A-41BC-8B75-7679E4663C11}">
            <x14:dataBar minLength="0" maxLength="100" border="1" negativeBarBorderColorSameAsPositive="0">
              <x14:cfvo type="autoMin"/>
              <x14:cfvo type="autoMax"/>
              <x14:borderColor rgb="FFFF555A"/>
              <x14:negativeFillColor rgb="FFFF0000"/>
              <x14:negativeBorderColor rgb="FFFF0000"/>
              <x14:axisColor rgb="FF000000"/>
            </x14:dataBar>
          </x14:cfRule>
          <xm:sqref>H5:H29</xm:sqref>
        </x14:conditionalFormatting>
        <x14:conditionalFormatting xmlns:xm="http://schemas.microsoft.com/office/excel/2006/main">
          <x14:cfRule type="dataBar" id="{7E5E454C-B1C1-4601-B952-6CCA762B1F49}">
            <x14:dataBar minLength="0" maxLength="100" border="1" negativeBarBorderColorSameAsPositive="0">
              <x14:cfvo type="autoMin"/>
              <x14:cfvo type="autoMax"/>
              <x14:borderColor rgb="FFFF555A"/>
              <x14:negativeFillColor rgb="FFFF0000"/>
              <x14:negativeBorderColor rgb="FFFF0000"/>
              <x14:axisColor rgb="FF000000"/>
            </x14:dataBar>
          </x14:cfRule>
          <xm:sqref>I5:I29</xm:sqref>
        </x14:conditionalFormatting>
        <x14:conditionalFormatting xmlns:xm="http://schemas.microsoft.com/office/excel/2006/main">
          <x14:cfRule type="dataBar" id="{42DD260D-E48A-44EE-99B0-C806007214B5}">
            <x14:dataBar minLength="0" maxLength="100" border="1" negativeBarBorderColorSameAsPositive="0">
              <x14:cfvo type="autoMin"/>
              <x14:cfvo type="autoMax"/>
              <x14:borderColor rgb="FF63C384"/>
              <x14:negativeFillColor rgb="FFFF0000"/>
              <x14:negativeBorderColor rgb="FFFF0000"/>
              <x14:axisColor rgb="FF000000"/>
            </x14:dataBar>
          </x14:cfRule>
          <xm:sqref>D32:D39 D5:D29</xm:sqref>
        </x14:conditionalFormatting>
        <x14:conditionalFormatting xmlns:xm="http://schemas.microsoft.com/office/excel/2006/main">
          <x14:cfRule type="dataBar" id="{405B9D19-045E-4901-B55E-71AAC69CAA35}">
            <x14:dataBar minLength="0" maxLength="100" border="1" negativeBarBorderColorSameAsPositive="0">
              <x14:cfvo type="autoMin"/>
              <x14:cfvo type="autoMax"/>
              <x14:borderColor rgb="FFFF555A"/>
              <x14:negativeFillColor rgb="FFFF0000"/>
              <x14:negativeBorderColor rgb="FFFF0000"/>
              <x14:axisColor rgb="FF000000"/>
            </x14:dataBar>
          </x14:cfRule>
          <xm:sqref>J32:J38</xm:sqref>
        </x14:conditionalFormatting>
        <x14:conditionalFormatting xmlns:xm="http://schemas.microsoft.com/office/excel/2006/main">
          <x14:cfRule type="dataBar" id="{D60CFE85-4EC3-42DD-AFE2-B20A2B9EF685}">
            <x14:dataBar minLength="0" maxLength="100" border="1" negativeBarBorderColorSameAsPositive="0">
              <x14:cfvo type="autoMin"/>
              <x14:cfvo type="autoMax"/>
              <x14:borderColor rgb="FFFFB628"/>
              <x14:negativeFillColor rgb="FFFF0000"/>
              <x14:negativeBorderColor rgb="FFFF0000"/>
              <x14:axisColor rgb="FF000000"/>
            </x14:dataBar>
          </x14:cfRule>
          <xm:sqref>G32:G38</xm:sqref>
        </x14:conditionalFormatting>
        <x14:conditionalFormatting xmlns:xm="http://schemas.microsoft.com/office/excel/2006/main">
          <x14:cfRule type="dataBar" id="{68872478-2CE0-4F5F-AB12-8FF4F4302E39}">
            <x14:dataBar minLength="0" maxLength="100" border="1" negativeBarBorderColorSameAsPositive="0">
              <x14:cfvo type="autoMin"/>
              <x14:cfvo type="autoMax"/>
              <x14:borderColor rgb="FFFF555A"/>
              <x14:negativeFillColor rgb="FFFF0000"/>
              <x14:negativeBorderColor rgb="FFFF0000"/>
              <x14:axisColor rgb="FF000000"/>
            </x14:dataBar>
          </x14:cfRule>
          <xm:sqref>H32:H38</xm:sqref>
        </x14:conditionalFormatting>
        <x14:conditionalFormatting xmlns:xm="http://schemas.microsoft.com/office/excel/2006/main">
          <x14:cfRule type="dataBar" id="{8F5C6893-C6B5-48DF-8511-A9E335ACF8E3}">
            <x14:dataBar minLength="0" maxLength="100" border="1" negativeBarBorderColorSameAsPositive="0">
              <x14:cfvo type="autoMin"/>
              <x14:cfvo type="autoMax"/>
              <x14:borderColor rgb="FFFF555A"/>
              <x14:negativeFillColor rgb="FFFF0000"/>
              <x14:negativeBorderColor rgb="FFFF0000"/>
              <x14:axisColor rgb="FF000000"/>
            </x14:dataBar>
          </x14:cfRule>
          <xm:sqref>I32:I38</xm:sqref>
        </x14:conditionalFormatting>
        <x14:conditionalFormatting xmlns:xm="http://schemas.microsoft.com/office/excel/2006/main">
          <x14:cfRule type="dataBar" id="{B52B0490-6944-45DC-8B44-183607B02858}">
            <x14:dataBar minLength="0" maxLength="100" border="1" negativeBarBorderColorSameAsPositive="0">
              <x14:cfvo type="autoMin"/>
              <x14:cfvo type="autoMax"/>
              <x14:borderColor rgb="FF63C384"/>
              <x14:negativeFillColor rgb="FFFF0000"/>
              <x14:negativeBorderColor rgb="FFFF0000"/>
              <x14:axisColor rgb="FF000000"/>
            </x14:dataBar>
          </x14:cfRule>
          <xm:sqref>O32:O38</xm:sqref>
        </x14:conditionalFormatting>
        <x14:conditionalFormatting xmlns:xm="http://schemas.microsoft.com/office/excel/2006/main">
          <x14:cfRule type="dataBar" id="{36EE9F1E-5686-4D6B-A258-3662C341585C}">
            <x14:dataBar minLength="0" maxLength="100" border="1" negativeBarBorderColorSameAsPositive="0">
              <x14:cfvo type="autoMin"/>
              <x14:cfvo type="autoMax"/>
              <x14:borderColor rgb="FF63C384"/>
              <x14:negativeFillColor rgb="FFFF0000"/>
              <x14:negativeBorderColor rgb="FFFF0000"/>
              <x14:axisColor rgb="FF000000"/>
            </x14:dataBar>
          </x14:cfRule>
          <xm:sqref>O5:O29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98AA5-5C98-413A-A878-66F24CA4F27C}">
  <dimension ref="A1:AJ161"/>
  <sheetViews>
    <sheetView workbookViewId="0">
      <pane ySplit="1" topLeftCell="A2" activePane="bottomLeft" state="frozen"/>
      <selection activeCell="L29" sqref="L29"/>
      <selection pane="bottomLeft" sqref="A1:XFD7"/>
    </sheetView>
  </sheetViews>
  <sheetFormatPr defaultColWidth="8.84375" defaultRowHeight="15" customHeight="1"/>
  <cols>
    <col min="1" max="4" width="8.84375" style="56"/>
    <col min="5" max="5" width="10.07421875" style="56" customWidth="1"/>
    <col min="6" max="6" width="8.84375" style="56"/>
    <col min="7" max="7" width="13.07421875" style="56" customWidth="1"/>
    <col min="8" max="9" width="8.84375" style="56"/>
    <col min="10" max="10" width="35.07421875" style="56" customWidth="1"/>
    <col min="11" max="17" width="8.84375" style="56"/>
    <col min="18" max="19" width="12.84375" style="56" customWidth="1"/>
    <col min="20" max="25" width="8.84375" style="56"/>
    <col min="26" max="26" width="15.84375" style="56" customWidth="1"/>
    <col min="27" max="27" width="14.53515625" style="56" customWidth="1"/>
    <col min="28" max="31" width="8.84375" style="56"/>
    <col min="32" max="32" width="55.84375" style="56" customWidth="1"/>
    <col min="33" max="16384" width="8.84375" style="56"/>
  </cols>
  <sheetData>
    <row r="1" spans="1:34" s="3" customFormat="1" ht="130.5">
      <c r="A1" s="938" t="s">
        <v>0</v>
      </c>
      <c r="B1" s="938" t="s">
        <v>1</v>
      </c>
      <c r="C1" s="939" t="s">
        <v>2</v>
      </c>
      <c r="D1" s="34" t="s">
        <v>3</v>
      </c>
      <c r="E1" s="1523" t="s">
        <v>4</v>
      </c>
      <c r="F1" s="1523" t="s">
        <v>5</v>
      </c>
      <c r="G1" s="1523" t="s">
        <v>6</v>
      </c>
      <c r="H1" s="21" t="s">
        <v>7</v>
      </c>
      <c r="I1" s="21" t="s">
        <v>8</v>
      </c>
      <c r="J1" s="1576" t="s">
        <v>9</v>
      </c>
      <c r="K1" s="2685" t="s">
        <v>10</v>
      </c>
      <c r="L1" s="2686" t="s">
        <v>11</v>
      </c>
      <c r="M1" s="2686" t="s">
        <v>12</v>
      </c>
      <c r="N1" s="2686" t="s">
        <v>13</v>
      </c>
      <c r="O1" s="2686" t="s">
        <v>14</v>
      </c>
      <c r="P1" s="2686" t="s">
        <v>15</v>
      </c>
      <c r="Q1" s="2687" t="s">
        <v>16</v>
      </c>
      <c r="R1" s="2688" t="s">
        <v>17</v>
      </c>
      <c r="S1" s="1529" t="s">
        <v>6634</v>
      </c>
      <c r="T1" s="2689" t="s">
        <v>6635</v>
      </c>
      <c r="U1" s="1529" t="s">
        <v>4938</v>
      </c>
      <c r="V1" s="2690" t="s">
        <v>18</v>
      </c>
      <c r="W1" s="2686" t="s">
        <v>19</v>
      </c>
      <c r="X1" s="2686" t="s">
        <v>20</v>
      </c>
      <c r="Y1" s="2691" t="s">
        <v>21</v>
      </c>
      <c r="Z1" s="2685" t="s">
        <v>22</v>
      </c>
      <c r="AA1" s="2686" t="s">
        <v>23</v>
      </c>
      <c r="AB1" s="2686" t="s">
        <v>24</v>
      </c>
      <c r="AC1" s="2692" t="s">
        <v>25</v>
      </c>
      <c r="AD1" s="23" t="s">
        <v>26</v>
      </c>
      <c r="AE1" s="37" t="s">
        <v>27</v>
      </c>
      <c r="AF1" s="212" t="s">
        <v>28</v>
      </c>
      <c r="AG1" s="213" t="s">
        <v>1</v>
      </c>
      <c r="AH1" s="226" t="s">
        <v>30</v>
      </c>
    </row>
    <row r="2" spans="1:34" s="901" customFormat="1" ht="27" customHeight="1">
      <c r="A2" s="2373">
        <v>44974</v>
      </c>
      <c r="B2" s="2075" t="s">
        <v>56</v>
      </c>
      <c r="C2" s="876" t="s">
        <v>45</v>
      </c>
      <c r="D2" s="2172" t="s">
        <v>1192</v>
      </c>
      <c r="E2" s="773" t="s">
        <v>1168</v>
      </c>
      <c r="F2" s="876" t="s">
        <v>1270</v>
      </c>
      <c r="G2" s="2189" t="s">
        <v>4945</v>
      </c>
      <c r="H2" s="2172" t="s">
        <v>4946</v>
      </c>
      <c r="I2" s="876" t="s">
        <v>47</v>
      </c>
      <c r="J2" s="2682" t="s">
        <v>6636</v>
      </c>
      <c r="K2" s="773" t="s">
        <v>589</v>
      </c>
      <c r="L2" s="2380" t="s">
        <v>1170</v>
      </c>
      <c r="M2" s="2380" t="s">
        <v>1170</v>
      </c>
      <c r="N2" s="2380" t="s">
        <v>1170</v>
      </c>
      <c r="O2" s="722" t="s">
        <v>45</v>
      </c>
      <c r="P2" s="722" t="s">
        <v>45</v>
      </c>
      <c r="Q2" s="773" t="s">
        <v>45</v>
      </c>
      <c r="R2" s="807">
        <v>263317</v>
      </c>
      <c r="S2" s="1289">
        <f>IF(ISNUMBER(R2),SUM(R2*20%)+R2,"")</f>
        <v>315980.40000000002</v>
      </c>
      <c r="T2" s="2380" t="s">
        <v>1170</v>
      </c>
      <c r="U2" s="2380"/>
      <c r="V2" s="773" t="s">
        <v>529</v>
      </c>
      <c r="W2" s="773" t="s">
        <v>1170</v>
      </c>
      <c r="X2" s="773" t="s">
        <v>1170</v>
      </c>
      <c r="Y2" s="773"/>
      <c r="Z2" s="794" t="s">
        <v>1201</v>
      </c>
      <c r="AA2" s="773" t="s">
        <v>1170</v>
      </c>
      <c r="AB2" s="773" t="s">
        <v>40</v>
      </c>
      <c r="AC2" s="773" t="s">
        <v>1170</v>
      </c>
      <c r="AD2" s="2075" t="s">
        <v>1170</v>
      </c>
      <c r="AE2" s="2222" t="s">
        <v>1482</v>
      </c>
      <c r="AF2" s="2379" t="s">
        <v>6637</v>
      </c>
      <c r="AG2" s="2380" t="s">
        <v>1170</v>
      </c>
      <c r="AH2" s="1376" t="str">
        <f t="shared" ref="AH2:AH43" ca="1" si="0">IFERROR(TODAY()-AE2,"N/A")</f>
        <v>N/A</v>
      </c>
    </row>
    <row r="3" spans="1:34" s="901" customFormat="1" ht="27" customHeight="1">
      <c r="A3" s="2172" t="s">
        <v>1170</v>
      </c>
      <c r="B3" s="2171" t="s">
        <v>56</v>
      </c>
      <c r="C3" s="2172">
        <v>34129</v>
      </c>
      <c r="D3" s="2172" t="s">
        <v>1390</v>
      </c>
      <c r="E3" s="2280" t="s">
        <v>1341</v>
      </c>
      <c r="F3" s="2171" t="s">
        <v>1270</v>
      </c>
      <c r="G3" s="2171" t="s">
        <v>1366</v>
      </c>
      <c r="H3" s="2172" t="s">
        <v>4949</v>
      </c>
      <c r="I3" s="2172" t="s">
        <v>34</v>
      </c>
      <c r="J3" s="2463" t="s">
        <v>5008</v>
      </c>
      <c r="K3" s="2280" t="s">
        <v>5009</v>
      </c>
      <c r="L3" s="2280" t="s">
        <v>1170</v>
      </c>
      <c r="M3" s="2670" t="str">
        <f>IFERROR(EDATE(N3,-3),"Invalid procurement method or date entered")</f>
        <v>Invalid procurement method or date entered</v>
      </c>
      <c r="N3" s="1161" t="str">
        <f>IFERROR(EDATE(O3,-L3),"Invalid procurement method or date entered")</f>
        <v>Invalid procurement method or date entered</v>
      </c>
      <c r="O3" s="2477">
        <v>45081</v>
      </c>
      <c r="P3" s="2280">
        <v>48</v>
      </c>
      <c r="Q3" s="2280" t="s">
        <v>6638</v>
      </c>
      <c r="R3" s="2476">
        <v>49476</v>
      </c>
      <c r="S3" s="807">
        <f>SUM(R3*20%)+R3</f>
        <v>59371.199999999997</v>
      </c>
      <c r="T3" s="2285" t="s">
        <v>1170</v>
      </c>
      <c r="U3" s="2285"/>
      <c r="V3" s="2280" t="s">
        <v>1189</v>
      </c>
      <c r="W3" s="2280" t="s">
        <v>1170</v>
      </c>
      <c r="X3" s="2280" t="s">
        <v>1170</v>
      </c>
      <c r="Y3" s="2280"/>
      <c r="Z3" s="2280" t="s">
        <v>1393</v>
      </c>
      <c r="AA3" s="2280" t="s">
        <v>1170</v>
      </c>
      <c r="AB3" s="773" t="s">
        <v>40</v>
      </c>
      <c r="AC3" s="2280" t="s">
        <v>1170</v>
      </c>
      <c r="AD3" s="2171" t="s">
        <v>1170</v>
      </c>
      <c r="AE3" s="2222" t="s">
        <v>1170</v>
      </c>
      <c r="AF3" s="2463" t="s">
        <v>6639</v>
      </c>
      <c r="AG3" s="2285" t="s">
        <v>1170</v>
      </c>
      <c r="AH3" s="1376" t="str">
        <f t="shared" ca="1" si="0"/>
        <v>N/A</v>
      </c>
    </row>
    <row r="4" spans="1:34" s="901" customFormat="1" ht="27" customHeight="1">
      <c r="A4" s="749" t="s">
        <v>71</v>
      </c>
      <c r="B4" s="782" t="s">
        <v>44</v>
      </c>
      <c r="C4" s="738" t="s">
        <v>45</v>
      </c>
      <c r="D4" s="710" t="s">
        <v>32</v>
      </c>
      <c r="E4" s="794" t="s">
        <v>449</v>
      </c>
      <c r="F4" s="808" t="s">
        <v>122</v>
      </c>
      <c r="G4" s="2269" t="s">
        <v>569</v>
      </c>
      <c r="H4" s="710" t="s">
        <v>33</v>
      </c>
      <c r="I4" s="710" t="s">
        <v>34</v>
      </c>
      <c r="J4" s="2683" t="s">
        <v>6640</v>
      </c>
      <c r="K4" s="723" t="s">
        <v>5644</v>
      </c>
      <c r="L4" s="723">
        <v>12</v>
      </c>
      <c r="M4" s="1246">
        <f>IFERROR(EDATE($N4,-3),"Invalid procurement method or date entered")</f>
        <v>44506</v>
      </c>
      <c r="N4" s="1246">
        <f>IFERROR(EDATE(O4,-L4),"Invalid procurement method or date entered")</f>
        <v>44598</v>
      </c>
      <c r="O4" s="1239">
        <v>44963</v>
      </c>
      <c r="P4" s="741">
        <v>24</v>
      </c>
      <c r="Q4" s="741" t="s">
        <v>6641</v>
      </c>
      <c r="R4" s="807" t="s">
        <v>45</v>
      </c>
      <c r="S4" s="807"/>
      <c r="T4" s="793"/>
      <c r="U4" s="793"/>
      <c r="V4" s="723" t="s">
        <v>130</v>
      </c>
      <c r="W4" s="723" t="s">
        <v>38</v>
      </c>
      <c r="X4" s="1174" t="s">
        <v>67</v>
      </c>
      <c r="Y4" s="1174"/>
      <c r="Z4" s="723" t="s">
        <v>142</v>
      </c>
      <c r="AA4" s="1483" t="s">
        <v>254</v>
      </c>
      <c r="AB4" s="723" t="s">
        <v>40</v>
      </c>
      <c r="AC4" s="723" t="s">
        <v>154</v>
      </c>
      <c r="AD4" s="708" t="s">
        <v>70</v>
      </c>
      <c r="AE4" s="2222" t="s">
        <v>1482</v>
      </c>
      <c r="AF4" s="717" t="s">
        <v>6642</v>
      </c>
      <c r="AG4" s="723" t="s">
        <v>145</v>
      </c>
      <c r="AH4" s="1376" t="str">
        <f t="shared" ca="1" si="0"/>
        <v>N/A</v>
      </c>
    </row>
    <row r="5" spans="1:34" s="901" customFormat="1" ht="27" customHeight="1">
      <c r="A5" s="749">
        <v>44661</v>
      </c>
      <c r="B5" s="782" t="s">
        <v>44</v>
      </c>
      <c r="C5" s="738">
        <v>60471</v>
      </c>
      <c r="D5" s="808" t="s">
        <v>32</v>
      </c>
      <c r="E5" s="794" t="s">
        <v>449</v>
      </c>
      <c r="F5" s="739" t="s">
        <v>110</v>
      </c>
      <c r="G5" s="2188" t="s">
        <v>569</v>
      </c>
      <c r="H5" s="710" t="s">
        <v>33</v>
      </c>
      <c r="I5" s="738" t="s">
        <v>268</v>
      </c>
      <c r="J5" s="2683" t="s">
        <v>5552</v>
      </c>
      <c r="K5" s="723" t="s">
        <v>5553</v>
      </c>
      <c r="L5" s="723">
        <v>3</v>
      </c>
      <c r="M5" s="1246">
        <f>IFERROR(EDATE($N5,-3),"Invalid procurement method or date entered")</f>
        <v>44835</v>
      </c>
      <c r="N5" s="1246">
        <f>IFERROR(EDATE(O5,-L5),"Invalid procurement method or date entered")</f>
        <v>44927</v>
      </c>
      <c r="O5" s="1239">
        <v>45017</v>
      </c>
      <c r="P5" s="741">
        <v>84</v>
      </c>
      <c r="Q5" s="766" t="s">
        <v>6643</v>
      </c>
      <c r="R5" s="807">
        <v>1815729</v>
      </c>
      <c r="S5" s="807"/>
      <c r="T5" s="807"/>
      <c r="U5" s="807"/>
      <c r="V5" s="723" t="s">
        <v>270</v>
      </c>
      <c r="W5" s="1504" t="s">
        <v>5554</v>
      </c>
      <c r="X5" s="1504" t="s">
        <v>5555</v>
      </c>
      <c r="Y5" s="1504"/>
      <c r="Z5" s="723" t="s">
        <v>5556</v>
      </c>
      <c r="AA5" s="1483" t="s">
        <v>283</v>
      </c>
      <c r="AB5" s="723" t="s">
        <v>40</v>
      </c>
      <c r="AC5" s="723" t="s">
        <v>87</v>
      </c>
      <c r="AD5" s="708" t="s">
        <v>38</v>
      </c>
      <c r="AE5" s="2222" t="s">
        <v>1482</v>
      </c>
      <c r="AF5" s="1295" t="s">
        <v>6644</v>
      </c>
      <c r="AG5" s="741" t="s">
        <v>145</v>
      </c>
      <c r="AH5" s="1376" t="str">
        <f t="shared" ca="1" si="0"/>
        <v>N/A</v>
      </c>
    </row>
    <row r="6" spans="1:34" s="901" customFormat="1" ht="27" customHeight="1">
      <c r="A6" s="749" t="s">
        <v>71</v>
      </c>
      <c r="B6" s="782" t="s">
        <v>44</v>
      </c>
      <c r="C6" s="710">
        <v>72900</v>
      </c>
      <c r="D6" s="808" t="s">
        <v>57</v>
      </c>
      <c r="E6" s="794" t="s">
        <v>449</v>
      </c>
      <c r="F6" s="1385" t="s">
        <v>630</v>
      </c>
      <c r="G6" s="1455" t="s">
        <v>1406</v>
      </c>
      <c r="H6" s="710" t="s">
        <v>496</v>
      </c>
      <c r="I6" s="710" t="s">
        <v>47</v>
      </c>
      <c r="J6" s="2683" t="s">
        <v>3834</v>
      </c>
      <c r="K6" s="723" t="s">
        <v>5281</v>
      </c>
      <c r="L6" s="723" t="e">
        <f>IF(OR(V6=#REF!,V6=#REF!,V6=#REF!,V6=#REF!,V6=#REF!,V6=#REF!,V6=#REF!,V6=#REF!),12,IF(OR(V6=#REF!,V6=#REF!,V6=#REF!,V6=#REF!,V6=#REF!,V6=#REF!,V6=#REF!),3,IF(V6=#REF!,1,IF(V6=#REF!,18,IF(OR(V6=#REF!,V6=#REF!,V6=#REF!,V6=#REF!,V6=#REF!),14,"Invalid proposed procurement method")))))</f>
        <v>#REF!</v>
      </c>
      <c r="M6" s="1246" t="str">
        <f>IFERROR(EDATE($N6,-3),"Invalid procurement method or date entered")</f>
        <v>Invalid procurement method or date entered</v>
      </c>
      <c r="N6" s="1246" t="str">
        <f>IFERROR(EDATE(O6,-L6),"Invalid procurement method or date entered")</f>
        <v>Invalid procurement method or date entered</v>
      </c>
      <c r="O6" s="2678">
        <v>45017</v>
      </c>
      <c r="P6" s="741">
        <v>48</v>
      </c>
      <c r="Q6" s="766" t="s">
        <v>1578</v>
      </c>
      <c r="R6" s="807">
        <v>72000</v>
      </c>
      <c r="S6" s="807"/>
      <c r="T6" s="793">
        <v>18000</v>
      </c>
      <c r="U6" s="793"/>
      <c r="V6" s="766" t="s">
        <v>84</v>
      </c>
      <c r="W6" s="723" t="s">
        <v>38</v>
      </c>
      <c r="X6" s="741" t="s">
        <v>67</v>
      </c>
      <c r="Y6" s="741"/>
      <c r="Z6" s="723" t="s">
        <v>5283</v>
      </c>
      <c r="AA6" s="723" t="s">
        <v>780</v>
      </c>
      <c r="AB6" s="723" t="s">
        <v>40</v>
      </c>
      <c r="AC6" s="723" t="s">
        <v>69</v>
      </c>
      <c r="AD6" s="708" t="s">
        <v>70</v>
      </c>
      <c r="AE6" s="2222" t="s">
        <v>1482</v>
      </c>
      <c r="AF6" s="717" t="s">
        <v>6645</v>
      </c>
      <c r="AG6" s="741" t="s">
        <v>165</v>
      </c>
      <c r="AH6" s="1376" t="str">
        <f t="shared" ca="1" si="0"/>
        <v>N/A</v>
      </c>
    </row>
    <row r="7" spans="1:34" s="901" customFormat="1" ht="27" customHeight="1">
      <c r="A7" s="749" t="s">
        <v>71</v>
      </c>
      <c r="B7" s="755" t="s">
        <v>100</v>
      </c>
      <c r="C7" s="707" t="s">
        <v>365</v>
      </c>
      <c r="D7" s="710" t="s">
        <v>57</v>
      </c>
      <c r="E7" s="794" t="s">
        <v>449</v>
      </c>
      <c r="F7" s="708" t="s">
        <v>1270</v>
      </c>
      <c r="G7" s="1497" t="s">
        <v>1271</v>
      </c>
      <c r="H7" s="710" t="s">
        <v>197</v>
      </c>
      <c r="I7" s="710" t="s">
        <v>47</v>
      </c>
      <c r="J7" s="717" t="s">
        <v>5533</v>
      </c>
      <c r="K7" s="723" t="s">
        <v>71</v>
      </c>
      <c r="L7" s="723">
        <v>14</v>
      </c>
      <c r="M7" s="792">
        <f>IFERROR(EDATE(N7,-3),"Invalid procurement method or date entered")</f>
        <v>44483</v>
      </c>
      <c r="N7" s="1161">
        <v>44575</v>
      </c>
      <c r="O7" s="946">
        <v>44652</v>
      </c>
      <c r="P7" s="776">
        <v>12</v>
      </c>
      <c r="Q7" s="776">
        <v>12</v>
      </c>
      <c r="R7" s="807">
        <v>2686763</v>
      </c>
      <c r="S7" s="807"/>
      <c r="T7" s="794"/>
      <c r="U7" s="794"/>
      <c r="V7" s="1257" t="s">
        <v>105</v>
      </c>
      <c r="W7" s="723" t="s">
        <v>70</v>
      </c>
      <c r="X7" s="792">
        <v>44700</v>
      </c>
      <c r="Y7" s="792"/>
      <c r="Z7" s="723" t="s">
        <v>707</v>
      </c>
      <c r="AA7" s="723" t="s">
        <v>254</v>
      </c>
      <c r="AB7" s="723" t="s">
        <v>40</v>
      </c>
      <c r="AC7" s="723" t="s">
        <v>45</v>
      </c>
      <c r="AD7" s="1164"/>
      <c r="AE7" s="2222" t="s">
        <v>1482</v>
      </c>
      <c r="AF7" s="916" t="s">
        <v>40</v>
      </c>
      <c r="AG7" s="794"/>
      <c r="AH7" s="1376" t="str">
        <f t="shared" ca="1" si="0"/>
        <v>N/A</v>
      </c>
    </row>
    <row r="8" spans="1:34" s="901" customFormat="1" ht="27" customHeight="1">
      <c r="A8" s="749" t="s">
        <v>71</v>
      </c>
      <c r="B8" s="755" t="s">
        <v>100</v>
      </c>
      <c r="C8" s="707">
        <v>23897</v>
      </c>
      <c r="D8" s="808" t="s">
        <v>110</v>
      </c>
      <c r="E8" s="794" t="s">
        <v>449</v>
      </c>
      <c r="F8" s="710" t="s">
        <v>110</v>
      </c>
      <c r="G8" s="781" t="s">
        <v>1452</v>
      </c>
      <c r="H8" s="808" t="s">
        <v>103</v>
      </c>
      <c r="I8" s="808" t="s">
        <v>958</v>
      </c>
      <c r="J8" s="717" t="s">
        <v>1453</v>
      </c>
      <c r="K8" s="1271" t="s">
        <v>6646</v>
      </c>
      <c r="L8" s="723" t="s">
        <v>6647</v>
      </c>
      <c r="M8" s="792" t="str">
        <f>IFERROR(EDATE(N8,-3),"Invalid procurement method or date entered")</f>
        <v>Invalid procurement method or date entered</v>
      </c>
      <c r="N8" s="1161" t="str">
        <f>IFERROR(EDATE(O8,-L8),"Invalid procurement method or date entered")</f>
        <v>Invalid procurement method or date entered</v>
      </c>
      <c r="O8" s="2679">
        <v>44652</v>
      </c>
      <c r="P8" s="2680">
        <v>84</v>
      </c>
      <c r="Q8" s="715" t="s">
        <v>1455</v>
      </c>
      <c r="R8" s="807">
        <v>131250000</v>
      </c>
      <c r="S8" s="807"/>
      <c r="T8" s="794"/>
      <c r="U8" s="794"/>
      <c r="V8" s="2681" t="s">
        <v>1480</v>
      </c>
      <c r="W8" s="723" t="s">
        <v>38</v>
      </c>
      <c r="X8" s="792" t="s">
        <v>6648</v>
      </c>
      <c r="Y8" s="792"/>
      <c r="Z8" s="1271" t="s">
        <v>1456</v>
      </c>
      <c r="AA8" s="1271" t="s">
        <v>470</v>
      </c>
      <c r="AB8" s="723" t="s">
        <v>126</v>
      </c>
      <c r="AC8" s="723" t="s">
        <v>87</v>
      </c>
      <c r="AD8" s="2684" t="s">
        <v>70</v>
      </c>
      <c r="AE8" s="2222" t="s">
        <v>1482</v>
      </c>
      <c r="AF8" s="2379" t="s">
        <v>6649</v>
      </c>
      <c r="AG8" s="794"/>
      <c r="AH8" s="1376" t="str">
        <f t="shared" ca="1" si="0"/>
        <v>N/A</v>
      </c>
    </row>
    <row r="9" spans="1:34" s="901" customFormat="1" ht="27" customHeight="1">
      <c r="A9" s="749">
        <v>44909</v>
      </c>
      <c r="B9" s="706" t="s">
        <v>100</v>
      </c>
      <c r="C9" s="707">
        <v>39908</v>
      </c>
      <c r="D9" s="708" t="s">
        <v>415</v>
      </c>
      <c r="E9" s="794" t="s">
        <v>449</v>
      </c>
      <c r="F9" s="698" t="s">
        <v>1270</v>
      </c>
      <c r="G9" s="1449" t="s">
        <v>4945</v>
      </c>
      <c r="H9" s="710" t="s">
        <v>103</v>
      </c>
      <c r="I9" s="710" t="s">
        <v>47</v>
      </c>
      <c r="J9" s="717" t="s">
        <v>6650</v>
      </c>
      <c r="K9" s="723" t="s">
        <v>417</v>
      </c>
      <c r="L9" s="723">
        <v>12</v>
      </c>
      <c r="M9" s="792">
        <f>IFERROR(EDATE(N9,-3),"Invalid procurement method or date entered")</f>
        <v>44562</v>
      </c>
      <c r="N9" s="1161">
        <f>IFERROR(EDATE(O9,-L9),"Invalid procurement method or date entered")</f>
        <v>44652</v>
      </c>
      <c r="O9" s="946">
        <v>45017</v>
      </c>
      <c r="P9" s="715" t="s">
        <v>45</v>
      </c>
      <c r="Q9" s="715" t="s">
        <v>45</v>
      </c>
      <c r="R9" s="807">
        <v>6000000</v>
      </c>
      <c r="S9" s="807"/>
      <c r="T9" s="794"/>
      <c r="U9" s="794"/>
      <c r="V9" s="1257" t="s">
        <v>158</v>
      </c>
      <c r="W9" s="723" t="s">
        <v>70</v>
      </c>
      <c r="X9" s="723" t="s">
        <v>45</v>
      </c>
      <c r="Y9" s="723"/>
      <c r="Z9" s="723" t="s">
        <v>419</v>
      </c>
      <c r="AA9" s="723" t="s">
        <v>413</v>
      </c>
      <c r="AB9" s="723" t="s">
        <v>40</v>
      </c>
      <c r="AC9" s="723" t="s">
        <v>87</v>
      </c>
      <c r="AD9" s="1164" t="s">
        <v>70</v>
      </c>
      <c r="AE9" s="2222" t="s">
        <v>1482</v>
      </c>
      <c r="AF9" s="2379" t="s">
        <v>6651</v>
      </c>
      <c r="AG9" s="794"/>
      <c r="AH9" s="1376" t="str">
        <f t="shared" ca="1" si="0"/>
        <v>N/A</v>
      </c>
    </row>
    <row r="10" spans="1:34" s="901" customFormat="1" ht="27" customHeight="1">
      <c r="A10" s="749" t="s">
        <v>71</v>
      </c>
      <c r="B10" s="706" t="s">
        <v>100</v>
      </c>
      <c r="C10" s="707" t="s">
        <v>45</v>
      </c>
      <c r="D10" s="755" t="s">
        <v>110</v>
      </c>
      <c r="E10" s="794" t="s">
        <v>449</v>
      </c>
      <c r="F10" s="698" t="s">
        <v>110</v>
      </c>
      <c r="G10" s="1451" t="s">
        <v>1311</v>
      </c>
      <c r="H10" s="730" t="s">
        <v>103</v>
      </c>
      <c r="I10" s="710" t="s">
        <v>268</v>
      </c>
      <c r="J10" s="717" t="s">
        <v>6652</v>
      </c>
      <c r="K10" s="723" t="s">
        <v>6653</v>
      </c>
      <c r="L10" s="723">
        <v>14</v>
      </c>
      <c r="M10" s="792">
        <f>IFERROR(EDATE(N10,-3),"Invalid procurement method or date entered")</f>
        <v>44501</v>
      </c>
      <c r="N10" s="1161">
        <f>IFERROR(EDATE(O10,-L10),"Invalid procurement method or date entered")</f>
        <v>44593</v>
      </c>
      <c r="O10" s="792">
        <v>45017</v>
      </c>
      <c r="P10" s="722" t="s">
        <v>45</v>
      </c>
      <c r="Q10" s="722" t="s">
        <v>45</v>
      </c>
      <c r="R10" s="722" t="s">
        <v>45</v>
      </c>
      <c r="S10" s="722"/>
      <c r="T10" s="723"/>
      <c r="U10" s="723"/>
      <c r="V10" s="1257" t="s">
        <v>105</v>
      </c>
      <c r="W10" s="722" t="s">
        <v>200</v>
      </c>
      <c r="X10" s="722" t="s">
        <v>6654</v>
      </c>
      <c r="Y10" s="722"/>
      <c r="Z10" s="722" t="s">
        <v>5434</v>
      </c>
      <c r="AA10" s="722" t="s">
        <v>125</v>
      </c>
      <c r="AB10" s="723" t="s">
        <v>40</v>
      </c>
      <c r="AC10" s="722" t="s">
        <v>45</v>
      </c>
      <c r="AD10" s="755" t="s">
        <v>38</v>
      </c>
      <c r="AE10" s="2222" t="s">
        <v>1482</v>
      </c>
      <c r="AF10" s="717" t="s">
        <v>6655</v>
      </c>
      <c r="AG10" s="723"/>
      <c r="AH10" s="1376" t="str">
        <f t="shared" ca="1" si="0"/>
        <v>N/A</v>
      </c>
    </row>
    <row r="11" spans="1:34" s="901" customFormat="1" ht="27" customHeight="1">
      <c r="A11" s="749">
        <v>44974</v>
      </c>
      <c r="B11" s="782" t="s">
        <v>100</v>
      </c>
      <c r="C11" s="707" t="s">
        <v>45</v>
      </c>
      <c r="D11" s="710" t="s">
        <v>110</v>
      </c>
      <c r="E11" s="794" t="s">
        <v>449</v>
      </c>
      <c r="F11" s="1311" t="s">
        <v>110</v>
      </c>
      <c r="G11" s="1449" t="s">
        <v>450</v>
      </c>
      <c r="H11" s="710" t="s">
        <v>103</v>
      </c>
      <c r="I11" s="695" t="s">
        <v>268</v>
      </c>
      <c r="J11" s="717" t="s">
        <v>5368</v>
      </c>
      <c r="K11" s="723" t="s">
        <v>821</v>
      </c>
      <c r="L11" s="719">
        <v>12</v>
      </c>
      <c r="M11" s="792">
        <f>IFERROR(EDATE(N11,-3),"Invalid procurement method or date entered")</f>
        <v>44562</v>
      </c>
      <c r="N11" s="1161">
        <f>IFERROR(EDATE(O11,-L11),"Invalid procurement method or date entered")</f>
        <v>44652</v>
      </c>
      <c r="O11" s="1246">
        <v>45017</v>
      </c>
      <c r="P11" s="794">
        <v>48</v>
      </c>
      <c r="Q11" s="715" t="s">
        <v>330</v>
      </c>
      <c r="R11" s="807">
        <v>390000</v>
      </c>
      <c r="S11" s="807"/>
      <c r="T11" s="2512"/>
      <c r="U11" s="2512"/>
      <c r="V11" s="2553" t="s">
        <v>176</v>
      </c>
      <c r="W11" s="888" t="s">
        <v>45</v>
      </c>
      <c r="X11" s="888" t="s">
        <v>45</v>
      </c>
      <c r="Y11" s="888"/>
      <c r="Z11" s="888" t="s">
        <v>822</v>
      </c>
      <c r="AA11" s="719" t="s">
        <v>413</v>
      </c>
      <c r="AB11" s="719" t="s">
        <v>40</v>
      </c>
      <c r="AC11" s="723" t="s">
        <v>69</v>
      </c>
      <c r="AD11" s="1164" t="s">
        <v>70</v>
      </c>
      <c r="AE11" s="2222" t="s">
        <v>1482</v>
      </c>
      <c r="AF11" s="1177" t="s">
        <v>6656</v>
      </c>
      <c r="AG11" s="719"/>
      <c r="AH11" s="1376" t="str">
        <f t="shared" ca="1" si="0"/>
        <v>N/A</v>
      </c>
    </row>
    <row r="12" spans="1:34" s="901" customFormat="1" ht="27" customHeight="1">
      <c r="A12" s="749"/>
      <c r="B12" s="890" t="s">
        <v>56</v>
      </c>
      <c r="C12" s="726">
        <v>66035</v>
      </c>
      <c r="D12" s="730" t="s">
        <v>122</v>
      </c>
      <c r="E12" s="794" t="s">
        <v>449</v>
      </c>
      <c r="F12" s="727" t="s">
        <v>122</v>
      </c>
      <c r="G12" s="1451" t="s">
        <v>362</v>
      </c>
      <c r="H12" s="730" t="s">
        <v>308</v>
      </c>
      <c r="I12" s="726" t="s">
        <v>47</v>
      </c>
      <c r="J12" s="2534" t="s">
        <v>6657</v>
      </c>
      <c r="K12" s="1165"/>
      <c r="L12" s="794">
        <v>4</v>
      </c>
      <c r="M12" s="2012">
        <v>44866</v>
      </c>
      <c r="N12" s="1161">
        <f>IF(O12="tbc","",(IFERROR(EDATE(O12,-L12),"Invalid procurement method or date entered")))</f>
        <v>45261</v>
      </c>
      <c r="O12" s="1273">
        <v>45383</v>
      </c>
      <c r="P12" s="761" t="s">
        <v>60</v>
      </c>
      <c r="Q12" s="761" t="s">
        <v>60</v>
      </c>
      <c r="R12" s="807">
        <v>500000</v>
      </c>
      <c r="S12" s="2599">
        <f t="shared" ref="S12:S17" si="1">SUM(R12*20%)+R12</f>
        <v>600000</v>
      </c>
      <c r="T12" s="924"/>
      <c r="U12" s="924"/>
      <c r="V12" s="792" t="s">
        <v>45</v>
      </c>
      <c r="W12" s="792" t="s">
        <v>310</v>
      </c>
      <c r="X12" s="792" t="s">
        <v>60</v>
      </c>
      <c r="Y12" s="792"/>
      <c r="Z12" s="1165" t="s">
        <v>6658</v>
      </c>
      <c r="AA12" s="1375" t="s">
        <v>312</v>
      </c>
      <c r="AB12" s="795" t="s">
        <v>40</v>
      </c>
      <c r="AC12" s="795"/>
      <c r="AD12" s="782" t="s">
        <v>70</v>
      </c>
      <c r="AE12" s="2222" t="s">
        <v>1482</v>
      </c>
      <c r="AF12" s="2534" t="s">
        <v>6659</v>
      </c>
      <c r="AG12" s="924"/>
      <c r="AH12" s="1376" t="str">
        <f t="shared" ca="1" si="0"/>
        <v>N/A</v>
      </c>
    </row>
    <row r="13" spans="1:34" s="901" customFormat="1" ht="27" customHeight="1">
      <c r="A13" s="749">
        <v>44747</v>
      </c>
      <c r="B13" s="725" t="s">
        <v>56</v>
      </c>
      <c r="C13" s="1165">
        <v>60509</v>
      </c>
      <c r="D13" s="794" t="s">
        <v>348</v>
      </c>
      <c r="E13" s="794" t="s">
        <v>449</v>
      </c>
      <c r="F13" s="794" t="s">
        <v>630</v>
      </c>
      <c r="G13" s="1451" t="s">
        <v>362</v>
      </c>
      <c r="H13" s="794" t="s">
        <v>58</v>
      </c>
      <c r="I13" s="1165" t="s">
        <v>47</v>
      </c>
      <c r="J13" s="2098" t="s">
        <v>6660</v>
      </c>
      <c r="K13" s="1165"/>
      <c r="L13" s="794">
        <v>3</v>
      </c>
      <c r="M13" s="2012">
        <v>44835</v>
      </c>
      <c r="N13" s="1161" t="s">
        <v>60</v>
      </c>
      <c r="O13" s="1273">
        <v>44998</v>
      </c>
      <c r="P13" s="761">
        <v>2</v>
      </c>
      <c r="Q13" s="761">
        <v>2</v>
      </c>
      <c r="R13" s="807">
        <f>137178+258399+157208+104046</f>
        <v>656831</v>
      </c>
      <c r="S13" s="2599">
        <f t="shared" si="1"/>
        <v>788197.2</v>
      </c>
      <c r="T13" s="1165"/>
      <c r="U13" s="1165"/>
      <c r="V13" s="792" t="s">
        <v>61</v>
      </c>
      <c r="W13" s="792" t="s">
        <v>71</v>
      </c>
      <c r="X13" s="792" t="s">
        <v>589</v>
      </c>
      <c r="Y13" s="792"/>
      <c r="Z13" s="1165" t="s">
        <v>6661</v>
      </c>
      <c r="AA13" s="1375" t="s">
        <v>312</v>
      </c>
      <c r="AB13" s="795" t="s">
        <v>126</v>
      </c>
      <c r="AC13" s="795" t="s">
        <v>69</v>
      </c>
      <c r="AD13" s="737" t="s">
        <v>70</v>
      </c>
      <c r="AE13" s="2222" t="s">
        <v>1482</v>
      </c>
      <c r="AF13" s="2098" t="s">
        <v>6662</v>
      </c>
      <c r="AG13" s="1165"/>
      <c r="AH13" s="1376" t="str">
        <f t="shared" ca="1" si="0"/>
        <v>N/A</v>
      </c>
    </row>
    <row r="14" spans="1:34" s="901" customFormat="1" ht="27" customHeight="1">
      <c r="A14" s="1166">
        <v>44908</v>
      </c>
      <c r="B14" s="697" t="s">
        <v>56</v>
      </c>
      <c r="C14" s="697" t="s">
        <v>45</v>
      </c>
      <c r="D14" s="698" t="s">
        <v>847</v>
      </c>
      <c r="E14" s="1385" t="s">
        <v>449</v>
      </c>
      <c r="F14" s="698" t="s">
        <v>361</v>
      </c>
      <c r="G14" s="1449" t="s">
        <v>362</v>
      </c>
      <c r="H14" s="698" t="s">
        <v>308</v>
      </c>
      <c r="I14" s="698" t="s">
        <v>47</v>
      </c>
      <c r="J14" s="2611" t="s">
        <v>6663</v>
      </c>
      <c r="K14" s="723"/>
      <c r="L14" s="723">
        <v>3</v>
      </c>
      <c r="M14" s="792">
        <v>44928</v>
      </c>
      <c r="N14" s="1161" t="s">
        <v>60</v>
      </c>
      <c r="O14" s="946">
        <v>45033</v>
      </c>
      <c r="P14" s="715">
        <v>2</v>
      </c>
      <c r="Q14" s="715" t="s">
        <v>60</v>
      </c>
      <c r="R14" s="807">
        <v>972699</v>
      </c>
      <c r="S14" s="2560">
        <f t="shared" si="1"/>
        <v>1167238.8</v>
      </c>
      <c r="T14" s="723"/>
      <c r="U14" s="723"/>
      <c r="V14" s="723" t="s">
        <v>61</v>
      </c>
      <c r="W14" s="723" t="s">
        <v>45</v>
      </c>
      <c r="X14" s="723" t="s">
        <v>45</v>
      </c>
      <c r="Y14" s="723"/>
      <c r="Z14" s="723" t="s">
        <v>840</v>
      </c>
      <c r="AA14" s="1262" t="s">
        <v>351</v>
      </c>
      <c r="AB14" s="723" t="s">
        <v>40</v>
      </c>
      <c r="AC14" s="723" t="s">
        <v>45</v>
      </c>
      <c r="AD14" s="1485" t="s">
        <v>70</v>
      </c>
      <c r="AE14" s="1335" t="s">
        <v>1482</v>
      </c>
      <c r="AF14" s="2541" t="s">
        <v>6664</v>
      </c>
      <c r="AG14" s="698"/>
      <c r="AH14" s="1376" t="str">
        <f t="shared" ca="1" si="0"/>
        <v>N/A</v>
      </c>
    </row>
    <row r="15" spans="1:34" s="901" customFormat="1" ht="27" customHeight="1">
      <c r="A15" s="749"/>
      <c r="B15" s="890" t="s">
        <v>56</v>
      </c>
      <c r="C15" s="726" t="s">
        <v>60</v>
      </c>
      <c r="D15" s="730" t="s">
        <v>348</v>
      </c>
      <c r="E15" s="794" t="s">
        <v>449</v>
      </c>
      <c r="F15" s="739" t="s">
        <v>361</v>
      </c>
      <c r="G15" s="1455" t="s">
        <v>362</v>
      </c>
      <c r="H15" s="730" t="s">
        <v>308</v>
      </c>
      <c r="I15" s="726" t="s">
        <v>34</v>
      </c>
      <c r="J15" s="2534" t="s">
        <v>5298</v>
      </c>
      <c r="K15" s="1165" t="s">
        <v>5302</v>
      </c>
      <c r="L15" s="794">
        <v>12</v>
      </c>
      <c r="M15" s="2012">
        <v>44624</v>
      </c>
      <c r="N15" s="1161">
        <f>IF(O15="tbc","",(IFERROR(EDATE(O15,-L15),"Invalid procurement method or date entered")))</f>
        <v>44682</v>
      </c>
      <c r="O15" s="1273">
        <v>45047</v>
      </c>
      <c r="P15" s="761">
        <v>12</v>
      </c>
      <c r="Q15" s="761">
        <v>12</v>
      </c>
      <c r="R15" s="807">
        <v>60000</v>
      </c>
      <c r="S15" s="2599">
        <f t="shared" si="1"/>
        <v>72000</v>
      </c>
      <c r="T15" s="924"/>
      <c r="U15" s="924"/>
      <c r="V15" s="792" t="s">
        <v>91</v>
      </c>
      <c r="W15" s="792" t="s">
        <v>589</v>
      </c>
      <c r="X15" s="792" t="s">
        <v>589</v>
      </c>
      <c r="Y15" s="792"/>
      <c r="Z15" s="794" t="s">
        <v>4979</v>
      </c>
      <c r="AA15" s="1375" t="s">
        <v>561</v>
      </c>
      <c r="AB15" s="795" t="s">
        <v>40</v>
      </c>
      <c r="AC15" s="2617" t="s">
        <v>154</v>
      </c>
      <c r="AD15" s="2551" t="s">
        <v>70</v>
      </c>
      <c r="AE15" s="2222" t="s">
        <v>1482</v>
      </c>
      <c r="AF15" s="2702" t="s">
        <v>6665</v>
      </c>
      <c r="AG15" s="924"/>
      <c r="AH15" s="1376" t="str">
        <f t="shared" ca="1" si="0"/>
        <v>N/A</v>
      </c>
    </row>
    <row r="16" spans="1:34" s="901" customFormat="1" ht="52">
      <c r="A16" s="749"/>
      <c r="B16" s="890" t="s">
        <v>56</v>
      </c>
      <c r="C16" s="726" t="s">
        <v>60</v>
      </c>
      <c r="D16" s="730" t="s">
        <v>348</v>
      </c>
      <c r="E16" s="794" t="s">
        <v>449</v>
      </c>
      <c r="F16" s="1311" t="s">
        <v>361</v>
      </c>
      <c r="G16" s="1455" t="s">
        <v>362</v>
      </c>
      <c r="H16" s="730" t="s">
        <v>308</v>
      </c>
      <c r="I16" s="726" t="s">
        <v>34</v>
      </c>
      <c r="J16" s="729" t="s">
        <v>5457</v>
      </c>
      <c r="K16" s="1318" t="s">
        <v>365</v>
      </c>
      <c r="L16" s="854">
        <v>12</v>
      </c>
      <c r="M16" s="1154">
        <v>44715</v>
      </c>
      <c r="N16" s="702">
        <f>IF(O16="tbc","",(IFERROR(EDATE(O16,-L16),"Invalid procurement method or date entered")))</f>
        <v>44713</v>
      </c>
      <c r="O16" s="1155">
        <v>45078</v>
      </c>
      <c r="P16" s="1378">
        <v>12</v>
      </c>
      <c r="Q16" s="1378">
        <v>12</v>
      </c>
      <c r="R16" s="930" t="s">
        <v>60</v>
      </c>
      <c r="S16" s="2546" t="e">
        <f t="shared" si="1"/>
        <v>#VALUE!</v>
      </c>
      <c r="T16" s="924"/>
      <c r="U16" s="924"/>
      <c r="V16" s="792" t="s">
        <v>130</v>
      </c>
      <c r="W16" s="792" t="s">
        <v>589</v>
      </c>
      <c r="X16" s="792" t="s">
        <v>589</v>
      </c>
      <c r="Y16" s="792"/>
      <c r="Z16" s="794" t="s">
        <v>4979</v>
      </c>
      <c r="AA16" s="1385" t="s">
        <v>561</v>
      </c>
      <c r="AB16" s="2276" t="s">
        <v>40</v>
      </c>
      <c r="AC16" s="2693" t="s">
        <v>154</v>
      </c>
      <c r="AD16" s="695" t="s">
        <v>70</v>
      </c>
      <c r="AE16" s="2222" t="s">
        <v>1482</v>
      </c>
      <c r="AF16" s="2534" t="s">
        <v>6666</v>
      </c>
      <c r="AG16" s="924"/>
      <c r="AH16" s="1376" t="str">
        <f t="shared" ca="1" si="0"/>
        <v>N/A</v>
      </c>
    </row>
    <row r="17" spans="1:36" s="901" customFormat="1" ht="78">
      <c r="A17" s="749">
        <v>44930</v>
      </c>
      <c r="B17" s="725" t="s">
        <v>56</v>
      </c>
      <c r="C17" s="726" t="s">
        <v>6667</v>
      </c>
      <c r="D17" s="727" t="s">
        <v>57</v>
      </c>
      <c r="E17" s="794" t="s">
        <v>449</v>
      </c>
      <c r="F17" s="1311" t="s">
        <v>630</v>
      </c>
      <c r="G17" s="1451" t="s">
        <v>1319</v>
      </c>
      <c r="H17" s="730" t="s">
        <v>58</v>
      </c>
      <c r="I17" s="710" t="s">
        <v>268</v>
      </c>
      <c r="J17" s="709" t="s">
        <v>6668</v>
      </c>
      <c r="K17" s="710" t="s">
        <v>6669</v>
      </c>
      <c r="L17" s="730">
        <v>12</v>
      </c>
      <c r="M17" s="731">
        <v>44927</v>
      </c>
      <c r="N17" s="712">
        <v>44927</v>
      </c>
      <c r="O17" s="711">
        <v>44837</v>
      </c>
      <c r="P17" s="732">
        <v>6</v>
      </c>
      <c r="Q17" s="733">
        <v>6</v>
      </c>
      <c r="R17" s="742">
        <f>200000+364795</f>
        <v>564795</v>
      </c>
      <c r="S17" s="2491">
        <f t="shared" si="1"/>
        <v>677754</v>
      </c>
      <c r="T17" s="1286"/>
      <c r="U17" s="1286"/>
      <c r="V17" s="792" t="s">
        <v>270</v>
      </c>
      <c r="W17" s="792" t="s">
        <v>38</v>
      </c>
      <c r="X17" s="792" t="s">
        <v>71</v>
      </c>
      <c r="Y17" s="792"/>
      <c r="Z17" s="723" t="s">
        <v>1362</v>
      </c>
      <c r="AA17" s="890" t="s">
        <v>283</v>
      </c>
      <c r="AB17" s="762" t="s">
        <v>40</v>
      </c>
      <c r="AC17" s="762" t="s">
        <v>69</v>
      </c>
      <c r="AD17" s="695" t="s">
        <v>70</v>
      </c>
      <c r="AE17" s="2222" t="s">
        <v>1482</v>
      </c>
      <c r="AF17" s="916" t="s">
        <v>6670</v>
      </c>
      <c r="AG17" s="1286"/>
      <c r="AH17" s="1376" t="str">
        <f t="shared" ca="1" si="0"/>
        <v>N/A</v>
      </c>
    </row>
    <row r="18" spans="1:36" s="901" customFormat="1" ht="26">
      <c r="A18" s="749" t="s">
        <v>71</v>
      </c>
      <c r="B18" s="737" t="s">
        <v>44</v>
      </c>
      <c r="C18" s="738">
        <v>54249</v>
      </c>
      <c r="D18" s="739" t="s">
        <v>57</v>
      </c>
      <c r="E18" s="794" t="s">
        <v>449</v>
      </c>
      <c r="F18" s="1385" t="s">
        <v>630</v>
      </c>
      <c r="G18" s="1455" t="s">
        <v>569</v>
      </c>
      <c r="H18" s="710" t="s">
        <v>33</v>
      </c>
      <c r="I18" s="710" t="s">
        <v>47</v>
      </c>
      <c r="J18" s="709" t="s">
        <v>5736</v>
      </c>
      <c r="K18" s="710" t="s">
        <v>6671</v>
      </c>
      <c r="L18" s="710" t="e">
        <f>IF(OR(V18=#REF!,V18=#REF!,V18=#REF!,V18=#REF!,V18=#REF!,V18=#REF!,V18=#REF!,V18=#REF!),12,IF(OR(V18=#REF!,V18=#REF!,V18=#REF!,V18=#REF!,V18=#REF!,V18=#REF!,V18=#REF!),3,IF(V18=#REF!,1,IF(V18=#REF!,18,IF(OR(V18=#REF!,V18=#REF!,V18=#REF!,V18=#REF!,V18=#REF!),14,"Invalid proposed procurement method")))))</f>
        <v>#REF!</v>
      </c>
      <c r="M18" s="769">
        <v>44593</v>
      </c>
      <c r="N18" s="769">
        <v>44713</v>
      </c>
      <c r="O18" s="1237">
        <v>44952</v>
      </c>
      <c r="P18" s="740">
        <v>67</v>
      </c>
      <c r="Q18" s="723" t="s">
        <v>5538</v>
      </c>
      <c r="R18" s="742">
        <v>315456.78999999998</v>
      </c>
      <c r="S18" s="2491">
        <f>IF(ISNUMBER(R18),SUM(R18*20%)+R18,"")</f>
        <v>378548.14799999999</v>
      </c>
      <c r="T18" s="807"/>
      <c r="U18" s="807"/>
      <c r="V18" s="723" t="s">
        <v>91</v>
      </c>
      <c r="W18" s="1246" t="s">
        <v>38</v>
      </c>
      <c r="X18" s="1246" t="s">
        <v>71</v>
      </c>
      <c r="Y18" s="1246"/>
      <c r="Z18" s="723" t="s">
        <v>5738</v>
      </c>
      <c r="AA18" s="708" t="s">
        <v>77</v>
      </c>
      <c r="AB18" s="710" t="s">
        <v>40</v>
      </c>
      <c r="AC18" s="710" t="s">
        <v>69</v>
      </c>
      <c r="AD18" s="710" t="s">
        <v>70</v>
      </c>
      <c r="AE18" s="2222" t="s">
        <v>1482</v>
      </c>
      <c r="AF18" s="1301" t="s">
        <v>6672</v>
      </c>
      <c r="AG18" s="723" t="s">
        <v>145</v>
      </c>
      <c r="AH18" s="1376" t="str">
        <f t="shared" ca="1" si="0"/>
        <v>N/A</v>
      </c>
    </row>
    <row r="19" spans="1:36" s="901" customFormat="1" ht="65">
      <c r="A19" s="749" t="s">
        <v>71</v>
      </c>
      <c r="B19" s="737" t="s">
        <v>44</v>
      </c>
      <c r="C19" s="738">
        <v>48945</v>
      </c>
      <c r="D19" s="739" t="s">
        <v>32</v>
      </c>
      <c r="E19" s="794" t="s">
        <v>449</v>
      </c>
      <c r="F19" s="1311" t="s">
        <v>1103</v>
      </c>
      <c r="G19" s="1449" t="s">
        <v>4998</v>
      </c>
      <c r="H19" s="808" t="s">
        <v>399</v>
      </c>
      <c r="I19" s="808" t="s">
        <v>47</v>
      </c>
      <c r="J19" s="709" t="s">
        <v>3848</v>
      </c>
      <c r="K19" s="710" t="s">
        <v>5269</v>
      </c>
      <c r="L19" s="710">
        <v>11</v>
      </c>
      <c r="M19" s="769">
        <f>IFERROR(EDATE($N19,-3),"Invalid procurement method or date entered")</f>
        <v>44593</v>
      </c>
      <c r="N19" s="769">
        <f t="shared" ref="N19:N24" si="2">IFERROR(EDATE(O19,-L19),"Invalid procurement method or date entered")</f>
        <v>44682</v>
      </c>
      <c r="O19" s="859">
        <v>45017</v>
      </c>
      <c r="P19" s="771">
        <v>12</v>
      </c>
      <c r="Q19" s="831" t="s">
        <v>50</v>
      </c>
      <c r="R19" s="742">
        <v>95689</v>
      </c>
      <c r="S19" s="2491">
        <f>IF(ISNUMBER(R19),SUM(R19*20%)+R19,"")</f>
        <v>114826.8</v>
      </c>
      <c r="T19" s="1287"/>
      <c r="U19" s="1287"/>
      <c r="V19" s="723" t="s">
        <v>84</v>
      </c>
      <c r="W19" s="1388" t="s">
        <v>62</v>
      </c>
      <c r="X19" s="1507" t="s">
        <v>71</v>
      </c>
      <c r="Y19" s="1507"/>
      <c r="Z19" s="1271" t="s">
        <v>5270</v>
      </c>
      <c r="AA19" s="708" t="s">
        <v>94</v>
      </c>
      <c r="AB19" s="784" t="s">
        <v>40</v>
      </c>
      <c r="AC19" s="710" t="s">
        <v>69</v>
      </c>
      <c r="AD19" s="710" t="s">
        <v>38</v>
      </c>
      <c r="AE19" s="2222" t="s">
        <v>1482</v>
      </c>
      <c r="AF19" s="1292" t="s">
        <v>6673</v>
      </c>
      <c r="AG19" s="741" t="s">
        <v>399</v>
      </c>
      <c r="AH19" s="1376" t="str">
        <f t="shared" ca="1" si="0"/>
        <v>N/A</v>
      </c>
    </row>
    <row r="20" spans="1:36" s="2703" customFormat="1" ht="52">
      <c r="A20" s="749" t="s">
        <v>71</v>
      </c>
      <c r="B20" s="737" t="s">
        <v>44</v>
      </c>
      <c r="C20" s="786">
        <v>41719</v>
      </c>
      <c r="D20" s="789" t="s">
        <v>32</v>
      </c>
      <c r="E20" s="794" t="s">
        <v>449</v>
      </c>
      <c r="F20" s="1384" t="s">
        <v>361</v>
      </c>
      <c r="G20" s="1455" t="s">
        <v>569</v>
      </c>
      <c r="H20" s="2548" t="s">
        <v>33</v>
      </c>
      <c r="I20" s="2548" t="s">
        <v>47</v>
      </c>
      <c r="J20" s="2549" t="s">
        <v>5501</v>
      </c>
      <c r="K20" s="2548" t="s">
        <v>5502</v>
      </c>
      <c r="L20" s="784">
        <v>10</v>
      </c>
      <c r="M20" s="1247">
        <f>IFERROR(EDATE($N20,-3),"Invalid procurement method or date entered")</f>
        <v>44621</v>
      </c>
      <c r="N20" s="1247">
        <f t="shared" si="2"/>
        <v>44713</v>
      </c>
      <c r="O20" s="947">
        <v>45017</v>
      </c>
      <c r="P20" s="2451">
        <v>36</v>
      </c>
      <c r="Q20" s="751">
        <v>36</v>
      </c>
      <c r="R20" s="742">
        <v>251781.41</v>
      </c>
      <c r="S20" s="2491">
        <f>SUM(R20*20%)+R20</f>
        <v>302137.69200000004</v>
      </c>
      <c r="T20" s="793">
        <v>14891</v>
      </c>
      <c r="U20" s="793"/>
      <c r="V20" s="751" t="s">
        <v>158</v>
      </c>
      <c r="W20" s="723" t="s">
        <v>70</v>
      </c>
      <c r="X20" s="1174">
        <v>45000</v>
      </c>
      <c r="Y20" s="1174"/>
      <c r="Z20" s="751" t="s">
        <v>5504</v>
      </c>
      <c r="AA20" s="708" t="s">
        <v>94</v>
      </c>
      <c r="AB20" s="784" t="s">
        <v>40</v>
      </c>
      <c r="AC20" s="710" t="s">
        <v>154</v>
      </c>
      <c r="AD20" s="710" t="s">
        <v>70</v>
      </c>
      <c r="AE20" s="2222" t="s">
        <v>1482</v>
      </c>
      <c r="AF20" s="1177" t="s">
        <v>6674</v>
      </c>
      <c r="AG20" s="723" t="s">
        <v>5011</v>
      </c>
      <c r="AH20" s="1376" t="str">
        <f t="shared" ca="1" si="0"/>
        <v>N/A</v>
      </c>
      <c r="AI20" s="901"/>
      <c r="AJ20" s="901"/>
    </row>
    <row r="21" spans="1:36" s="2703" customFormat="1" ht="65">
      <c r="A21" s="749" t="s">
        <v>71</v>
      </c>
      <c r="B21" s="737" t="s">
        <v>44</v>
      </c>
      <c r="C21" s="738" t="s">
        <v>3453</v>
      </c>
      <c r="D21" s="739" t="s">
        <v>57</v>
      </c>
      <c r="E21" s="794" t="s">
        <v>449</v>
      </c>
      <c r="F21" s="739" t="s">
        <v>630</v>
      </c>
      <c r="G21" s="2192" t="s">
        <v>1406</v>
      </c>
      <c r="H21" s="2172" t="s">
        <v>33</v>
      </c>
      <c r="I21" s="710" t="s">
        <v>34</v>
      </c>
      <c r="J21" s="735" t="s">
        <v>5479</v>
      </c>
      <c r="K21" s="2497" t="s">
        <v>5480</v>
      </c>
      <c r="L21" s="710" t="e">
        <f>IF(OR(V21=#REF!,V21=#REF!,V21=#REF!,V21=#REF!,V21=#REF!,V21=#REF!,V21=#REF!,V21=#REF!),12,IF(OR(V21=#REF!,V21=#REF!,V21=#REF!,V21=#REF!,V21=#REF!,V21=#REF!,V21=#REF!),3,IF(V21=#REF!,1,IF(V21=#REF!,18,IF(OR(V21=#REF!,V21=#REF!,V21=#REF!,V21=#REF!,V21=#REF!),14,"Invalid proposed procurement method")))))</f>
        <v>#REF!</v>
      </c>
      <c r="M21" s="769" t="str">
        <f>IFERROR(EDATE($N21,-3),"Invalid procurement method or date entered")</f>
        <v>Invalid procurement method or date entered</v>
      </c>
      <c r="N21" s="769" t="str">
        <f t="shared" si="2"/>
        <v>Invalid procurement method or date entered</v>
      </c>
      <c r="O21" s="1240">
        <v>45176</v>
      </c>
      <c r="P21" s="1175">
        <v>60</v>
      </c>
      <c r="Q21" s="723" t="s">
        <v>6675</v>
      </c>
      <c r="R21" s="937">
        <v>198500</v>
      </c>
      <c r="S21" s="2491">
        <f t="shared" ref="S21:S38" si="3">IF(ISNUMBER(R21),SUM(R21*20%)+R21,"")</f>
        <v>238200</v>
      </c>
      <c r="T21" s="793"/>
      <c r="U21" s="793"/>
      <c r="V21" s="723" t="s">
        <v>130</v>
      </c>
      <c r="W21" s="2694" t="s">
        <v>62</v>
      </c>
      <c r="X21" s="2694" t="s">
        <v>67</v>
      </c>
      <c r="Y21" s="2694"/>
      <c r="Z21" s="723" t="s">
        <v>392</v>
      </c>
      <c r="AA21" s="698" t="s">
        <v>283</v>
      </c>
      <c r="AB21" s="710" t="s">
        <v>40</v>
      </c>
      <c r="AC21" s="710" t="s">
        <v>69</v>
      </c>
      <c r="AD21" s="710" t="s">
        <v>70</v>
      </c>
      <c r="AE21" s="2222" t="s">
        <v>1482</v>
      </c>
      <c r="AF21" s="735" t="s">
        <v>6676</v>
      </c>
      <c r="AG21" s="723" t="s">
        <v>164</v>
      </c>
      <c r="AH21" s="1376" t="str">
        <f t="shared" ca="1" si="0"/>
        <v>N/A</v>
      </c>
      <c r="AI21" s="901"/>
      <c r="AJ21" s="901"/>
    </row>
    <row r="22" spans="1:36" s="2703" customFormat="1" ht="39">
      <c r="A22" s="749"/>
      <c r="B22" s="782" t="s">
        <v>44</v>
      </c>
      <c r="C22" s="695" t="s">
        <v>4158</v>
      </c>
      <c r="D22" s="710" t="s">
        <v>32</v>
      </c>
      <c r="E22" s="794" t="s">
        <v>449</v>
      </c>
      <c r="F22" s="739" t="s">
        <v>361</v>
      </c>
      <c r="G22" s="2192" t="s">
        <v>569</v>
      </c>
      <c r="H22" s="710" t="s">
        <v>33</v>
      </c>
      <c r="I22" s="710" t="s">
        <v>34</v>
      </c>
      <c r="J22" s="748" t="s">
        <v>4159</v>
      </c>
      <c r="K22" s="801" t="s">
        <v>4928</v>
      </c>
      <c r="L22" s="710">
        <v>6</v>
      </c>
      <c r="M22" s="769">
        <f>IFERROR(EDATE($N22,-3),"Invalid procurement method or date entered")</f>
        <v>44860</v>
      </c>
      <c r="N22" s="769">
        <f t="shared" si="2"/>
        <v>44952</v>
      </c>
      <c r="O22" s="769">
        <v>45133</v>
      </c>
      <c r="P22" s="738">
        <v>48</v>
      </c>
      <c r="Q22" s="711" t="s">
        <v>982</v>
      </c>
      <c r="R22" s="937">
        <v>80000</v>
      </c>
      <c r="S22" s="2491">
        <f t="shared" si="3"/>
        <v>96000</v>
      </c>
      <c r="T22" s="719"/>
      <c r="U22" s="719"/>
      <c r="V22" s="723" t="s">
        <v>130</v>
      </c>
      <c r="W22" s="723" t="s">
        <v>38</v>
      </c>
      <c r="X22" s="741" t="s">
        <v>67</v>
      </c>
      <c r="Y22" s="741"/>
      <c r="Z22" s="723" t="s">
        <v>1290</v>
      </c>
      <c r="AA22" s="708" t="s">
        <v>561</v>
      </c>
      <c r="AB22" s="710" t="s">
        <v>40</v>
      </c>
      <c r="AC22" s="750"/>
      <c r="AD22" s="710"/>
      <c r="AE22" s="2222" t="s">
        <v>1482</v>
      </c>
      <c r="AF22" s="2379" t="s">
        <v>6677</v>
      </c>
      <c r="AG22" s="723" t="s">
        <v>806</v>
      </c>
      <c r="AH22" s="1376" t="str">
        <f t="shared" ca="1" si="0"/>
        <v>N/A</v>
      </c>
      <c r="AI22" s="2704"/>
      <c r="AJ22" s="901">
        <v>1</v>
      </c>
    </row>
    <row r="23" spans="1:36" s="2323" customFormat="1" ht="52">
      <c r="A23" s="749"/>
      <c r="B23" s="695" t="s">
        <v>44</v>
      </c>
      <c r="C23" s="738">
        <v>30219</v>
      </c>
      <c r="D23" s="808" t="s">
        <v>32</v>
      </c>
      <c r="E23" s="730" t="s">
        <v>449</v>
      </c>
      <c r="F23" s="808" t="s">
        <v>1067</v>
      </c>
      <c r="G23" s="781" t="s">
        <v>569</v>
      </c>
      <c r="H23" s="710" t="s">
        <v>33</v>
      </c>
      <c r="I23" s="710" t="s">
        <v>34</v>
      </c>
      <c r="J23" s="709" t="s">
        <v>2184</v>
      </c>
      <c r="K23" s="710" t="s">
        <v>5351</v>
      </c>
      <c r="L23" s="710">
        <v>12</v>
      </c>
      <c r="M23" s="769">
        <f>IFERROR(EDATE($N23,-3),"Invalid procurement method or date entered")</f>
        <v>45070</v>
      </c>
      <c r="N23" s="769">
        <f t="shared" si="2"/>
        <v>45162</v>
      </c>
      <c r="O23" s="947">
        <v>45528</v>
      </c>
      <c r="P23" s="710">
        <v>48</v>
      </c>
      <c r="Q23" s="710" t="s">
        <v>982</v>
      </c>
      <c r="R23" s="1030">
        <v>100332</v>
      </c>
      <c r="S23" s="2491">
        <f t="shared" si="3"/>
        <v>120398.39999999999</v>
      </c>
      <c r="T23" s="793"/>
      <c r="U23" s="793"/>
      <c r="V23" s="723" t="s">
        <v>84</v>
      </c>
      <c r="W23" s="723" t="s">
        <v>62</v>
      </c>
      <c r="X23" s="741" t="s">
        <v>71</v>
      </c>
      <c r="Y23" s="741"/>
      <c r="Z23" s="723" t="s">
        <v>5335</v>
      </c>
      <c r="AA23" s="708" t="s">
        <v>1334</v>
      </c>
      <c r="AB23" s="710" t="s">
        <v>40</v>
      </c>
      <c r="AC23" s="710" t="s">
        <v>87</v>
      </c>
      <c r="AD23" s="710" t="s">
        <v>70</v>
      </c>
      <c r="AE23" s="2222" t="s">
        <v>1482</v>
      </c>
      <c r="AF23" s="709" t="s">
        <v>6678</v>
      </c>
      <c r="AG23" s="710" t="s">
        <v>443</v>
      </c>
      <c r="AH23" s="1376" t="str">
        <f t="shared" ca="1" si="0"/>
        <v>N/A</v>
      </c>
      <c r="AI23" s="901"/>
      <c r="AJ23" s="901"/>
    </row>
    <row r="24" spans="1:36" s="901" customFormat="1" ht="91">
      <c r="A24" s="749" t="s">
        <v>71</v>
      </c>
      <c r="B24" s="737" t="s">
        <v>44</v>
      </c>
      <c r="C24" s="741" t="s">
        <v>71</v>
      </c>
      <c r="D24" s="723" t="s">
        <v>4704</v>
      </c>
      <c r="E24" s="794" t="s">
        <v>449</v>
      </c>
      <c r="F24" s="698" t="s">
        <v>361</v>
      </c>
      <c r="G24" s="1454" t="s">
        <v>362</v>
      </c>
      <c r="H24" s="723" t="s">
        <v>80</v>
      </c>
      <c r="I24" s="723" t="s">
        <v>47</v>
      </c>
      <c r="J24" s="718" t="s">
        <v>5520</v>
      </c>
      <c r="K24" s="723" t="s">
        <v>5521</v>
      </c>
      <c r="L24" s="723">
        <v>1</v>
      </c>
      <c r="M24" s="1246">
        <v>44585</v>
      </c>
      <c r="N24" s="1246">
        <f t="shared" si="2"/>
        <v>45108</v>
      </c>
      <c r="O24" s="1239">
        <v>45139</v>
      </c>
      <c r="P24" s="1179">
        <v>48</v>
      </c>
      <c r="Q24" s="766" t="s">
        <v>258</v>
      </c>
      <c r="R24" s="742">
        <v>32000</v>
      </c>
      <c r="S24" s="2697">
        <f t="shared" si="3"/>
        <v>38400</v>
      </c>
      <c r="T24" s="807"/>
      <c r="U24" s="807"/>
      <c r="V24" s="723" t="s">
        <v>6679</v>
      </c>
      <c r="W24" s="723" t="s">
        <v>67</v>
      </c>
      <c r="X24" s="741" t="s">
        <v>67</v>
      </c>
      <c r="Y24" s="741"/>
      <c r="Z24" s="723" t="s">
        <v>5522</v>
      </c>
      <c r="AA24" s="708" t="s">
        <v>351</v>
      </c>
      <c r="AB24" s="710" t="s">
        <v>40</v>
      </c>
      <c r="AC24" s="710" t="s">
        <v>67</v>
      </c>
      <c r="AD24" s="710" t="s">
        <v>70</v>
      </c>
      <c r="AE24" s="2222" t="s">
        <v>1482</v>
      </c>
      <c r="AF24" s="1437" t="s">
        <v>6680</v>
      </c>
      <c r="AG24" s="723"/>
      <c r="AH24" s="1376" t="str">
        <f t="shared" ca="1" si="0"/>
        <v>N/A</v>
      </c>
    </row>
    <row r="25" spans="1:36" s="2703" customFormat="1" ht="65">
      <c r="A25" s="1166">
        <v>44810</v>
      </c>
      <c r="B25" s="1406" t="s">
        <v>56</v>
      </c>
      <c r="C25" s="1406" t="s">
        <v>45</v>
      </c>
      <c r="D25" s="1385" t="s">
        <v>57</v>
      </c>
      <c r="E25" s="1385" t="s">
        <v>449</v>
      </c>
      <c r="F25" s="698" t="s">
        <v>630</v>
      </c>
      <c r="G25" s="1451" t="s">
        <v>1319</v>
      </c>
      <c r="H25" s="1385" t="s">
        <v>4946</v>
      </c>
      <c r="I25" s="698" t="s">
        <v>47</v>
      </c>
      <c r="J25" s="1449" t="s">
        <v>6681</v>
      </c>
      <c r="K25" s="698"/>
      <c r="L25" s="710" t="e">
        <f>IF(OR(V25=#REF!,V25=#REF!,V25=#REF!,V25=#REF!,V25=#REF!,V25=#REF!,V25=#REF!,V25=#REF!),12,IF(OR(V25=#REF!,V25=#REF!,V25=#REF!,V25=#REF!,V25=#REF!,V25=#REF!,V25=#REF!),3,IF(V25=#REF!,1,IF(V25=#REF!,18,IF(OR(V25=#REF!,V25=#REF!,V25=#REF!,V25=#REF!,V25=#REF!),14,"Invalid proposed procurement method")))))</f>
        <v>#REF!</v>
      </c>
      <c r="M25" s="711">
        <v>44928</v>
      </c>
      <c r="N25" s="711" t="s">
        <v>60</v>
      </c>
      <c r="O25" s="1158">
        <v>45040</v>
      </c>
      <c r="P25" s="1277">
        <v>1</v>
      </c>
      <c r="Q25" s="1277">
        <v>1</v>
      </c>
      <c r="R25" s="930">
        <v>180000</v>
      </c>
      <c r="S25" s="2697">
        <f t="shared" si="3"/>
        <v>216000</v>
      </c>
      <c r="T25" s="794"/>
      <c r="U25" s="794"/>
      <c r="V25" s="792" t="s">
        <v>61</v>
      </c>
      <c r="W25" s="792" t="s">
        <v>310</v>
      </c>
      <c r="X25" s="723" t="s">
        <v>6682</v>
      </c>
      <c r="Y25" s="723"/>
      <c r="Z25" s="723" t="s">
        <v>6683</v>
      </c>
      <c r="AA25" s="1406" t="s">
        <v>351</v>
      </c>
      <c r="AB25" s="723" t="s">
        <v>40</v>
      </c>
      <c r="AC25" s="698" t="s">
        <v>67</v>
      </c>
      <c r="AD25" s="698" t="s">
        <v>70</v>
      </c>
      <c r="AE25" s="1335" t="s">
        <v>1482</v>
      </c>
      <c r="AF25" s="1451" t="s">
        <v>6684</v>
      </c>
      <c r="AG25" s="1385"/>
      <c r="AH25" s="1376" t="str">
        <f t="shared" ca="1" si="0"/>
        <v>N/A</v>
      </c>
      <c r="AI25" s="901"/>
      <c r="AJ25" s="901"/>
    </row>
    <row r="26" spans="1:36" s="2703" customFormat="1" ht="78">
      <c r="A26" s="749" t="s">
        <v>71</v>
      </c>
      <c r="B26" s="706" t="s">
        <v>100</v>
      </c>
      <c r="C26" s="707" t="s">
        <v>5263</v>
      </c>
      <c r="D26" s="708" t="s">
        <v>110</v>
      </c>
      <c r="E26" s="794" t="s">
        <v>449</v>
      </c>
      <c r="F26" s="698" t="s">
        <v>110</v>
      </c>
      <c r="G26" s="1451" t="s">
        <v>1311</v>
      </c>
      <c r="H26" s="710" t="s">
        <v>5058</v>
      </c>
      <c r="I26" s="710" t="s">
        <v>268</v>
      </c>
      <c r="J26" s="709" t="s">
        <v>3850</v>
      </c>
      <c r="K26" s="710" t="s">
        <v>5237</v>
      </c>
      <c r="L26" s="710">
        <v>14</v>
      </c>
      <c r="M26" s="711">
        <f>IFERROR(EDATE(N26,-3),"Invalid procurement method or date entered")</f>
        <v>44501</v>
      </c>
      <c r="N26" s="712">
        <f>IFERROR(EDATE(O26,-L26),"Invalid procurement method or date entered")</f>
        <v>44593</v>
      </c>
      <c r="O26" s="713">
        <v>45017</v>
      </c>
      <c r="P26" s="2578">
        <v>72</v>
      </c>
      <c r="Q26" s="2579" t="s">
        <v>171</v>
      </c>
      <c r="R26" s="2580">
        <v>5606593</v>
      </c>
      <c r="S26" s="2698">
        <f t="shared" si="3"/>
        <v>6727911.5999999996</v>
      </c>
      <c r="T26" s="794"/>
      <c r="U26" s="794"/>
      <c r="V26" s="1257" t="s">
        <v>270</v>
      </c>
      <c r="W26" s="723" t="s">
        <v>70</v>
      </c>
      <c r="X26" s="723" t="s">
        <v>6685</v>
      </c>
      <c r="Y26" s="723"/>
      <c r="Z26" s="723" t="s">
        <v>6686</v>
      </c>
      <c r="AA26" s="708" t="s">
        <v>470</v>
      </c>
      <c r="AB26" s="710" t="s">
        <v>40</v>
      </c>
      <c r="AC26" s="710" t="s">
        <v>87</v>
      </c>
      <c r="AD26" s="724" t="s">
        <v>70</v>
      </c>
      <c r="AE26" s="2222" t="s">
        <v>1482</v>
      </c>
      <c r="AF26" s="916" t="s">
        <v>6687</v>
      </c>
      <c r="AG26" s="794"/>
      <c r="AH26" s="1376" t="str">
        <f t="shared" ca="1" si="0"/>
        <v>N/A</v>
      </c>
      <c r="AI26" s="901"/>
      <c r="AJ26" s="901"/>
    </row>
    <row r="27" spans="1:36" s="901" customFormat="1" ht="78">
      <c r="A27" s="749" t="s">
        <v>71</v>
      </c>
      <c r="B27" s="706" t="s">
        <v>100</v>
      </c>
      <c r="C27" s="707">
        <v>49128</v>
      </c>
      <c r="D27" s="708" t="s">
        <v>32</v>
      </c>
      <c r="E27" s="794" t="s">
        <v>449</v>
      </c>
      <c r="F27" s="698" t="s">
        <v>110</v>
      </c>
      <c r="G27" s="1451" t="s">
        <v>1311</v>
      </c>
      <c r="H27" s="710" t="s">
        <v>5058</v>
      </c>
      <c r="I27" s="710" t="s">
        <v>34</v>
      </c>
      <c r="J27" s="728" t="s">
        <v>6688</v>
      </c>
      <c r="K27" s="730" t="s">
        <v>1322</v>
      </c>
      <c r="L27" s="710">
        <v>12</v>
      </c>
      <c r="M27" s="711">
        <f>IFERROR(EDATE(N27,-3),"Invalid procurement method or date entered")</f>
        <v>44562</v>
      </c>
      <c r="N27" s="712">
        <f>IFERROR(EDATE(O27,-L27),"Invalid procurement method or date entered")</f>
        <v>44652</v>
      </c>
      <c r="O27" s="1352">
        <v>45017</v>
      </c>
      <c r="P27" s="776">
        <v>60</v>
      </c>
      <c r="Q27" s="773" t="s">
        <v>6689</v>
      </c>
      <c r="R27" s="807">
        <v>800000</v>
      </c>
      <c r="S27" s="2560">
        <f t="shared" si="3"/>
        <v>960000</v>
      </c>
      <c r="T27" s="794"/>
      <c r="U27" s="794"/>
      <c r="V27" s="723" t="s">
        <v>130</v>
      </c>
      <c r="W27" s="723" t="s">
        <v>38</v>
      </c>
      <c r="X27" s="723" t="s">
        <v>71</v>
      </c>
      <c r="Y27" s="723"/>
      <c r="Z27" s="723" t="s">
        <v>1308</v>
      </c>
      <c r="AA27" s="708" t="s">
        <v>470</v>
      </c>
      <c r="AB27" s="710" t="s">
        <v>40</v>
      </c>
      <c r="AC27" s="710" t="s">
        <v>87</v>
      </c>
      <c r="AD27" s="724" t="s">
        <v>70</v>
      </c>
      <c r="AE27" s="2222" t="s">
        <v>1482</v>
      </c>
      <c r="AF27" s="916" t="s">
        <v>6690</v>
      </c>
      <c r="AG27" s="794"/>
      <c r="AH27" s="1376" t="str">
        <f t="shared" ca="1" si="0"/>
        <v>N/A</v>
      </c>
    </row>
    <row r="28" spans="1:36" s="2511" customFormat="1" ht="78">
      <c r="A28" s="749" t="s">
        <v>71</v>
      </c>
      <c r="B28" s="707" t="s">
        <v>100</v>
      </c>
      <c r="C28" s="2302" t="s">
        <v>5430</v>
      </c>
      <c r="D28" s="710" t="s">
        <v>110</v>
      </c>
      <c r="E28" s="730" t="s">
        <v>449</v>
      </c>
      <c r="F28" s="698" t="s">
        <v>110</v>
      </c>
      <c r="G28" s="1451" t="s">
        <v>1311</v>
      </c>
      <c r="H28" s="698" t="s">
        <v>5058</v>
      </c>
      <c r="I28" s="710" t="s">
        <v>34</v>
      </c>
      <c r="J28" s="709" t="s">
        <v>5431</v>
      </c>
      <c r="K28" s="710" t="s">
        <v>5432</v>
      </c>
      <c r="L28" s="710">
        <v>12</v>
      </c>
      <c r="M28" s="711">
        <f>IFERROR(EDATE(N28,-3),"Invalid procurement method or date entered")</f>
        <v>44562</v>
      </c>
      <c r="N28" s="712">
        <f>IFERROR(EDATE(O28,-L28),"Invalid procurement method or date entered")</f>
        <v>44652</v>
      </c>
      <c r="O28" s="713">
        <v>45017</v>
      </c>
      <c r="P28" s="707">
        <v>120</v>
      </c>
      <c r="Q28" s="707" t="s">
        <v>6691</v>
      </c>
      <c r="R28" s="772">
        <v>2574075</v>
      </c>
      <c r="S28" s="2491">
        <f t="shared" si="3"/>
        <v>3088890</v>
      </c>
      <c r="T28" s="794"/>
      <c r="U28" s="794"/>
      <c r="V28" s="1257" t="s">
        <v>130</v>
      </c>
      <c r="W28" s="723" t="s">
        <v>200</v>
      </c>
      <c r="X28" s="723" t="s">
        <v>5433</v>
      </c>
      <c r="Y28" s="723"/>
      <c r="Z28" s="723" t="s">
        <v>5434</v>
      </c>
      <c r="AA28" s="708" t="s">
        <v>357</v>
      </c>
      <c r="AB28" s="710" t="s">
        <v>40</v>
      </c>
      <c r="AC28" s="710" t="s">
        <v>87</v>
      </c>
      <c r="AD28" s="724"/>
      <c r="AE28" s="2222" t="s">
        <v>1482</v>
      </c>
      <c r="AF28" s="728" t="s">
        <v>6692</v>
      </c>
      <c r="AG28" s="730"/>
      <c r="AH28" s="1376" t="str">
        <f t="shared" ca="1" si="0"/>
        <v>N/A</v>
      </c>
      <c r="AI28" s="2413"/>
      <c r="AJ28" s="2413"/>
    </row>
    <row r="29" spans="1:36" s="901" customFormat="1" ht="65">
      <c r="A29" s="1166"/>
      <c r="B29" s="1406" t="s">
        <v>56</v>
      </c>
      <c r="C29" s="1406">
        <v>62168</v>
      </c>
      <c r="D29" s="1385" t="s">
        <v>122</v>
      </c>
      <c r="E29" s="1385" t="s">
        <v>449</v>
      </c>
      <c r="F29" s="1385" t="s">
        <v>122</v>
      </c>
      <c r="G29" s="1451" t="s">
        <v>362</v>
      </c>
      <c r="H29" s="730" t="s">
        <v>4946</v>
      </c>
      <c r="I29" s="1406" t="s">
        <v>47</v>
      </c>
      <c r="J29" s="2374" t="s">
        <v>6693</v>
      </c>
      <c r="K29" s="1406"/>
      <c r="L29" s="1385">
        <v>12</v>
      </c>
      <c r="M29" s="1458">
        <v>44714</v>
      </c>
      <c r="N29" s="1461">
        <f>IF(O29="tbc","",(IFERROR(EDATE(O29,-L29),"Invalid procurement method or date entered")))</f>
        <v>44805</v>
      </c>
      <c r="O29" s="1464">
        <v>45170</v>
      </c>
      <c r="P29" s="1465">
        <v>12</v>
      </c>
      <c r="Q29" s="1465">
        <v>12</v>
      </c>
      <c r="R29" s="1471">
        <v>5230000</v>
      </c>
      <c r="S29" s="2491">
        <f t="shared" si="3"/>
        <v>6276000</v>
      </c>
      <c r="T29" s="924"/>
      <c r="U29" s="924"/>
      <c r="V29" s="792" t="s">
        <v>91</v>
      </c>
      <c r="W29" s="792" t="s">
        <v>310</v>
      </c>
      <c r="X29" s="792" t="s">
        <v>60</v>
      </c>
      <c r="Y29" s="792"/>
      <c r="Z29" s="723" t="s">
        <v>714</v>
      </c>
      <c r="AA29" s="1385" t="s">
        <v>312</v>
      </c>
      <c r="AB29" s="698" t="s">
        <v>40</v>
      </c>
      <c r="AC29" s="1484" t="s">
        <v>69</v>
      </c>
      <c r="AD29" s="1407" t="s">
        <v>70</v>
      </c>
      <c r="AE29" s="2222" t="s">
        <v>1482</v>
      </c>
      <c r="AF29" s="2374" t="s">
        <v>6694</v>
      </c>
      <c r="AG29" s="1492"/>
      <c r="AH29" s="1376" t="str">
        <f t="shared" ca="1" si="0"/>
        <v>N/A</v>
      </c>
    </row>
    <row r="30" spans="1:36" s="2705" customFormat="1" ht="91">
      <c r="A30" s="749"/>
      <c r="B30" s="737" t="s">
        <v>44</v>
      </c>
      <c r="C30" s="738" t="s">
        <v>4521</v>
      </c>
      <c r="D30" s="808" t="s">
        <v>32</v>
      </c>
      <c r="E30" s="794" t="s">
        <v>449</v>
      </c>
      <c r="F30" s="739" t="s">
        <v>1373</v>
      </c>
      <c r="G30" s="2188" t="s">
        <v>890</v>
      </c>
      <c r="H30" s="710" t="s">
        <v>4622</v>
      </c>
      <c r="I30" s="723" t="s">
        <v>34</v>
      </c>
      <c r="J30" s="709" t="s">
        <v>4522</v>
      </c>
      <c r="K30" s="710" t="s">
        <v>5014</v>
      </c>
      <c r="L30" s="710" t="e">
        <f>IF(OR(V30=#REF!,V30=#REF!,V30=#REF!,V30=#REF!,V30=#REF!,V30=#REF!,V30=#REF!,V30=#REF!),12,IF(OR(V30=#REF!,V30=#REF!,V30=#REF!,V30=#REF!,V30=#REF!,V30=#REF!,V30=#REF!),3,IF(V30=#REF!,1,IF(V30=#REF!,18,IF(OR(V30=#REF!,V30=#REF!,V30=#REF!,V30=#REF!,V30=#REF!),14,"Invalid proposed procurement method")))))</f>
        <v>#REF!</v>
      </c>
      <c r="M30" s="769" t="str">
        <f>IFERROR(EDATE($N30,-3),"Invalid procurement method or date entered")</f>
        <v>Invalid procurement method or date entered</v>
      </c>
      <c r="N30" s="769" t="str">
        <f>IFERROR(EDATE(O30,-L30),"Invalid procurement method or date entered")</f>
        <v>Invalid procurement method or date entered</v>
      </c>
      <c r="O30" s="947">
        <v>45293</v>
      </c>
      <c r="P30" s="740">
        <v>36</v>
      </c>
      <c r="Q30" s="766" t="s">
        <v>160</v>
      </c>
      <c r="R30" s="742">
        <v>20700</v>
      </c>
      <c r="S30" s="2491">
        <f t="shared" si="3"/>
        <v>24840</v>
      </c>
      <c r="T30" s="1287">
        <v>3580</v>
      </c>
      <c r="U30" s="1287"/>
      <c r="V30" s="723" t="s">
        <v>130</v>
      </c>
      <c r="W30" s="1368" t="s">
        <v>62</v>
      </c>
      <c r="X30" s="1331" t="s">
        <v>67</v>
      </c>
      <c r="Y30" s="1331"/>
      <c r="Z30" s="723" t="s">
        <v>4523</v>
      </c>
      <c r="AA30" s="708" t="s">
        <v>1334</v>
      </c>
      <c r="AB30" s="710" t="s">
        <v>40</v>
      </c>
      <c r="AC30" s="710" t="s">
        <v>154</v>
      </c>
      <c r="AD30" s="710" t="s">
        <v>70</v>
      </c>
      <c r="AE30" s="2222" t="s">
        <v>1482</v>
      </c>
      <c r="AF30" s="717" t="s">
        <v>6695</v>
      </c>
      <c r="AG30" s="723" t="s">
        <v>285</v>
      </c>
      <c r="AH30" s="1376" t="str">
        <f t="shared" ca="1" si="0"/>
        <v>N/A</v>
      </c>
      <c r="AI30" s="901"/>
      <c r="AJ30" s="901"/>
    </row>
    <row r="31" spans="1:36" s="2703" customFormat="1" ht="78">
      <c r="A31" s="749" t="s">
        <v>71</v>
      </c>
      <c r="B31" s="737" t="s">
        <v>44</v>
      </c>
      <c r="C31" s="738" t="s">
        <v>5399</v>
      </c>
      <c r="D31" s="2401" t="s">
        <v>348</v>
      </c>
      <c r="E31" s="794" t="s">
        <v>449</v>
      </c>
      <c r="F31" s="739" t="s">
        <v>1067</v>
      </c>
      <c r="G31" s="2192" t="s">
        <v>502</v>
      </c>
      <c r="H31" s="710" t="s">
        <v>514</v>
      </c>
      <c r="I31" s="710" t="s">
        <v>47</v>
      </c>
      <c r="J31" s="709" t="s">
        <v>5400</v>
      </c>
      <c r="K31" s="710" t="s">
        <v>5401</v>
      </c>
      <c r="L31" s="710" t="e">
        <f>IF(OR(V31=#REF!,V31=#REF!,V31=#REF!,V31=#REF!,V31=#REF!,V31=#REF!,V31=#REF!,V31=#REF!),12,IF(OR(V31=#REF!,V31=#REF!,V31=#REF!,V31=#REF!,V31=#REF!,V31=#REF!,V31=#REF!),3,IF(V31=#REF!,1,IF(V31=#REF!,18,IF(OR(V31=#REF!,V31=#REF!,V31=#REF!,V31=#REF!,V31=#REF!),14,"Invalid proposed procurement method")))))</f>
        <v>#REF!</v>
      </c>
      <c r="M31" s="769">
        <v>44399</v>
      </c>
      <c r="N31" s="769" t="str">
        <f>IFERROR(EDATE(O31,-L31),"Invalid procurement method or date entered")</f>
        <v>Invalid procurement method or date entered</v>
      </c>
      <c r="O31" s="769">
        <v>44927</v>
      </c>
      <c r="P31" s="750">
        <v>60</v>
      </c>
      <c r="Q31" s="888" t="s">
        <v>5175</v>
      </c>
      <c r="R31" s="2582">
        <v>850000</v>
      </c>
      <c r="S31" s="2491">
        <f t="shared" si="3"/>
        <v>1020000</v>
      </c>
      <c r="T31" s="793">
        <v>200000</v>
      </c>
      <c r="U31" s="793"/>
      <c r="V31" s="723" t="s">
        <v>91</v>
      </c>
      <c r="W31" s="1368" t="s">
        <v>38</v>
      </c>
      <c r="X31" s="1368" t="s">
        <v>67</v>
      </c>
      <c r="Y31" s="1368"/>
      <c r="Z31" s="723" t="s">
        <v>679</v>
      </c>
      <c r="AA31" s="843" t="s">
        <v>94</v>
      </c>
      <c r="AB31" s="710" t="s">
        <v>40</v>
      </c>
      <c r="AC31" s="710" t="s">
        <v>87</v>
      </c>
      <c r="AD31" s="710" t="s">
        <v>38</v>
      </c>
      <c r="AE31" s="2222" t="s">
        <v>1482</v>
      </c>
      <c r="AF31" s="1291" t="s">
        <v>6696</v>
      </c>
      <c r="AG31" s="741" t="s">
        <v>506</v>
      </c>
      <c r="AH31" s="1376" t="str">
        <f t="shared" ca="1" si="0"/>
        <v>N/A</v>
      </c>
      <c r="AI31" s="901"/>
      <c r="AJ31" s="901"/>
    </row>
    <row r="32" spans="1:36" s="2706" customFormat="1" ht="65">
      <c r="A32" s="749" t="s">
        <v>71</v>
      </c>
      <c r="B32" s="737" t="s">
        <v>44</v>
      </c>
      <c r="C32" s="738">
        <v>48792</v>
      </c>
      <c r="D32" s="739" t="s">
        <v>110</v>
      </c>
      <c r="E32" s="794" t="s">
        <v>449</v>
      </c>
      <c r="F32" s="698" t="s">
        <v>110</v>
      </c>
      <c r="G32" s="2192" t="s">
        <v>569</v>
      </c>
      <c r="H32" s="710" t="s">
        <v>33</v>
      </c>
      <c r="I32" s="710" t="s">
        <v>47</v>
      </c>
      <c r="J32" s="709" t="s">
        <v>6294</v>
      </c>
      <c r="K32" s="710" t="s">
        <v>5671</v>
      </c>
      <c r="L32" s="710" t="e">
        <f>IF(OR(V32=#REF!,V32=#REF!,V32=#REF!,V32=#REF!,V32=#REF!,V32=#REF!,V32=#REF!,V32=#REF!),12,IF(OR(V32=#REF!,V32=#REF!,V32=#REF!,V32=#REF!,V32=#REF!,V32=#REF!,V32=#REF!),3,IF(V32=#REF!,1,IF(V32=#REF!,18,IF(OR(V32=#REF!,V32=#REF!,V32=#REF!,V32=#REF!,V32=#REF!),14,"Invalid proposed procurement method")))))</f>
        <v>#REF!</v>
      </c>
      <c r="M32" s="769">
        <v>44579</v>
      </c>
      <c r="N32" s="769" t="str">
        <f>IFERROR(EDATE(O32,-L32),"Invalid procurement method or date entered")</f>
        <v>Invalid procurement method or date entered</v>
      </c>
      <c r="O32" s="769">
        <v>45043</v>
      </c>
      <c r="P32" s="750">
        <v>36</v>
      </c>
      <c r="Q32" s="766" t="s">
        <v>160</v>
      </c>
      <c r="R32" s="937">
        <v>57400</v>
      </c>
      <c r="S32" s="2491">
        <f t="shared" si="3"/>
        <v>68880</v>
      </c>
      <c r="T32" s="793">
        <v>19000</v>
      </c>
      <c r="U32" s="793"/>
      <c r="V32" s="723" t="s">
        <v>84</v>
      </c>
      <c r="W32" s="2695" t="s">
        <v>62</v>
      </c>
      <c r="X32" s="2695" t="s">
        <v>67</v>
      </c>
      <c r="Y32" s="2695"/>
      <c r="Z32" s="723" t="s">
        <v>6297</v>
      </c>
      <c r="AA32" s="2699" t="s">
        <v>94</v>
      </c>
      <c r="AB32" s="710" t="s">
        <v>40</v>
      </c>
      <c r="AC32" s="710" t="s">
        <v>69</v>
      </c>
      <c r="AD32" s="710" t="s">
        <v>70</v>
      </c>
      <c r="AE32" s="2222" t="s">
        <v>1482</v>
      </c>
      <c r="AF32" s="717" t="s">
        <v>6697</v>
      </c>
      <c r="AG32" s="723" t="s">
        <v>806</v>
      </c>
      <c r="AH32" s="1376" t="str">
        <f t="shared" ca="1" si="0"/>
        <v>N/A</v>
      </c>
      <c r="AI32" s="2705"/>
      <c r="AJ32" s="2705"/>
    </row>
    <row r="33" spans="1:36" s="2703" customFormat="1" ht="78">
      <c r="A33" s="749" t="s">
        <v>71</v>
      </c>
      <c r="B33" s="737" t="s">
        <v>44</v>
      </c>
      <c r="C33" s="738">
        <v>48877</v>
      </c>
      <c r="D33" s="739" t="s">
        <v>32</v>
      </c>
      <c r="E33" s="794" t="s">
        <v>449</v>
      </c>
      <c r="F33" s="1311" t="s">
        <v>361</v>
      </c>
      <c r="G33" s="1455" t="s">
        <v>569</v>
      </c>
      <c r="H33" s="710" t="s">
        <v>33</v>
      </c>
      <c r="I33" s="710" t="s">
        <v>47</v>
      </c>
      <c r="J33" s="709" t="s">
        <v>5510</v>
      </c>
      <c r="K33" s="710" t="s">
        <v>1105</v>
      </c>
      <c r="L33" s="710" t="e">
        <f>IF(OR(V33=#REF!,V33=#REF!,V33=#REF!,V33=#REF!,V33=#REF!,V33=#REF!,V33=#REF!,V33=#REF!),12,IF(OR(V33=#REF!,V33=#REF!,V33=#REF!,V33=#REF!,V33=#REF!,V33=#REF!,V33=#REF!),3,IF(V33=#REF!,1,IF(V33=#REF!,18,IF(OR(V33=#REF!,V33=#REF!,V33=#REF!,V33=#REF!,V33=#REF!),14,"Invalid proposed procurement method")))))</f>
        <v>#REF!</v>
      </c>
      <c r="M33" s="769" t="str">
        <f>IFERROR(EDATE($N33,-3),"Invalid procurement method or date entered")</f>
        <v>Invalid procurement method or date entered</v>
      </c>
      <c r="N33" s="769" t="str">
        <f>IFERROR(EDATE(O33,-L33),"Invalid procurement method or date entered")</f>
        <v>Invalid procurement method or date entered</v>
      </c>
      <c r="O33" s="947">
        <v>45046</v>
      </c>
      <c r="P33" s="740">
        <v>36</v>
      </c>
      <c r="Q33" s="766" t="s">
        <v>98</v>
      </c>
      <c r="R33" s="937">
        <v>760731</v>
      </c>
      <c r="S33" s="2491">
        <f t="shared" si="3"/>
        <v>912877.2</v>
      </c>
      <c r="T33" s="1289" t="s">
        <v>2318</v>
      </c>
      <c r="U33" s="1289"/>
      <c r="V33" s="751" t="s">
        <v>84</v>
      </c>
      <c r="W33" s="1325" t="s">
        <v>5511</v>
      </c>
      <c r="X33" s="2665">
        <v>45027</v>
      </c>
      <c r="Y33" s="2311"/>
      <c r="Z33" s="723" t="s">
        <v>6223</v>
      </c>
      <c r="AA33" s="708" t="s">
        <v>94</v>
      </c>
      <c r="AB33" s="710" t="s">
        <v>40</v>
      </c>
      <c r="AC33" s="710" t="s">
        <v>87</v>
      </c>
      <c r="AD33" s="710" t="s">
        <v>38</v>
      </c>
      <c r="AE33" s="2222" t="s">
        <v>1482</v>
      </c>
      <c r="AF33" s="1292" t="s">
        <v>6698</v>
      </c>
      <c r="AG33" s="723" t="s">
        <v>806</v>
      </c>
      <c r="AH33" s="1376" t="str">
        <f t="shared" ca="1" si="0"/>
        <v>N/A</v>
      </c>
      <c r="AI33" s="901"/>
      <c r="AJ33" s="901"/>
    </row>
    <row r="34" spans="1:36" s="2703" customFormat="1" ht="65">
      <c r="A34" s="749"/>
      <c r="B34" s="737" t="s">
        <v>44</v>
      </c>
      <c r="C34" s="738" t="s">
        <v>3453</v>
      </c>
      <c r="D34" s="739" t="s">
        <v>57</v>
      </c>
      <c r="E34" s="794" t="s">
        <v>449</v>
      </c>
      <c r="F34" s="1311" t="s">
        <v>630</v>
      </c>
      <c r="G34" s="1455" t="s">
        <v>569</v>
      </c>
      <c r="H34" s="2172" t="s">
        <v>33</v>
      </c>
      <c r="I34" s="710" t="s">
        <v>34</v>
      </c>
      <c r="J34" s="931" t="s">
        <v>6699</v>
      </c>
      <c r="K34" s="710" t="s">
        <v>5480</v>
      </c>
      <c r="L34" s="710" t="e">
        <f>IF(OR(V34=#REF!,V34=#REF!,V34=#REF!,V34=#REF!,V34=#REF!,V34=#REF!,V34=#REF!,V34=#REF!),12,IF(OR(V34=#REF!,V34=#REF!,V34=#REF!,V34=#REF!,V34=#REF!,V34=#REF!,V34=#REF!),3,IF(V34=#REF!,1,IF(V34=#REF!,18,IF(OR(V34=#REF!,V34=#REF!,V34=#REF!,V34=#REF!,V34=#REF!),14,"Invalid proposed procurement method")))))</f>
        <v>#REF!</v>
      </c>
      <c r="M34" s="769" t="str">
        <f>IFERROR(EDATE($N34,-3),"Invalid procurement method or date entered")</f>
        <v>Invalid procurement method or date entered</v>
      </c>
      <c r="N34" s="769" t="str">
        <f>IFERROR(EDATE(O34,-L34),"Invalid procurement method or date entered")</f>
        <v>Invalid procurement method or date entered</v>
      </c>
      <c r="O34" s="947">
        <v>45542</v>
      </c>
      <c r="P34" s="750">
        <v>60</v>
      </c>
      <c r="Q34" s="888" t="s">
        <v>464</v>
      </c>
      <c r="R34" s="937">
        <v>198500</v>
      </c>
      <c r="S34" s="2491">
        <f t="shared" si="3"/>
        <v>238200</v>
      </c>
      <c r="T34" s="793"/>
      <c r="U34" s="793"/>
      <c r="V34" s="723" t="s">
        <v>130</v>
      </c>
      <c r="W34" s="2694" t="s">
        <v>62</v>
      </c>
      <c r="X34" s="2694" t="s">
        <v>67</v>
      </c>
      <c r="Y34" s="2694"/>
      <c r="Z34" s="723" t="s">
        <v>392</v>
      </c>
      <c r="AA34" s="2700" t="s">
        <v>283</v>
      </c>
      <c r="AB34" s="1333" t="s">
        <v>40</v>
      </c>
      <c r="AC34" s="710" t="s">
        <v>69</v>
      </c>
      <c r="AD34" s="710" t="s">
        <v>70</v>
      </c>
      <c r="AE34" s="2222" t="s">
        <v>1482</v>
      </c>
      <c r="AF34" s="717" t="s">
        <v>6700</v>
      </c>
      <c r="AG34" s="723" t="s">
        <v>164</v>
      </c>
      <c r="AH34" s="1376" t="str">
        <f t="shared" ca="1" si="0"/>
        <v>N/A</v>
      </c>
      <c r="AI34" s="901"/>
      <c r="AJ34" s="901"/>
    </row>
    <row r="35" spans="1:36" s="901" customFormat="1" ht="39">
      <c r="A35" s="749"/>
      <c r="B35" s="890" t="s">
        <v>56</v>
      </c>
      <c r="C35" s="726" t="s">
        <v>60</v>
      </c>
      <c r="D35" s="730" t="s">
        <v>32</v>
      </c>
      <c r="E35" s="703" t="s">
        <v>449</v>
      </c>
      <c r="F35" s="730" t="s">
        <v>361</v>
      </c>
      <c r="G35" s="748" t="s">
        <v>362</v>
      </c>
      <c r="H35" s="730" t="s">
        <v>279</v>
      </c>
      <c r="I35" s="710" t="s">
        <v>47</v>
      </c>
      <c r="J35" s="709" t="s">
        <v>6701</v>
      </c>
      <c r="K35" s="710"/>
      <c r="L35" s="730">
        <v>14</v>
      </c>
      <c r="M35" s="731">
        <f>IF(O35="tbc","",(IFERROR(EDATE($N35,-3),"Invalid procurement method or date entered")))</f>
        <v>44501</v>
      </c>
      <c r="N35" s="712">
        <f>IF(O35="tbc","",(IFERROR(EDATE(O35,-L35),"Invalid procurement method or date entered")))</f>
        <v>44593</v>
      </c>
      <c r="O35" s="711">
        <v>45017</v>
      </c>
      <c r="P35" s="893">
        <v>48</v>
      </c>
      <c r="Q35" s="893">
        <v>48</v>
      </c>
      <c r="R35" s="742">
        <f>8686755*4</f>
        <v>34747020</v>
      </c>
      <c r="S35" s="2491">
        <f t="shared" si="3"/>
        <v>41696424</v>
      </c>
      <c r="T35" s="1287">
        <v>8686755</v>
      </c>
      <c r="U35" s="2476" t="s">
        <v>45</v>
      </c>
      <c r="V35" s="792" t="s">
        <v>45</v>
      </c>
      <c r="W35" s="792" t="s">
        <v>310</v>
      </c>
      <c r="X35" s="792" t="s">
        <v>60</v>
      </c>
      <c r="Y35" s="792"/>
      <c r="Z35" s="723" t="s">
        <v>2572</v>
      </c>
      <c r="AA35" s="890" t="s">
        <v>920</v>
      </c>
      <c r="AB35" s="762" t="s">
        <v>40</v>
      </c>
      <c r="AC35" s="1309" t="s">
        <v>69</v>
      </c>
      <c r="AD35" s="695" t="s">
        <v>70</v>
      </c>
      <c r="AE35" s="2222" t="s">
        <v>1482</v>
      </c>
      <c r="AF35" s="943" t="s">
        <v>6702</v>
      </c>
      <c r="AG35" s="1271"/>
      <c r="AH35" s="1376" t="str">
        <f t="shared" ca="1" si="0"/>
        <v>N/A</v>
      </c>
    </row>
    <row r="36" spans="1:36" s="2703" customFormat="1" ht="78">
      <c r="A36" s="749"/>
      <c r="B36" s="737" t="s">
        <v>56</v>
      </c>
      <c r="C36" s="738">
        <v>54027</v>
      </c>
      <c r="D36" s="739" t="s">
        <v>57</v>
      </c>
      <c r="E36" s="794" t="s">
        <v>449</v>
      </c>
      <c r="F36" s="739" t="s">
        <v>630</v>
      </c>
      <c r="G36" s="1455" t="s">
        <v>1121</v>
      </c>
      <c r="H36" s="710" t="s">
        <v>1486</v>
      </c>
      <c r="I36" s="695" t="s">
        <v>47</v>
      </c>
      <c r="J36" s="709" t="s">
        <v>5440</v>
      </c>
      <c r="K36" s="710" t="s">
        <v>793</v>
      </c>
      <c r="L36" s="710">
        <v>6</v>
      </c>
      <c r="M36" s="769">
        <f>IFERROR(EDATE($N36,-3),"Invalid procurement method or date entered")</f>
        <v>44767</v>
      </c>
      <c r="N36" s="769">
        <f t="shared" ref="N36:N41" si="4">IFERROR(EDATE(O36,-L36),"Invalid procurement method or date entered")</f>
        <v>44859</v>
      </c>
      <c r="O36" s="769">
        <v>45041</v>
      </c>
      <c r="P36" s="740" t="s">
        <v>5441</v>
      </c>
      <c r="Q36" s="1467" t="s">
        <v>5442</v>
      </c>
      <c r="R36" s="937">
        <v>13463780</v>
      </c>
      <c r="S36" s="2491">
        <f t="shared" si="3"/>
        <v>16156536</v>
      </c>
      <c r="T36" s="1289">
        <v>3419209</v>
      </c>
      <c r="U36" s="850" t="s">
        <v>1488</v>
      </c>
      <c r="V36" s="723" t="s">
        <v>91</v>
      </c>
      <c r="W36" s="723" t="s">
        <v>70</v>
      </c>
      <c r="X36" s="1174">
        <v>44761</v>
      </c>
      <c r="Y36" s="1174"/>
      <c r="Z36" s="751" t="s">
        <v>167</v>
      </c>
      <c r="AA36" s="708" t="s">
        <v>77</v>
      </c>
      <c r="AB36" s="710" t="s">
        <v>40</v>
      </c>
      <c r="AC36" s="710" t="s">
        <v>87</v>
      </c>
      <c r="AD36" s="710" t="s">
        <v>70</v>
      </c>
      <c r="AE36" s="2222" t="s">
        <v>1482</v>
      </c>
      <c r="AF36" s="717" t="s">
        <v>6703</v>
      </c>
      <c r="AG36" s="741" t="s">
        <v>165</v>
      </c>
      <c r="AH36" s="1376" t="str">
        <f t="shared" ca="1" si="0"/>
        <v>N/A</v>
      </c>
      <c r="AI36" s="2704"/>
      <c r="AJ36" s="901">
        <v>1</v>
      </c>
    </row>
    <row r="37" spans="1:36" s="2703" customFormat="1" ht="52">
      <c r="A37" s="749"/>
      <c r="B37" s="782" t="s">
        <v>44</v>
      </c>
      <c r="C37" s="738">
        <v>30219</v>
      </c>
      <c r="D37" s="808" t="s">
        <v>32</v>
      </c>
      <c r="E37" s="794" t="s">
        <v>449</v>
      </c>
      <c r="F37" s="739" t="s">
        <v>1067</v>
      </c>
      <c r="G37" s="2192" t="s">
        <v>569</v>
      </c>
      <c r="H37" s="710" t="s">
        <v>33</v>
      </c>
      <c r="I37" s="710" t="s">
        <v>34</v>
      </c>
      <c r="J37" s="931" t="s">
        <v>2184</v>
      </c>
      <c r="K37" s="710" t="s">
        <v>5351</v>
      </c>
      <c r="L37" s="710">
        <v>12</v>
      </c>
      <c r="M37" s="769">
        <f>IFERROR(EDATE($N37,-3),"Invalid procurement method or date entered")</f>
        <v>45070</v>
      </c>
      <c r="N37" s="769">
        <f t="shared" si="4"/>
        <v>45162</v>
      </c>
      <c r="O37" s="947">
        <v>45528</v>
      </c>
      <c r="P37" s="710">
        <v>48</v>
      </c>
      <c r="Q37" s="710" t="s">
        <v>982</v>
      </c>
      <c r="R37" s="937">
        <v>100332</v>
      </c>
      <c r="S37" s="2491">
        <f t="shared" si="3"/>
        <v>120398.39999999999</v>
      </c>
      <c r="T37" s="793"/>
      <c r="U37" s="793"/>
      <c r="V37" s="723" t="s">
        <v>84</v>
      </c>
      <c r="W37" s="723" t="s">
        <v>62</v>
      </c>
      <c r="X37" s="741" t="s">
        <v>71</v>
      </c>
      <c r="Y37" s="741"/>
      <c r="Z37" s="723" t="s">
        <v>5335</v>
      </c>
      <c r="AA37" s="708" t="s">
        <v>1334</v>
      </c>
      <c r="AB37" s="710" t="s">
        <v>40</v>
      </c>
      <c r="AC37" s="750" t="s">
        <v>87</v>
      </c>
      <c r="AD37" s="710" t="s">
        <v>70</v>
      </c>
      <c r="AE37" s="2222" t="s">
        <v>1482</v>
      </c>
      <c r="AF37" s="717" t="s">
        <v>6678</v>
      </c>
      <c r="AG37" s="723" t="s">
        <v>443</v>
      </c>
      <c r="AH37" s="1376" t="str">
        <f t="shared" ca="1" si="0"/>
        <v>N/A</v>
      </c>
      <c r="AI37" s="901"/>
      <c r="AJ37" s="901"/>
    </row>
    <row r="38" spans="1:36" s="901" customFormat="1" ht="39">
      <c r="A38" s="749">
        <v>44813</v>
      </c>
      <c r="B38" s="890" t="s">
        <v>56</v>
      </c>
      <c r="C38" s="726" t="s">
        <v>45</v>
      </c>
      <c r="D38" s="730" t="s">
        <v>709</v>
      </c>
      <c r="E38" s="794" t="s">
        <v>449</v>
      </c>
      <c r="F38" s="1271" t="s">
        <v>361</v>
      </c>
      <c r="G38" s="1377" t="s">
        <v>362</v>
      </c>
      <c r="H38" s="730" t="s">
        <v>4622</v>
      </c>
      <c r="I38" s="710" t="s">
        <v>47</v>
      </c>
      <c r="J38" s="931" t="s">
        <v>6704</v>
      </c>
      <c r="K38" s="710"/>
      <c r="L38" s="730">
        <v>4</v>
      </c>
      <c r="M38" s="1458">
        <v>44816</v>
      </c>
      <c r="N38" s="1158">
        <f t="shared" si="4"/>
        <v>44896</v>
      </c>
      <c r="O38" s="711">
        <v>45017</v>
      </c>
      <c r="P38" s="893"/>
      <c r="Q38" s="893"/>
      <c r="R38" s="937">
        <v>50000</v>
      </c>
      <c r="S38" s="2388">
        <f t="shared" si="3"/>
        <v>60000</v>
      </c>
      <c r="T38" s="1286"/>
      <c r="U38" s="2476" t="s">
        <v>45</v>
      </c>
      <c r="V38" s="792" t="s">
        <v>45</v>
      </c>
      <c r="W38" s="792" t="s">
        <v>67</v>
      </c>
      <c r="X38" s="792" t="s">
        <v>67</v>
      </c>
      <c r="Y38" s="792"/>
      <c r="Z38" s="723" t="s">
        <v>6705</v>
      </c>
      <c r="AA38" s="890" t="s">
        <v>1013</v>
      </c>
      <c r="AB38" s="795" t="s">
        <v>40</v>
      </c>
      <c r="AC38" s="1309"/>
      <c r="AD38" s="710" t="s">
        <v>70</v>
      </c>
      <c r="AE38" s="2222" t="s">
        <v>1482</v>
      </c>
      <c r="AF38" s="1160" t="s">
        <v>6706</v>
      </c>
      <c r="AG38" s="1286"/>
      <c r="AH38" s="1376" t="str">
        <f t="shared" ca="1" si="0"/>
        <v>N/A</v>
      </c>
    </row>
    <row r="39" spans="1:36" s="2706" customFormat="1" ht="78">
      <c r="A39" s="749">
        <v>44882</v>
      </c>
      <c r="B39" s="706" t="s">
        <v>100</v>
      </c>
      <c r="C39" s="707">
        <v>52084</v>
      </c>
      <c r="D39" s="708" t="s">
        <v>122</v>
      </c>
      <c r="E39" s="794" t="s">
        <v>449</v>
      </c>
      <c r="F39" s="708" t="s">
        <v>122</v>
      </c>
      <c r="G39" s="1449" t="s">
        <v>5217</v>
      </c>
      <c r="H39" s="710" t="s">
        <v>5060</v>
      </c>
      <c r="I39" s="710" t="s">
        <v>268</v>
      </c>
      <c r="J39" s="709" t="s">
        <v>353</v>
      </c>
      <c r="K39" s="710" t="s">
        <v>354</v>
      </c>
      <c r="L39" s="710">
        <v>2</v>
      </c>
      <c r="M39" s="711">
        <f>IFERROR(EDATE(N39,-3),"Invalid procurement method or date entered")</f>
        <v>44652</v>
      </c>
      <c r="N39" s="712">
        <f t="shared" si="4"/>
        <v>44743</v>
      </c>
      <c r="O39" s="713">
        <v>44805</v>
      </c>
      <c r="P39" s="714">
        <v>36</v>
      </c>
      <c r="Q39" s="2576" t="s">
        <v>355</v>
      </c>
      <c r="R39" s="937">
        <v>3300000</v>
      </c>
      <c r="S39" s="2491">
        <v>3300000</v>
      </c>
      <c r="T39" s="2550">
        <v>511000</v>
      </c>
      <c r="U39" s="1255" t="s">
        <v>268</v>
      </c>
      <c r="V39" s="1257" t="s">
        <v>270</v>
      </c>
      <c r="W39" s="723" t="s">
        <v>70</v>
      </c>
      <c r="X39" s="792" t="s">
        <v>356</v>
      </c>
      <c r="Y39" s="792"/>
      <c r="Z39" s="723" t="s">
        <v>5476</v>
      </c>
      <c r="AA39" s="708" t="s">
        <v>470</v>
      </c>
      <c r="AB39" s="695" t="s">
        <v>40</v>
      </c>
      <c r="AC39" s="710" t="s">
        <v>87</v>
      </c>
      <c r="AD39" s="695" t="s">
        <v>70</v>
      </c>
      <c r="AE39" s="2222" t="s">
        <v>1482</v>
      </c>
      <c r="AF39" s="916"/>
      <c r="AG39" s="723"/>
      <c r="AH39" s="1376" t="str">
        <f t="shared" ca="1" si="0"/>
        <v>N/A</v>
      </c>
      <c r="AI39" s="2704"/>
      <c r="AJ39" s="901"/>
    </row>
    <row r="40" spans="1:36" s="2703" customFormat="1" ht="78">
      <c r="A40" s="749" t="s">
        <v>71</v>
      </c>
      <c r="B40" s="737" t="s">
        <v>100</v>
      </c>
      <c r="C40" s="738" t="s">
        <v>3143</v>
      </c>
      <c r="D40" s="739" t="s">
        <v>32</v>
      </c>
      <c r="E40" s="794" t="s">
        <v>449</v>
      </c>
      <c r="F40" s="739" t="s">
        <v>1373</v>
      </c>
      <c r="G40" s="1455" t="s">
        <v>5001</v>
      </c>
      <c r="H40" s="710" t="s">
        <v>5058</v>
      </c>
      <c r="I40" s="738" t="s">
        <v>34</v>
      </c>
      <c r="J40" s="709" t="s">
        <v>3144</v>
      </c>
      <c r="K40" s="710" t="s">
        <v>5418</v>
      </c>
      <c r="L40" s="710">
        <v>10</v>
      </c>
      <c r="M40" s="769">
        <f>IFERROR(EDATE($N40,-3),"Invalid procurement method or date entered")</f>
        <v>44621</v>
      </c>
      <c r="N40" s="769">
        <f t="shared" si="4"/>
        <v>44713</v>
      </c>
      <c r="O40" s="947">
        <v>45017</v>
      </c>
      <c r="P40" s="740" t="s">
        <v>430</v>
      </c>
      <c r="Q40" s="766" t="s">
        <v>1871</v>
      </c>
      <c r="R40" s="937">
        <v>2381430</v>
      </c>
      <c r="S40" s="2491">
        <f>IF(ISNUMBER(R40),SUM(R40*20%)+R40,"")</f>
        <v>2857716</v>
      </c>
      <c r="T40" s="1289"/>
      <c r="U40" s="793" t="s">
        <v>34</v>
      </c>
      <c r="V40" s="723" t="s">
        <v>130</v>
      </c>
      <c r="W40" s="1246" t="s">
        <v>70</v>
      </c>
      <c r="X40" s="1246" t="s">
        <v>45</v>
      </c>
      <c r="Y40" s="1246"/>
      <c r="Z40" s="723" t="s">
        <v>5259</v>
      </c>
      <c r="AA40" s="2700" t="s">
        <v>1334</v>
      </c>
      <c r="AB40" s="784" t="s">
        <v>40</v>
      </c>
      <c r="AC40" s="710" t="s">
        <v>87</v>
      </c>
      <c r="AD40" s="710" t="s">
        <v>70</v>
      </c>
      <c r="AE40" s="2222" t="s">
        <v>1482</v>
      </c>
      <c r="AF40" s="1409" t="s">
        <v>6707</v>
      </c>
      <c r="AG40" s="1353" t="s">
        <v>3146</v>
      </c>
      <c r="AH40" s="1376" t="str">
        <f t="shared" ca="1" si="0"/>
        <v>N/A</v>
      </c>
      <c r="AI40" s="901"/>
      <c r="AJ40" s="901"/>
    </row>
    <row r="41" spans="1:36" s="2703" customFormat="1" ht="65">
      <c r="A41" s="749" t="s">
        <v>71</v>
      </c>
      <c r="B41" s="737" t="s">
        <v>44</v>
      </c>
      <c r="C41" s="746">
        <v>73164</v>
      </c>
      <c r="D41" s="739" t="s">
        <v>32</v>
      </c>
      <c r="E41" s="794" t="s">
        <v>449</v>
      </c>
      <c r="F41" s="1311" t="s">
        <v>122</v>
      </c>
      <c r="G41" s="1449" t="s">
        <v>569</v>
      </c>
      <c r="H41" s="710" t="s">
        <v>33</v>
      </c>
      <c r="I41" s="695" t="s">
        <v>47</v>
      </c>
      <c r="J41" s="748" t="s">
        <v>147</v>
      </c>
      <c r="K41" s="801" t="s">
        <v>5272</v>
      </c>
      <c r="L41" s="710">
        <v>11</v>
      </c>
      <c r="M41" s="769">
        <f>IFERROR(EDATE($N41,-3),"Invalid procurement method or date entered")</f>
        <v>44593</v>
      </c>
      <c r="N41" s="769">
        <f t="shared" si="4"/>
        <v>44682</v>
      </c>
      <c r="O41" s="1235">
        <v>45017</v>
      </c>
      <c r="P41" s="750">
        <v>12</v>
      </c>
      <c r="Q41" s="751">
        <v>12</v>
      </c>
      <c r="R41" s="742">
        <v>61167.46</v>
      </c>
      <c r="S41" s="2491">
        <f>IF(ISNUMBER(R41),SUM(R41*20%)+R41,"")</f>
        <v>73400.952000000005</v>
      </c>
      <c r="T41" s="1297">
        <v>61167.46</v>
      </c>
      <c r="U41" s="1297"/>
      <c r="V41" s="723" t="s">
        <v>84</v>
      </c>
      <c r="W41" s="2012" t="s">
        <v>62</v>
      </c>
      <c r="X41" s="2012" t="s">
        <v>71</v>
      </c>
      <c r="Y41" s="2012"/>
      <c r="Z41" s="751" t="s">
        <v>5273</v>
      </c>
      <c r="AA41" s="2699" t="s">
        <v>780</v>
      </c>
      <c r="AB41" s="784" t="s">
        <v>40</v>
      </c>
      <c r="AC41" s="710" t="s">
        <v>69</v>
      </c>
      <c r="AD41" s="695" t="s">
        <v>70</v>
      </c>
      <c r="AE41" s="2222" t="s">
        <v>1482</v>
      </c>
      <c r="AF41" s="1275" t="s">
        <v>6708</v>
      </c>
      <c r="AG41" s="723" t="s">
        <v>96</v>
      </c>
      <c r="AH41" s="1376" t="str">
        <f t="shared" ca="1" si="0"/>
        <v>N/A</v>
      </c>
      <c r="AI41" s="901"/>
      <c r="AJ41" s="901"/>
    </row>
    <row r="42" spans="1:36" s="901" customFormat="1" ht="65">
      <c r="A42" s="2428">
        <v>44858</v>
      </c>
      <c r="B42" s="2437" t="s">
        <v>56</v>
      </c>
      <c r="C42" s="2410" t="s">
        <v>45</v>
      </c>
      <c r="D42" s="2409" t="s">
        <v>1551</v>
      </c>
      <c r="E42" s="2440" t="s">
        <v>4704</v>
      </c>
      <c r="F42" s="2417" t="s">
        <v>630</v>
      </c>
      <c r="G42" s="2417" t="s">
        <v>1319</v>
      </c>
      <c r="H42" s="730" t="s">
        <v>4946</v>
      </c>
      <c r="I42" s="2418"/>
      <c r="J42" s="2404" t="s">
        <v>6709</v>
      </c>
      <c r="K42" s="2410"/>
      <c r="L42" s="2410"/>
      <c r="M42" s="2410"/>
      <c r="N42" s="2410"/>
      <c r="O42" s="2411">
        <v>44986</v>
      </c>
      <c r="P42" s="2423">
        <v>2</v>
      </c>
      <c r="Q42" s="2407"/>
      <c r="R42" s="2458">
        <v>70000</v>
      </c>
      <c r="S42" s="2491">
        <f>IF(ISNUMBER(R42),SUM(R42*20%)+R42,"")</f>
        <v>84000</v>
      </c>
      <c r="T42" s="2408"/>
      <c r="U42" s="2476" t="s">
        <v>1488</v>
      </c>
      <c r="V42" s="2407" t="s">
        <v>1346</v>
      </c>
      <c r="W42" s="2407"/>
      <c r="X42" s="2407"/>
      <c r="Y42" s="2407"/>
      <c r="Z42" s="2407"/>
      <c r="AA42" s="2409" t="s">
        <v>4948</v>
      </c>
      <c r="AB42" s="2410"/>
      <c r="AC42" s="2410"/>
      <c r="AD42" s="2410"/>
      <c r="AE42" s="2222" t="s">
        <v>1482</v>
      </c>
      <c r="AF42" s="2462" t="s">
        <v>6710</v>
      </c>
      <c r="AG42" s="2412"/>
      <c r="AH42" s="1376" t="str">
        <f t="shared" ca="1" si="0"/>
        <v>N/A</v>
      </c>
    </row>
    <row r="43" spans="1:36" s="2323" customFormat="1" ht="52">
      <c r="A43" s="2428" t="s">
        <v>4941</v>
      </c>
      <c r="B43" s="2428" t="s">
        <v>56</v>
      </c>
      <c r="C43" s="2418" t="s">
        <v>5506</v>
      </c>
      <c r="D43" s="2418" t="s">
        <v>1551</v>
      </c>
      <c r="E43" s="2418" t="s">
        <v>4704</v>
      </c>
      <c r="F43" s="2418" t="s">
        <v>361</v>
      </c>
      <c r="G43" s="2418" t="s">
        <v>4943</v>
      </c>
      <c r="H43" s="2418" t="s">
        <v>4959</v>
      </c>
      <c r="I43" s="2418" t="s">
        <v>1643</v>
      </c>
      <c r="J43" s="2406" t="s">
        <v>5507</v>
      </c>
      <c r="K43" s="2418"/>
      <c r="L43" s="2418"/>
      <c r="M43" s="2418"/>
      <c r="N43" s="2418"/>
      <c r="O43" s="2421">
        <v>45748</v>
      </c>
      <c r="P43" s="2418">
        <v>36</v>
      </c>
      <c r="Q43" s="2418" t="s">
        <v>160</v>
      </c>
      <c r="R43" s="772">
        <v>123280</v>
      </c>
      <c r="S43" s="2491">
        <f>IF(ISNUMBER(R43),SUM(R43*20%)+R43,"")</f>
        <v>147936</v>
      </c>
      <c r="T43" s="2559"/>
      <c r="U43" s="2562" t="s">
        <v>45</v>
      </c>
      <c r="V43" s="2416" t="s">
        <v>45</v>
      </c>
      <c r="W43" s="2416"/>
      <c r="X43" s="2416"/>
      <c r="Y43" s="2416" t="s">
        <v>1210</v>
      </c>
      <c r="Z43" s="2416"/>
      <c r="AA43" s="2422" t="s">
        <v>4948</v>
      </c>
      <c r="AB43" s="2418"/>
      <c r="AC43" s="2418"/>
      <c r="AD43" s="2418"/>
      <c r="AE43" s="2222" t="s">
        <v>1482</v>
      </c>
      <c r="AF43" s="2281" t="s">
        <v>6711</v>
      </c>
      <c r="AG43" s="2281"/>
      <c r="AH43" s="1376" t="str">
        <f t="shared" ca="1" si="0"/>
        <v>N/A</v>
      </c>
    </row>
    <row r="44" spans="1:36" s="2323" customFormat="1" ht="65">
      <c r="A44" s="749">
        <v>45036</v>
      </c>
      <c r="B44" s="695" t="s">
        <v>56</v>
      </c>
      <c r="C44" s="738"/>
      <c r="D44" s="710"/>
      <c r="E44" s="730"/>
      <c r="F44" s="808" t="s">
        <v>630</v>
      </c>
      <c r="G44" s="781" t="s">
        <v>1315</v>
      </c>
      <c r="H44" s="710" t="s">
        <v>1471</v>
      </c>
      <c r="I44" s="710" t="s">
        <v>6712</v>
      </c>
      <c r="J44" s="709" t="s">
        <v>6713</v>
      </c>
      <c r="K44" s="710" t="s">
        <v>365</v>
      </c>
      <c r="L44" s="710" t="e">
        <f>IF(OR(V44=#REF!,V44=#REF!,V44=#REF!,V44=#REF!,V44=#REF!,V44=#REF!,V44=#REF!,V44=#REF!),12,IF(OR(V44=#REF!,V44=#REF!,V44=#REF!,V44=#REF!,V44=#REF!,V44=#REF!,V44=#REF!),3,IF(V44=#REF!,1,IF(V44=#REF!,18,IF(OR(V44=#REF!,V44=#REF!,V44=#REF!,V44=#REF!,V44=#REF!),14,"Invalid proposed procurement method")))))</f>
        <v>#REF!</v>
      </c>
      <c r="M44" s="711" t="str">
        <f>IFERROR(EDATE(N44,-3),"Invalid procurement method or date entered")</f>
        <v>Invalid procurement method or date entered</v>
      </c>
      <c r="N44" s="769" t="str">
        <f>IFERROR(EDATE(O44,-L44),"Invalid procurement method or date entered")</f>
        <v>Invalid procurement method or date entered</v>
      </c>
      <c r="O44" s="947">
        <v>45383</v>
      </c>
      <c r="P44" s="738" t="s">
        <v>45</v>
      </c>
      <c r="Q44" s="695" t="s">
        <v>45</v>
      </c>
      <c r="R44" s="1030">
        <v>80000</v>
      </c>
      <c r="S44" s="2491">
        <f>SUM(R44*20%)+R44</f>
        <v>96000</v>
      </c>
      <c r="T44" s="850"/>
      <c r="U44" s="850"/>
      <c r="V44" s="723" t="s">
        <v>45</v>
      </c>
      <c r="W44" s="793" t="s">
        <v>45</v>
      </c>
      <c r="X44" s="792" t="s">
        <v>45</v>
      </c>
      <c r="Y44" s="792"/>
      <c r="Z44" s="723"/>
      <c r="AA44" s="727" t="s">
        <v>45</v>
      </c>
      <c r="AB44" s="710" t="s">
        <v>40</v>
      </c>
      <c r="AC44" s="700"/>
      <c r="AD44" s="700"/>
      <c r="AE44" s="2261" t="s">
        <v>1482</v>
      </c>
      <c r="AF44" s="699" t="s">
        <v>6714</v>
      </c>
      <c r="AG44" s="700"/>
      <c r="AH44" s="1376"/>
    </row>
    <row r="45" spans="1:36" s="901" customFormat="1" ht="65">
      <c r="A45" s="749">
        <v>44810</v>
      </c>
      <c r="B45" s="725" t="s">
        <v>56</v>
      </c>
      <c r="C45" s="726">
        <v>64540</v>
      </c>
      <c r="D45" s="727" t="s">
        <v>57</v>
      </c>
      <c r="E45" s="794" t="s">
        <v>449</v>
      </c>
      <c r="F45" s="739" t="s">
        <v>630</v>
      </c>
      <c r="G45" s="2190" t="s">
        <v>1319</v>
      </c>
      <c r="H45" s="730" t="s">
        <v>4946</v>
      </c>
      <c r="I45" s="710" t="s">
        <v>47</v>
      </c>
      <c r="J45" s="735" t="s">
        <v>6715</v>
      </c>
      <c r="K45" s="2497" t="s">
        <v>6716</v>
      </c>
      <c r="L45" s="710" t="e">
        <f>IF(OR(V45=#REF!,V45=#REF!,V45=#REF!,V45=#REF!,V45=#REF!,V45=#REF!,V45=#REF!,V45=#REF!),12,IF(OR(V45=#REF!,V45=#REF!,V45=#REF!,V45=#REF!,V45=#REF!,V45=#REF!,V45=#REF!),3,IF(V45=#REF!,1,IF(V45=#REF!,18,IF(OR(V45=#REF!,V45=#REF!,V45=#REF!,V45=#REF!,V45=#REF!),14,"Invalid proposed procurement method")))))</f>
        <v>#REF!</v>
      </c>
      <c r="M45" s="711">
        <v>44866</v>
      </c>
      <c r="N45" s="711" t="str">
        <f>IFERROR(EDATE(O45,-L45),"Invalid procurement method or date entered")</f>
        <v>Invalid procurement method or date entered</v>
      </c>
      <c r="O45" s="701">
        <v>45017</v>
      </c>
      <c r="P45" s="845">
        <v>1</v>
      </c>
      <c r="Q45" s="741">
        <v>1</v>
      </c>
      <c r="R45" s="742">
        <v>191773</v>
      </c>
      <c r="S45" s="2491">
        <f t="shared" ref="S45:S54" si="5">IF(ISNUMBER(R45),SUM(R45*20%)+R45,"")</f>
        <v>230127.6</v>
      </c>
      <c r="T45" s="2550">
        <v>191772.76</v>
      </c>
      <c r="U45" s="2476" t="s">
        <v>6226</v>
      </c>
      <c r="V45" s="792" t="s">
        <v>61</v>
      </c>
      <c r="W45" s="792" t="s">
        <v>310</v>
      </c>
      <c r="X45" s="792" t="s">
        <v>60</v>
      </c>
      <c r="Y45" s="792"/>
      <c r="Z45" s="723" t="s">
        <v>5079</v>
      </c>
      <c r="AA45" s="1406" t="s">
        <v>5138</v>
      </c>
      <c r="AB45" s="762" t="s">
        <v>40</v>
      </c>
      <c r="AC45" s="762"/>
      <c r="AD45" s="695" t="s">
        <v>70</v>
      </c>
      <c r="AE45" s="2261" t="s">
        <v>1482</v>
      </c>
      <c r="AF45" s="2538" t="s">
        <v>6717</v>
      </c>
      <c r="AG45" s="1286"/>
      <c r="AH45" s="1376" t="str">
        <f t="shared" ref="AH45:AH91" ca="1" si="6">IFERROR(TODAY()-AE45,"N/A")</f>
        <v>N/A</v>
      </c>
    </row>
    <row r="46" spans="1:36" s="901" customFormat="1" ht="65">
      <c r="A46" s="749">
        <v>44904</v>
      </c>
      <c r="B46" s="706" t="s">
        <v>56</v>
      </c>
      <c r="C46" s="707">
        <v>67961</v>
      </c>
      <c r="D46" s="708" t="s">
        <v>847</v>
      </c>
      <c r="E46" s="794" t="s">
        <v>449</v>
      </c>
      <c r="F46" s="739" t="s">
        <v>361</v>
      </c>
      <c r="G46" s="2192" t="s">
        <v>362</v>
      </c>
      <c r="H46" s="710" t="s">
        <v>4946</v>
      </c>
      <c r="I46" s="710" t="s">
        <v>47</v>
      </c>
      <c r="J46" s="709" t="s">
        <v>6718</v>
      </c>
      <c r="K46" s="710" t="s">
        <v>6719</v>
      </c>
      <c r="L46" s="710">
        <v>3</v>
      </c>
      <c r="M46" s="711">
        <v>44958</v>
      </c>
      <c r="N46" s="712" t="s">
        <v>60</v>
      </c>
      <c r="O46" s="713">
        <v>45047</v>
      </c>
      <c r="P46" s="714">
        <v>3</v>
      </c>
      <c r="Q46" s="715">
        <v>3</v>
      </c>
      <c r="R46" s="742">
        <v>850000</v>
      </c>
      <c r="S46" s="2491">
        <f t="shared" si="5"/>
        <v>1020000</v>
      </c>
      <c r="T46" s="2550">
        <v>692184.93</v>
      </c>
      <c r="U46" s="2476" t="s">
        <v>6226</v>
      </c>
      <c r="V46" s="723" t="s">
        <v>61</v>
      </c>
      <c r="W46" s="723" t="s">
        <v>45</v>
      </c>
      <c r="X46" s="723" t="s">
        <v>45</v>
      </c>
      <c r="Y46" s="723"/>
      <c r="Z46" s="723" t="s">
        <v>4718</v>
      </c>
      <c r="AA46" s="708" t="s">
        <v>5138</v>
      </c>
      <c r="AB46" s="710" t="s">
        <v>40</v>
      </c>
      <c r="AC46" s="710" t="s">
        <v>45</v>
      </c>
      <c r="AD46" s="1164" t="s">
        <v>70</v>
      </c>
      <c r="AE46" s="2261" t="s">
        <v>1482</v>
      </c>
      <c r="AF46" s="857" t="s">
        <v>6720</v>
      </c>
      <c r="AG46" s="723"/>
      <c r="AH46" s="1376" t="str">
        <f t="shared" ca="1" si="6"/>
        <v>N/A</v>
      </c>
    </row>
    <row r="47" spans="1:36" s="901" customFormat="1" ht="65">
      <c r="A47" s="749">
        <v>44788</v>
      </c>
      <c r="B47" s="725" t="s">
        <v>56</v>
      </c>
      <c r="C47" s="726" t="s">
        <v>60</v>
      </c>
      <c r="D47" s="727" t="s">
        <v>32</v>
      </c>
      <c r="E47" s="794" t="s">
        <v>449</v>
      </c>
      <c r="F47" s="727" t="s">
        <v>361</v>
      </c>
      <c r="G47" s="2190" t="s">
        <v>362</v>
      </c>
      <c r="H47" s="730" t="s">
        <v>4946</v>
      </c>
      <c r="I47" s="726" t="s">
        <v>47</v>
      </c>
      <c r="J47" s="729" t="s">
        <v>6721</v>
      </c>
      <c r="K47" s="726"/>
      <c r="L47" s="730">
        <v>12</v>
      </c>
      <c r="M47" s="731">
        <v>44840</v>
      </c>
      <c r="N47" s="712">
        <v>44865</v>
      </c>
      <c r="O47" s="759" t="s">
        <v>60</v>
      </c>
      <c r="P47" s="760" t="s">
        <v>60</v>
      </c>
      <c r="Q47" s="761" t="s">
        <v>60</v>
      </c>
      <c r="R47" s="742">
        <v>364000</v>
      </c>
      <c r="S47" s="2491">
        <f t="shared" si="5"/>
        <v>436800</v>
      </c>
      <c r="T47" s="924"/>
      <c r="U47" s="2476" t="s">
        <v>6226</v>
      </c>
      <c r="V47" s="792" t="s">
        <v>75</v>
      </c>
      <c r="W47" s="792" t="s">
        <v>62</v>
      </c>
      <c r="X47" s="792" t="s">
        <v>60</v>
      </c>
      <c r="Y47" s="792"/>
      <c r="Z47" s="794" t="s">
        <v>714</v>
      </c>
      <c r="AA47" s="727" t="s">
        <v>4301</v>
      </c>
      <c r="AB47" s="762" t="s">
        <v>40</v>
      </c>
      <c r="AC47" s="762"/>
      <c r="AD47" s="1164" t="s">
        <v>70</v>
      </c>
      <c r="AE47" s="2261" t="s">
        <v>1482</v>
      </c>
      <c r="AF47" s="2534" t="s">
        <v>6722</v>
      </c>
      <c r="AG47" s="924"/>
      <c r="AH47" s="1376" t="str">
        <f t="shared" ca="1" si="6"/>
        <v>N/A</v>
      </c>
    </row>
    <row r="48" spans="1:36" s="901" customFormat="1" ht="65">
      <c r="A48" s="2373">
        <v>44974</v>
      </c>
      <c r="B48" s="2301" t="s">
        <v>56</v>
      </c>
      <c r="C48" s="2480">
        <v>74608</v>
      </c>
      <c r="D48" s="2171" t="s">
        <v>1192</v>
      </c>
      <c r="E48" s="773" t="s">
        <v>1168</v>
      </c>
      <c r="F48" s="2287" t="s">
        <v>1270</v>
      </c>
      <c r="G48" s="1490" t="s">
        <v>4945</v>
      </c>
      <c r="H48" s="2172" t="s">
        <v>4946</v>
      </c>
      <c r="I48" s="876" t="s">
        <v>47</v>
      </c>
      <c r="J48" s="2555" t="s">
        <v>6723</v>
      </c>
      <c r="K48" s="2389" t="s">
        <v>589</v>
      </c>
      <c r="L48" s="2380" t="s">
        <v>1170</v>
      </c>
      <c r="M48" s="2556">
        <v>44987</v>
      </c>
      <c r="N48" s="2473" t="s">
        <v>1170</v>
      </c>
      <c r="O48" s="2478">
        <v>45017</v>
      </c>
      <c r="P48" s="794" t="s">
        <v>45</v>
      </c>
      <c r="Q48" s="773" t="s">
        <v>45</v>
      </c>
      <c r="R48" s="2387">
        <v>2400000</v>
      </c>
      <c r="S48" s="2491">
        <f t="shared" si="5"/>
        <v>2880000</v>
      </c>
      <c r="T48" s="2380" t="s">
        <v>1170</v>
      </c>
      <c r="U48" s="2380"/>
      <c r="V48" s="2696" t="s">
        <v>84</v>
      </c>
      <c r="W48" s="773" t="s">
        <v>38</v>
      </c>
      <c r="X48" s="773" t="s">
        <v>67</v>
      </c>
      <c r="Y48" s="773"/>
      <c r="Z48" s="2280" t="s">
        <v>6724</v>
      </c>
      <c r="AA48" s="2075" t="s">
        <v>5138</v>
      </c>
      <c r="AB48" s="2480" t="s">
        <v>40</v>
      </c>
      <c r="AC48" s="2480" t="s">
        <v>1170</v>
      </c>
      <c r="AD48" s="1164" t="s">
        <v>70</v>
      </c>
      <c r="AE48" s="2261" t="s">
        <v>1482</v>
      </c>
      <c r="AF48" s="2567" t="s">
        <v>6725</v>
      </c>
      <c r="AG48" s="2380" t="s">
        <v>1170</v>
      </c>
      <c r="AH48" s="1376" t="str">
        <f t="shared" ca="1" si="6"/>
        <v>N/A</v>
      </c>
    </row>
    <row r="49" spans="1:34" s="2323" customFormat="1" ht="26">
      <c r="A49" s="749"/>
      <c r="B49" s="695" t="s">
        <v>44</v>
      </c>
      <c r="C49" s="695" t="s">
        <v>3553</v>
      </c>
      <c r="D49" s="710" t="s">
        <v>32</v>
      </c>
      <c r="E49" s="730" t="s">
        <v>449</v>
      </c>
      <c r="F49" s="808" t="s">
        <v>361</v>
      </c>
      <c r="G49" s="808" t="s">
        <v>569</v>
      </c>
      <c r="H49" s="710" t="s">
        <v>33</v>
      </c>
      <c r="I49" s="710" t="s">
        <v>268</v>
      </c>
      <c r="J49" s="709" t="s">
        <v>6726</v>
      </c>
      <c r="K49" s="710" t="s">
        <v>6727</v>
      </c>
      <c r="L49" s="710"/>
      <c r="M49" s="769"/>
      <c r="N49" s="769"/>
      <c r="O49" s="947">
        <v>45036</v>
      </c>
      <c r="P49" s="738">
        <v>60</v>
      </c>
      <c r="Q49" s="884" t="s">
        <v>1871</v>
      </c>
      <c r="R49" s="772"/>
      <c r="S49" s="2491" t="str">
        <f t="shared" si="5"/>
        <v/>
      </c>
      <c r="T49" s="1255"/>
      <c r="U49" s="1287" t="s">
        <v>268</v>
      </c>
      <c r="V49" s="723" t="s">
        <v>270</v>
      </c>
      <c r="W49" s="723" t="s">
        <v>310</v>
      </c>
      <c r="X49" s="741" t="s">
        <v>71</v>
      </c>
      <c r="Y49" s="741"/>
      <c r="Z49" s="723" t="s">
        <v>1290</v>
      </c>
      <c r="AA49" s="2700" t="s">
        <v>561</v>
      </c>
      <c r="AB49" s="710" t="s">
        <v>40</v>
      </c>
      <c r="AC49" s="700" t="s">
        <v>69</v>
      </c>
      <c r="AD49" s="842" t="s">
        <v>70</v>
      </c>
      <c r="AE49" s="2261" t="s">
        <v>1482</v>
      </c>
      <c r="AF49" s="2568" t="s">
        <v>6728</v>
      </c>
      <c r="AG49" s="700" t="s">
        <v>806</v>
      </c>
      <c r="AH49" s="1376" t="str">
        <f t="shared" ca="1" si="6"/>
        <v>N/A</v>
      </c>
    </row>
    <row r="50" spans="1:34" s="901" customFormat="1" ht="325">
      <c r="A50" s="749">
        <v>44776</v>
      </c>
      <c r="B50" s="737" t="s">
        <v>56</v>
      </c>
      <c r="C50" s="695">
        <v>68201</v>
      </c>
      <c r="D50" s="708" t="s">
        <v>57</v>
      </c>
      <c r="E50" s="794" t="s">
        <v>449</v>
      </c>
      <c r="F50" s="739" t="s">
        <v>630</v>
      </c>
      <c r="G50" s="1497" t="s">
        <v>1121</v>
      </c>
      <c r="H50" s="730" t="s">
        <v>4946</v>
      </c>
      <c r="I50" s="710" t="s">
        <v>47</v>
      </c>
      <c r="J50" s="709" t="s">
        <v>6729</v>
      </c>
      <c r="K50" s="710" t="s">
        <v>71</v>
      </c>
      <c r="L50" s="710">
        <v>12</v>
      </c>
      <c r="M50" s="711">
        <v>44805</v>
      </c>
      <c r="N50" s="711" t="s">
        <v>60</v>
      </c>
      <c r="O50" s="770" t="s">
        <v>60</v>
      </c>
      <c r="P50" s="741">
        <v>24</v>
      </c>
      <c r="Q50" s="766" t="s">
        <v>391</v>
      </c>
      <c r="R50" s="807">
        <v>180000</v>
      </c>
      <c r="S50" s="2491">
        <f t="shared" si="5"/>
        <v>216000</v>
      </c>
      <c r="T50" s="793"/>
      <c r="U50" s="794" t="s">
        <v>176</v>
      </c>
      <c r="V50" s="793" t="s">
        <v>176</v>
      </c>
      <c r="W50" s="793" t="s">
        <v>62</v>
      </c>
      <c r="X50" s="741" t="s">
        <v>71</v>
      </c>
      <c r="Y50" s="741"/>
      <c r="Z50" s="723" t="s">
        <v>1264</v>
      </c>
      <c r="AA50" s="727" t="s">
        <v>784</v>
      </c>
      <c r="AB50" s="710" t="s">
        <v>290</v>
      </c>
      <c r="AC50" s="710" t="s">
        <v>154</v>
      </c>
      <c r="AD50" s="1164" t="s">
        <v>70</v>
      </c>
      <c r="AE50" s="2261" t="s">
        <v>1482</v>
      </c>
      <c r="AF50" s="717" t="s">
        <v>6730</v>
      </c>
      <c r="AG50" s="723"/>
      <c r="AH50" s="1376" t="str">
        <f t="shared" ca="1" si="6"/>
        <v>N/A</v>
      </c>
    </row>
    <row r="51" spans="1:34" s="2479" customFormat="1" ht="65">
      <c r="A51" s="749">
        <v>44945</v>
      </c>
      <c r="B51" s="725" t="s">
        <v>56</v>
      </c>
      <c r="C51" s="726" t="s">
        <v>6731</v>
      </c>
      <c r="D51" s="727" t="s">
        <v>847</v>
      </c>
      <c r="E51" s="794" t="s">
        <v>449</v>
      </c>
      <c r="F51" s="739" t="s">
        <v>630</v>
      </c>
      <c r="G51" s="2190" t="s">
        <v>1319</v>
      </c>
      <c r="H51" s="730" t="s">
        <v>4946</v>
      </c>
      <c r="I51" s="726" t="s">
        <v>47</v>
      </c>
      <c r="J51" s="729" t="s">
        <v>6732</v>
      </c>
      <c r="K51" s="726" t="s">
        <v>6733</v>
      </c>
      <c r="L51" s="730">
        <v>1</v>
      </c>
      <c r="M51" s="731">
        <v>44928</v>
      </c>
      <c r="N51" s="712" t="s">
        <v>60</v>
      </c>
      <c r="O51" s="759">
        <v>44988</v>
      </c>
      <c r="P51" s="760">
        <v>1</v>
      </c>
      <c r="Q51" s="761">
        <v>1</v>
      </c>
      <c r="R51" s="937">
        <v>75000</v>
      </c>
      <c r="S51" s="2491">
        <f t="shared" si="5"/>
        <v>90000</v>
      </c>
      <c r="T51" s="1273"/>
      <c r="U51" s="2476" t="s">
        <v>6226</v>
      </c>
      <c r="V51" s="792" t="s">
        <v>61</v>
      </c>
      <c r="W51" s="792" t="s">
        <v>62</v>
      </c>
      <c r="X51" s="792" t="s">
        <v>71</v>
      </c>
      <c r="Y51" s="792"/>
      <c r="Z51" s="1165" t="s">
        <v>6734</v>
      </c>
      <c r="AA51" s="727" t="s">
        <v>784</v>
      </c>
      <c r="AB51" s="762" t="s">
        <v>40</v>
      </c>
      <c r="AC51" s="762" t="s">
        <v>154</v>
      </c>
      <c r="AD51" s="1164" t="s">
        <v>70</v>
      </c>
      <c r="AE51" s="2261" t="s">
        <v>1482</v>
      </c>
      <c r="AF51" s="2536" t="s">
        <v>6735</v>
      </c>
      <c r="AG51" s="1273"/>
      <c r="AH51" s="1376" t="str">
        <f t="shared" ca="1" si="6"/>
        <v>N/A</v>
      </c>
    </row>
    <row r="52" spans="1:34" s="2703" customFormat="1" ht="15" customHeight="1">
      <c r="A52" s="749">
        <v>45013</v>
      </c>
      <c r="B52" s="725" t="s">
        <v>44</v>
      </c>
      <c r="C52" s="898">
        <v>56797</v>
      </c>
      <c r="D52" s="944" t="s">
        <v>2645</v>
      </c>
      <c r="E52" s="794" t="s">
        <v>449</v>
      </c>
      <c r="F52" s="1385" t="s">
        <v>1270</v>
      </c>
      <c r="G52" s="1385" t="s">
        <v>1271</v>
      </c>
      <c r="H52" s="895" t="s">
        <v>46</v>
      </c>
      <c r="I52" s="710" t="s">
        <v>268</v>
      </c>
      <c r="J52" s="704" t="s">
        <v>6736</v>
      </c>
      <c r="K52" s="710" t="s">
        <v>6737</v>
      </c>
      <c r="L52" s="2496"/>
      <c r="M52" s="731">
        <v>45013</v>
      </c>
      <c r="N52" s="1161"/>
      <c r="O52" s="792">
        <v>44928</v>
      </c>
      <c r="P52" s="733">
        <v>9</v>
      </c>
      <c r="Q52" s="733">
        <v>9</v>
      </c>
      <c r="R52" s="937">
        <v>89537.5</v>
      </c>
      <c r="S52" s="2491">
        <f t="shared" si="5"/>
        <v>107445</v>
      </c>
      <c r="T52" s="1271"/>
      <c r="U52" s="1287" t="s">
        <v>268</v>
      </c>
      <c r="V52" s="792" t="s">
        <v>270</v>
      </c>
      <c r="W52" s="792" t="s">
        <v>38</v>
      </c>
      <c r="X52" s="1165" t="s">
        <v>71</v>
      </c>
      <c r="Y52" s="1165"/>
      <c r="Z52" s="1165" t="s">
        <v>5334</v>
      </c>
      <c r="AA52" s="2700" t="s">
        <v>283</v>
      </c>
      <c r="AB52" s="2504" t="s">
        <v>40</v>
      </c>
      <c r="AC52" s="812" t="s">
        <v>154</v>
      </c>
      <c r="AD52" s="790" t="s">
        <v>38</v>
      </c>
      <c r="AE52" s="2261" t="s">
        <v>1482</v>
      </c>
      <c r="AF52" s="2583" t="s">
        <v>6738</v>
      </c>
      <c r="AG52" s="1271"/>
      <c r="AH52" s="1376" t="str">
        <f t="shared" ca="1" si="6"/>
        <v>N/A</v>
      </c>
    </row>
    <row r="53" spans="1:34" s="2706" customFormat="1" ht="15" customHeight="1">
      <c r="A53" s="749">
        <v>44938</v>
      </c>
      <c r="B53" s="737" t="s">
        <v>44</v>
      </c>
      <c r="C53" s="695">
        <v>73777</v>
      </c>
      <c r="D53" s="739" t="s">
        <v>32</v>
      </c>
      <c r="E53" s="794" t="s">
        <v>449</v>
      </c>
      <c r="F53" s="1311" t="s">
        <v>361</v>
      </c>
      <c r="G53" s="1455" t="s">
        <v>569</v>
      </c>
      <c r="H53" s="801" t="s">
        <v>33</v>
      </c>
      <c r="I53" s="695" t="s">
        <v>47</v>
      </c>
      <c r="J53" s="747" t="s">
        <v>5512</v>
      </c>
      <c r="K53" s="695" t="s">
        <v>5513</v>
      </c>
      <c r="L53" s="695">
        <v>12</v>
      </c>
      <c r="M53" s="1235">
        <v>44938</v>
      </c>
      <c r="N53" s="749"/>
      <c r="O53" s="1235">
        <v>45047</v>
      </c>
      <c r="P53" s="752">
        <v>36</v>
      </c>
      <c r="Q53" s="719">
        <v>36</v>
      </c>
      <c r="R53" s="937">
        <v>176912</v>
      </c>
      <c r="S53" s="2491">
        <f t="shared" si="5"/>
        <v>212294.39999999999</v>
      </c>
      <c r="T53" s="719"/>
      <c r="U53" s="2476" t="s">
        <v>4593</v>
      </c>
      <c r="V53" s="2280" t="s">
        <v>366</v>
      </c>
      <c r="W53" s="719" t="s">
        <v>62</v>
      </c>
      <c r="X53" s="719" t="s">
        <v>38</v>
      </c>
      <c r="Y53" s="719"/>
      <c r="Z53" s="751" t="s">
        <v>76</v>
      </c>
      <c r="AA53" s="2171" t="s">
        <v>780</v>
      </c>
      <c r="AB53" s="695" t="s">
        <v>40</v>
      </c>
      <c r="AC53" s="695"/>
      <c r="AD53" s="695"/>
      <c r="AE53" s="2261" t="s">
        <v>1482</v>
      </c>
      <c r="AF53" s="1177" t="s">
        <v>6739</v>
      </c>
      <c r="AG53" s="719"/>
      <c r="AH53" s="1376" t="str">
        <f t="shared" ca="1" si="6"/>
        <v>N/A</v>
      </c>
    </row>
    <row r="54" spans="1:34" s="2707" customFormat="1" ht="15" customHeight="1">
      <c r="A54" s="749" t="s">
        <v>71</v>
      </c>
      <c r="B54" s="737" t="s">
        <v>44</v>
      </c>
      <c r="C54" s="738">
        <v>48221</v>
      </c>
      <c r="D54" s="708" t="s">
        <v>709</v>
      </c>
      <c r="E54" s="794" t="s">
        <v>449</v>
      </c>
      <c r="F54" s="698" t="s">
        <v>1067</v>
      </c>
      <c r="G54" s="1497" t="s">
        <v>569</v>
      </c>
      <c r="H54" s="710" t="s">
        <v>33</v>
      </c>
      <c r="I54" s="710" t="s">
        <v>47</v>
      </c>
      <c r="J54" s="709" t="s">
        <v>2625</v>
      </c>
      <c r="K54" s="710" t="s">
        <v>5455</v>
      </c>
      <c r="L54" s="710" t="e">
        <f>IF(OR(V54=#REF!,V54=#REF!,V54=#REF!,V54=#REF!,V54=#REF!,V54=#REF!,V54=#REF!,V54=#REF!),12,IF(OR(V54=#REF!,V54=#REF!,V54=#REF!,V54=#REF!,V54=#REF!,V54=#REF!,V54=#REF!),3,IF(V54=#REF!,1,IF(V54=#REF!,18,IF(OR(V54=#REF!,V54=#REF!,V54=#REF!,V54=#REF!,V54=#REF!),14,"Invalid proposed procurement method")))))</f>
        <v>#REF!</v>
      </c>
      <c r="M54" s="769">
        <v>44682</v>
      </c>
      <c r="N54" s="769" t="str">
        <f>IFERROR(EDATE(O54,-L54),"Invalid procurement method or date entered")</f>
        <v>Invalid procurement method or date entered</v>
      </c>
      <c r="O54" s="947">
        <v>45067</v>
      </c>
      <c r="P54" s="740">
        <v>36</v>
      </c>
      <c r="Q54" s="797" t="s">
        <v>160</v>
      </c>
      <c r="R54" s="937">
        <v>350000</v>
      </c>
      <c r="S54" s="2491">
        <f t="shared" si="5"/>
        <v>420000</v>
      </c>
      <c r="T54" s="793">
        <v>64000</v>
      </c>
      <c r="U54" s="850" t="s">
        <v>1488</v>
      </c>
      <c r="V54" s="723" t="s">
        <v>91</v>
      </c>
      <c r="W54" s="1246" t="s">
        <v>62</v>
      </c>
      <c r="X54" s="723" t="s">
        <v>71</v>
      </c>
      <c r="Y54" s="723"/>
      <c r="Z54" s="723" t="s">
        <v>6740</v>
      </c>
      <c r="AA54" s="2700" t="s">
        <v>94</v>
      </c>
      <c r="AB54" s="784" t="s">
        <v>40</v>
      </c>
      <c r="AC54" s="710" t="s">
        <v>69</v>
      </c>
      <c r="AD54" s="710" t="s">
        <v>70</v>
      </c>
      <c r="AE54" s="2261" t="s">
        <v>1482</v>
      </c>
      <c r="AF54" s="2539" t="s">
        <v>1436</v>
      </c>
      <c r="AG54" s="741" t="s">
        <v>96</v>
      </c>
      <c r="AH54" s="1376" t="str">
        <f t="shared" ca="1" si="6"/>
        <v>N/A</v>
      </c>
    </row>
    <row r="55" spans="1:34" s="901" customFormat="1" ht="65">
      <c r="A55" s="2468" t="s">
        <v>1170</v>
      </c>
      <c r="B55" s="2286" t="s">
        <v>56</v>
      </c>
      <c r="C55" s="2286" t="s">
        <v>5328</v>
      </c>
      <c r="D55" s="2286" t="s">
        <v>1390</v>
      </c>
      <c r="E55" s="2286" t="s">
        <v>1341</v>
      </c>
      <c r="F55" s="2286" t="s">
        <v>1270</v>
      </c>
      <c r="G55" s="2286" t="s">
        <v>1366</v>
      </c>
      <c r="H55" s="2286" t="s">
        <v>4622</v>
      </c>
      <c r="I55" s="2286" t="s">
        <v>34</v>
      </c>
      <c r="J55" s="2446" t="s">
        <v>6741</v>
      </c>
      <c r="K55" s="2286" t="s">
        <v>5330</v>
      </c>
      <c r="L55" s="2286" t="s">
        <v>1170</v>
      </c>
      <c r="M55" s="1457" t="str">
        <f>IFERROR(EDATE($N55,-3),"Invalid procurement method or date entered")</f>
        <v>Invalid procurement method or date entered</v>
      </c>
      <c r="N55" s="1457" t="str">
        <f>IFERROR(EDATE(O55,-L55),"Invalid procurement method or date entered")</f>
        <v>Invalid procurement method or date entered</v>
      </c>
      <c r="O55" s="2470">
        <v>45108</v>
      </c>
      <c r="P55" s="2286">
        <v>48</v>
      </c>
      <c r="Q55" s="2286" t="s">
        <v>1427</v>
      </c>
      <c r="R55" s="2471">
        <v>31300</v>
      </c>
      <c r="S55" s="2697">
        <f>SUM(R55*20%)+R55</f>
        <v>37560</v>
      </c>
      <c r="T55" s="2285" t="s">
        <v>1170</v>
      </c>
      <c r="U55" s="2285"/>
      <c r="V55" s="2280" t="s">
        <v>4970</v>
      </c>
      <c r="W55" s="2280" t="s">
        <v>1170</v>
      </c>
      <c r="X55" s="2280" t="s">
        <v>1170</v>
      </c>
      <c r="Y55" s="2280"/>
      <c r="Z55" s="2280" t="s">
        <v>5331</v>
      </c>
      <c r="AA55" s="2286" t="s">
        <v>1170</v>
      </c>
      <c r="AB55" s="2286" t="s">
        <v>40</v>
      </c>
      <c r="AC55" s="2286" t="s">
        <v>1170</v>
      </c>
      <c r="AD55" s="2286" t="s">
        <v>1170</v>
      </c>
      <c r="AE55" s="2222" t="s">
        <v>1170</v>
      </c>
      <c r="AF55" s="2446" t="s">
        <v>6742</v>
      </c>
      <c r="AG55" s="2446" t="s">
        <v>1170</v>
      </c>
      <c r="AH55" s="1376" t="str">
        <f t="shared" ca="1" si="6"/>
        <v>N/A</v>
      </c>
    </row>
    <row r="56" spans="1:34" s="901" customFormat="1" ht="364">
      <c r="A56" s="749" t="s">
        <v>71</v>
      </c>
      <c r="B56" s="737" t="s">
        <v>56</v>
      </c>
      <c r="C56" s="738">
        <v>56062</v>
      </c>
      <c r="D56" s="739" t="s">
        <v>57</v>
      </c>
      <c r="E56" s="794" t="s">
        <v>449</v>
      </c>
      <c r="F56" s="727" t="s">
        <v>630</v>
      </c>
      <c r="G56" s="2192" t="s">
        <v>1121</v>
      </c>
      <c r="H56" s="710" t="s">
        <v>1486</v>
      </c>
      <c r="I56" s="710" t="s">
        <v>47</v>
      </c>
      <c r="J56" s="709" t="s">
        <v>235</v>
      </c>
      <c r="K56" s="710" t="s">
        <v>793</v>
      </c>
      <c r="L56" s="710">
        <v>9</v>
      </c>
      <c r="M56" s="769">
        <f>IFERROR(EDATE($N56,-3),"Invalid procurement method or date entered")</f>
        <v>44676</v>
      </c>
      <c r="N56" s="769">
        <f>IFERROR(EDATE(O56,-L56),"Invalid procurement method or date entered")</f>
        <v>44767</v>
      </c>
      <c r="O56" s="769">
        <v>45041</v>
      </c>
      <c r="P56" s="750" t="s">
        <v>1487</v>
      </c>
      <c r="Q56" s="723" t="s">
        <v>1487</v>
      </c>
      <c r="R56" s="742" t="s">
        <v>6743</v>
      </c>
      <c r="S56" s="2491" t="str">
        <f t="shared" ref="S56:S67" si="7">IF(ISNUMBER(R56),SUM(R56*20%)+R56,"")</f>
        <v/>
      </c>
      <c r="T56" s="793">
        <v>2542515</v>
      </c>
      <c r="U56" s="850" t="s">
        <v>1488</v>
      </c>
      <c r="V56" s="723" t="s">
        <v>91</v>
      </c>
      <c r="W56" s="793" t="s">
        <v>70</v>
      </c>
      <c r="X56" s="1174">
        <v>44656</v>
      </c>
      <c r="Y56" s="1174"/>
      <c r="Z56" s="723" t="s">
        <v>167</v>
      </c>
      <c r="AA56" s="739" t="s">
        <v>77</v>
      </c>
      <c r="AB56" s="705" t="s">
        <v>40</v>
      </c>
      <c r="AC56" s="710" t="s">
        <v>87</v>
      </c>
      <c r="AD56" s="710" t="s">
        <v>70</v>
      </c>
      <c r="AE56" s="2261" t="s">
        <v>1482</v>
      </c>
      <c r="AF56" s="2533" t="s">
        <v>1489</v>
      </c>
      <c r="AG56" s="741" t="s">
        <v>165</v>
      </c>
      <c r="AH56" s="1376" t="str">
        <f t="shared" ca="1" si="6"/>
        <v>N/A</v>
      </c>
    </row>
    <row r="57" spans="1:34" s="901" customFormat="1" ht="247">
      <c r="A57" s="749" t="s">
        <v>71</v>
      </c>
      <c r="B57" s="737" t="s">
        <v>56</v>
      </c>
      <c r="C57" s="738">
        <v>56062</v>
      </c>
      <c r="D57" s="739" t="s">
        <v>57</v>
      </c>
      <c r="E57" s="794" t="s">
        <v>449</v>
      </c>
      <c r="F57" s="1385" t="s">
        <v>630</v>
      </c>
      <c r="G57" s="2188" t="s">
        <v>1121</v>
      </c>
      <c r="H57" s="710" t="s">
        <v>1486</v>
      </c>
      <c r="I57" s="710" t="s">
        <v>47</v>
      </c>
      <c r="J57" s="709" t="s">
        <v>232</v>
      </c>
      <c r="K57" s="710" t="s">
        <v>793</v>
      </c>
      <c r="L57" s="710">
        <v>9</v>
      </c>
      <c r="M57" s="769">
        <f>IFERROR(EDATE($N57,-3),"Invalid procurement method or date entered")</f>
        <v>44676</v>
      </c>
      <c r="N57" s="769">
        <f>IFERROR(EDATE(O57,-L57),"Invalid procurement method or date entered")</f>
        <v>44767</v>
      </c>
      <c r="O57" s="769">
        <v>45041</v>
      </c>
      <c r="P57" s="750" t="s">
        <v>6744</v>
      </c>
      <c r="Q57" s="723" t="s">
        <v>6744</v>
      </c>
      <c r="R57" s="742">
        <v>30916834</v>
      </c>
      <c r="S57" s="2491">
        <f t="shared" si="7"/>
        <v>37100200.799999997</v>
      </c>
      <c r="T57" s="793">
        <v>3188079</v>
      </c>
      <c r="U57" s="850" t="s">
        <v>1488</v>
      </c>
      <c r="V57" s="723" t="s">
        <v>91</v>
      </c>
      <c r="W57" s="723" t="s">
        <v>70</v>
      </c>
      <c r="X57" s="1174">
        <v>44656</v>
      </c>
      <c r="Y57" s="1174"/>
      <c r="Z57" s="723" t="s">
        <v>167</v>
      </c>
      <c r="AA57" s="739" t="s">
        <v>77</v>
      </c>
      <c r="AB57" s="705" t="s">
        <v>40</v>
      </c>
      <c r="AC57" s="710" t="s">
        <v>87</v>
      </c>
      <c r="AD57" s="710" t="s">
        <v>70</v>
      </c>
      <c r="AE57" s="2261" t="s">
        <v>1482</v>
      </c>
      <c r="AF57" s="735" t="s">
        <v>6745</v>
      </c>
      <c r="AG57" s="741" t="s">
        <v>165</v>
      </c>
      <c r="AH57" s="1376" t="str">
        <f t="shared" ca="1" si="6"/>
        <v>N/A</v>
      </c>
    </row>
    <row r="58" spans="1:34" s="901" customFormat="1" ht="65">
      <c r="A58" s="749">
        <v>44763</v>
      </c>
      <c r="B58" s="725" t="s">
        <v>56</v>
      </c>
      <c r="C58" s="726" t="s">
        <v>60</v>
      </c>
      <c r="D58" s="890" t="s">
        <v>57</v>
      </c>
      <c r="E58" s="794" t="s">
        <v>449</v>
      </c>
      <c r="F58" s="727" t="s">
        <v>630</v>
      </c>
      <c r="G58" s="1451" t="s">
        <v>362</v>
      </c>
      <c r="H58" s="730" t="s">
        <v>4946</v>
      </c>
      <c r="I58" s="726" t="s">
        <v>47</v>
      </c>
      <c r="J58" s="729" t="s">
        <v>6746</v>
      </c>
      <c r="K58" s="726"/>
      <c r="L58" s="730">
        <v>12</v>
      </c>
      <c r="M58" s="731">
        <v>44840</v>
      </c>
      <c r="N58" s="712" t="s">
        <v>60</v>
      </c>
      <c r="O58" s="759" t="s">
        <v>991</v>
      </c>
      <c r="P58" s="760">
        <v>6</v>
      </c>
      <c r="Q58" s="761">
        <v>6</v>
      </c>
      <c r="R58" s="742">
        <v>750000</v>
      </c>
      <c r="S58" s="2491">
        <f t="shared" si="7"/>
        <v>900000</v>
      </c>
      <c r="T58" s="1165"/>
      <c r="U58" s="2476" t="s">
        <v>6226</v>
      </c>
      <c r="V58" s="792" t="s">
        <v>158</v>
      </c>
      <c r="W58" s="792" t="s">
        <v>6747</v>
      </c>
      <c r="X58" s="792" t="s">
        <v>589</v>
      </c>
      <c r="Y58" s="792"/>
      <c r="Z58" s="1165" t="s">
        <v>901</v>
      </c>
      <c r="AA58" s="31" t="s">
        <v>5138</v>
      </c>
      <c r="AB58" s="762" t="s">
        <v>40</v>
      </c>
      <c r="AC58" s="762" t="s">
        <v>69</v>
      </c>
      <c r="AD58" s="695" t="s">
        <v>70</v>
      </c>
      <c r="AE58" s="2261" t="s">
        <v>1482</v>
      </c>
      <c r="AF58" s="2534" t="s">
        <v>6748</v>
      </c>
      <c r="AG58" s="1165"/>
      <c r="AH58" s="1376" t="str">
        <f t="shared" ca="1" si="6"/>
        <v>N/A</v>
      </c>
    </row>
    <row r="59" spans="1:34" s="901" customFormat="1" ht="65">
      <c r="A59" s="749">
        <v>44883</v>
      </c>
      <c r="B59" s="706" t="s">
        <v>56</v>
      </c>
      <c r="C59" s="721">
        <v>66216</v>
      </c>
      <c r="D59" s="710" t="s">
        <v>57</v>
      </c>
      <c r="E59" s="794" t="s">
        <v>449</v>
      </c>
      <c r="F59" s="1271" t="s">
        <v>630</v>
      </c>
      <c r="G59" s="2187" t="s">
        <v>1315</v>
      </c>
      <c r="H59" s="710" t="s">
        <v>5077</v>
      </c>
      <c r="I59" s="710" t="s">
        <v>47</v>
      </c>
      <c r="J59" s="709" t="s">
        <v>6749</v>
      </c>
      <c r="K59" s="710" t="s">
        <v>6750</v>
      </c>
      <c r="L59" s="710" t="e">
        <f>IF(OR(V59=#REF!,V59=#REF!,V59=#REF!,V59=#REF!,V59=#REF!,V59=#REF!,V59=#REF!,V59=#REF!),12,IF(OR(V59=#REF!,V59=#REF!,V59=#REF!,V59=#REF!,V59=#REF!,V59=#REF!,V59=#REF!),3,IF(V59=#REF!,1,IF(V59=#REF!,18,IF(OR(V59=#REF!,V59=#REF!,V59=#REF!,V59=#REF!,V59=#REF!),14,"Invalid proposed procurement method")))))</f>
        <v>#REF!</v>
      </c>
      <c r="M59" s="711">
        <v>44928</v>
      </c>
      <c r="N59" s="712"/>
      <c r="O59" s="713">
        <v>45047</v>
      </c>
      <c r="P59" s="810">
        <v>48</v>
      </c>
      <c r="Q59" s="794" t="s">
        <v>60</v>
      </c>
      <c r="R59" s="742">
        <f>160000*4</f>
        <v>640000</v>
      </c>
      <c r="S59" s="2491">
        <f t="shared" si="7"/>
        <v>768000</v>
      </c>
      <c r="T59" s="723"/>
      <c r="U59" s="850" t="s">
        <v>1488</v>
      </c>
      <c r="V59" s="1257" t="s">
        <v>91</v>
      </c>
      <c r="W59" s="723" t="s">
        <v>1317</v>
      </c>
      <c r="X59" s="723" t="s">
        <v>45</v>
      </c>
      <c r="Y59" s="723"/>
      <c r="Z59" s="723" t="s">
        <v>5176</v>
      </c>
      <c r="AA59" s="708" t="s">
        <v>5138</v>
      </c>
      <c r="AB59" s="762" t="s">
        <v>40</v>
      </c>
      <c r="AC59" s="710" t="s">
        <v>69</v>
      </c>
      <c r="AD59" s="707" t="s">
        <v>70</v>
      </c>
      <c r="AE59" s="2261" t="s">
        <v>1482</v>
      </c>
      <c r="AF59" s="717" t="s">
        <v>6751</v>
      </c>
      <c r="AG59" s="723"/>
      <c r="AH59" s="1376" t="str">
        <f t="shared" ca="1" si="6"/>
        <v>N/A</v>
      </c>
    </row>
    <row r="60" spans="1:34" s="901" customFormat="1" ht="65">
      <c r="A60" s="749">
        <v>45021</v>
      </c>
      <c r="B60" s="890" t="s">
        <v>56</v>
      </c>
      <c r="C60" s="726" t="s">
        <v>60</v>
      </c>
      <c r="D60" s="730" t="s">
        <v>32</v>
      </c>
      <c r="E60" s="794" t="s">
        <v>449</v>
      </c>
      <c r="F60" s="727" t="s">
        <v>361</v>
      </c>
      <c r="G60" s="2554" t="s">
        <v>362</v>
      </c>
      <c r="H60" s="730" t="s">
        <v>4946</v>
      </c>
      <c r="I60" s="726" t="s">
        <v>47</v>
      </c>
      <c r="J60" s="729" t="s">
        <v>6752</v>
      </c>
      <c r="K60" s="726"/>
      <c r="L60" s="730">
        <v>12</v>
      </c>
      <c r="M60" s="731">
        <v>45017</v>
      </c>
      <c r="N60" s="712" t="s">
        <v>60</v>
      </c>
      <c r="O60" s="759" t="s">
        <v>60</v>
      </c>
      <c r="P60" s="891">
        <v>3</v>
      </c>
      <c r="Q60" s="891" t="s">
        <v>60</v>
      </c>
      <c r="R60" s="742">
        <v>76000</v>
      </c>
      <c r="S60" s="2491">
        <f t="shared" si="7"/>
        <v>91200</v>
      </c>
      <c r="T60" s="924"/>
      <c r="U60" s="794" t="s">
        <v>176</v>
      </c>
      <c r="V60" s="792" t="s">
        <v>176</v>
      </c>
      <c r="W60" s="792" t="s">
        <v>60</v>
      </c>
      <c r="X60" s="792" t="s">
        <v>60</v>
      </c>
      <c r="Y60" s="792"/>
      <c r="Z60" s="794" t="s">
        <v>6753</v>
      </c>
      <c r="AA60" s="727" t="s">
        <v>5039</v>
      </c>
      <c r="AB60" s="762" t="s">
        <v>40</v>
      </c>
      <c r="AC60" s="762"/>
      <c r="AD60" s="695" t="s">
        <v>70</v>
      </c>
      <c r="AE60" s="2261" t="s">
        <v>1482</v>
      </c>
      <c r="AF60" s="2536" t="s">
        <v>6754</v>
      </c>
      <c r="AG60" s="924"/>
      <c r="AH60" s="1376" t="str">
        <f t="shared" ca="1" si="6"/>
        <v>N/A</v>
      </c>
    </row>
    <row r="61" spans="1:34" s="901" customFormat="1" ht="52">
      <c r="A61" s="749"/>
      <c r="B61" s="725" t="s">
        <v>56</v>
      </c>
      <c r="C61" s="726" t="s">
        <v>60</v>
      </c>
      <c r="D61" s="727" t="s">
        <v>709</v>
      </c>
      <c r="E61" s="794" t="s">
        <v>449</v>
      </c>
      <c r="F61" s="727" t="s">
        <v>361</v>
      </c>
      <c r="G61" s="2190" t="s">
        <v>362</v>
      </c>
      <c r="H61" s="730" t="s">
        <v>279</v>
      </c>
      <c r="I61" s="710" t="s">
        <v>47</v>
      </c>
      <c r="J61" s="709" t="s">
        <v>2571</v>
      </c>
      <c r="K61" s="710"/>
      <c r="L61" s="730">
        <v>12</v>
      </c>
      <c r="M61" s="731">
        <v>44596</v>
      </c>
      <c r="N61" s="712">
        <f>IF(O61="tbc","",(IFERROR(EDATE(O61,-L61),"Invalid procurement method or date entered")))</f>
        <v>44652</v>
      </c>
      <c r="O61" s="711">
        <v>45017</v>
      </c>
      <c r="P61" s="732">
        <v>48</v>
      </c>
      <c r="Q61" s="733" t="s">
        <v>60</v>
      </c>
      <c r="R61" s="742">
        <f>4*1400000</f>
        <v>5600000</v>
      </c>
      <c r="S61" s="2491">
        <f t="shared" si="7"/>
        <v>6720000</v>
      </c>
      <c r="T61" s="1271"/>
      <c r="U61" s="850" t="s">
        <v>1488</v>
      </c>
      <c r="V61" s="792" t="s">
        <v>91</v>
      </c>
      <c r="W61" s="792" t="s">
        <v>310</v>
      </c>
      <c r="X61" s="792" t="s">
        <v>60</v>
      </c>
      <c r="Y61" s="792"/>
      <c r="Z61" s="723" t="s">
        <v>2572</v>
      </c>
      <c r="AA61" s="727" t="s">
        <v>351</v>
      </c>
      <c r="AB61" s="762" t="s">
        <v>40</v>
      </c>
      <c r="AC61" s="762" t="s">
        <v>69</v>
      </c>
      <c r="AD61" s="695" t="s">
        <v>70</v>
      </c>
      <c r="AE61" s="2261" t="s">
        <v>1482</v>
      </c>
      <c r="AF61" s="717" t="s">
        <v>6755</v>
      </c>
      <c r="AG61" s="1271"/>
      <c r="AH61" s="1376" t="str">
        <f t="shared" ca="1" si="6"/>
        <v>N/A</v>
      </c>
    </row>
    <row r="62" spans="1:34" s="901" customFormat="1" ht="117">
      <c r="A62" s="749"/>
      <c r="B62" s="725" t="s">
        <v>56</v>
      </c>
      <c r="C62" s="726" t="s">
        <v>60</v>
      </c>
      <c r="D62" s="2575" t="s">
        <v>348</v>
      </c>
      <c r="E62" s="794" t="s">
        <v>449</v>
      </c>
      <c r="F62" s="698" t="s">
        <v>361</v>
      </c>
      <c r="G62" s="1497" t="s">
        <v>362</v>
      </c>
      <c r="H62" s="730" t="s">
        <v>1595</v>
      </c>
      <c r="I62" s="726" t="s">
        <v>47</v>
      </c>
      <c r="J62" s="729" t="s">
        <v>6756</v>
      </c>
      <c r="K62" s="726"/>
      <c r="L62" s="730">
        <v>12</v>
      </c>
      <c r="M62" s="731">
        <v>44866</v>
      </c>
      <c r="N62" s="712" t="s">
        <v>60</v>
      </c>
      <c r="O62" s="759" t="s">
        <v>60</v>
      </c>
      <c r="P62" s="760" t="s">
        <v>60</v>
      </c>
      <c r="Q62" s="761" t="s">
        <v>60</v>
      </c>
      <c r="R62" s="742" t="s">
        <v>60</v>
      </c>
      <c r="S62" s="2697" t="str">
        <f t="shared" si="7"/>
        <v/>
      </c>
      <c r="T62" s="1165"/>
      <c r="U62" s="793" t="s">
        <v>1488</v>
      </c>
      <c r="V62" s="792" t="s">
        <v>91</v>
      </c>
      <c r="W62" s="792" t="s">
        <v>589</v>
      </c>
      <c r="X62" s="792" t="s">
        <v>589</v>
      </c>
      <c r="Y62" s="792"/>
      <c r="Z62" s="794" t="s">
        <v>4888</v>
      </c>
      <c r="AA62" s="727" t="s">
        <v>351</v>
      </c>
      <c r="AB62" s="762" t="s">
        <v>40</v>
      </c>
      <c r="AC62" s="762" t="s">
        <v>154</v>
      </c>
      <c r="AD62" s="695" t="s">
        <v>70</v>
      </c>
      <c r="AE62" s="2261" t="s">
        <v>1482</v>
      </c>
      <c r="AF62" s="2534" t="s">
        <v>6757</v>
      </c>
      <c r="AG62" s="1165"/>
      <c r="AH62" s="1376" t="str">
        <f t="shared" ca="1" si="6"/>
        <v>N/A</v>
      </c>
    </row>
    <row r="63" spans="1:34" s="901" customFormat="1" ht="65">
      <c r="A63" s="749">
        <v>44974</v>
      </c>
      <c r="B63" s="725" t="s">
        <v>56</v>
      </c>
      <c r="C63" s="726" t="s">
        <v>60</v>
      </c>
      <c r="D63" s="727" t="s">
        <v>57</v>
      </c>
      <c r="E63" s="794" t="s">
        <v>449</v>
      </c>
      <c r="F63" s="739" t="s">
        <v>630</v>
      </c>
      <c r="G63" s="2190" t="s">
        <v>1319</v>
      </c>
      <c r="H63" s="730" t="s">
        <v>4946</v>
      </c>
      <c r="I63" s="726" t="s">
        <v>47</v>
      </c>
      <c r="J63" s="729" t="s">
        <v>6758</v>
      </c>
      <c r="K63" s="726"/>
      <c r="L63" s="730">
        <v>3</v>
      </c>
      <c r="M63" s="731">
        <v>44973</v>
      </c>
      <c r="N63" s="712">
        <v>45009</v>
      </c>
      <c r="O63" s="759">
        <v>45078</v>
      </c>
      <c r="P63" s="760">
        <v>6</v>
      </c>
      <c r="Q63" s="761">
        <v>1</v>
      </c>
      <c r="R63" s="742">
        <v>60000</v>
      </c>
      <c r="S63" s="2491">
        <f t="shared" si="7"/>
        <v>72000</v>
      </c>
      <c r="T63" s="924"/>
      <c r="U63" s="794" t="s">
        <v>176</v>
      </c>
      <c r="V63" s="792" t="s">
        <v>176</v>
      </c>
      <c r="W63" s="792" t="s">
        <v>62</v>
      </c>
      <c r="X63" s="792" t="s">
        <v>60</v>
      </c>
      <c r="Y63" s="792"/>
      <c r="Z63" s="1165" t="s">
        <v>750</v>
      </c>
      <c r="AA63" s="708" t="s">
        <v>351</v>
      </c>
      <c r="AB63" s="825" t="s">
        <v>40</v>
      </c>
      <c r="AC63" s="825" t="s">
        <v>154</v>
      </c>
      <c r="AD63" s="695" t="s">
        <v>70</v>
      </c>
      <c r="AE63" s="2261" t="s">
        <v>1482</v>
      </c>
      <c r="AF63" s="2534" t="s">
        <v>6759</v>
      </c>
      <c r="AG63" s="924"/>
      <c r="AH63" s="1376" t="str">
        <f t="shared" ca="1" si="6"/>
        <v>N/A</v>
      </c>
    </row>
    <row r="64" spans="1:34" s="2708" customFormat="1" ht="15" customHeight="1">
      <c r="A64" s="749">
        <v>44974</v>
      </c>
      <c r="B64" s="737" t="s">
        <v>44</v>
      </c>
      <c r="C64" s="707" t="s">
        <v>45</v>
      </c>
      <c r="D64" s="755" t="s">
        <v>57</v>
      </c>
      <c r="E64" s="794" t="s">
        <v>449</v>
      </c>
      <c r="F64" s="739" t="s">
        <v>1270</v>
      </c>
      <c r="G64" s="1449" t="s">
        <v>1271</v>
      </c>
      <c r="H64" s="801" t="s">
        <v>46</v>
      </c>
      <c r="I64" s="695" t="s">
        <v>47</v>
      </c>
      <c r="J64" s="748" t="s">
        <v>6760</v>
      </c>
      <c r="K64" s="801" t="s">
        <v>71</v>
      </c>
      <c r="L64" s="710">
        <v>12</v>
      </c>
      <c r="M64" s="711">
        <f>IFERROR(EDATE(N64,-3),"Invalid procurement method or date entered")</f>
        <v>44562</v>
      </c>
      <c r="N64" s="712">
        <f>IFERROR(EDATE(O64,-L64),"Invalid procurement method or date entered")</f>
        <v>44652</v>
      </c>
      <c r="O64" s="1242">
        <v>45017</v>
      </c>
      <c r="P64" s="752">
        <v>12</v>
      </c>
      <c r="Q64" s="751">
        <v>12</v>
      </c>
      <c r="R64" s="937">
        <v>50000</v>
      </c>
      <c r="S64" s="937">
        <f t="shared" si="7"/>
        <v>60000</v>
      </c>
      <c r="T64" s="2701">
        <v>50000</v>
      </c>
      <c r="U64" s="2701" t="s">
        <v>37</v>
      </c>
      <c r="V64" s="698" t="s">
        <v>84</v>
      </c>
      <c r="W64" s="700" t="s">
        <v>45</v>
      </c>
      <c r="X64" s="701" t="s">
        <v>45</v>
      </c>
      <c r="Y64" s="701"/>
      <c r="Z64" s="2668" t="s">
        <v>5723</v>
      </c>
      <c r="AA64" s="915" t="s">
        <v>125</v>
      </c>
      <c r="AB64" s="710" t="s">
        <v>40</v>
      </c>
      <c r="AC64" s="710" t="s">
        <v>45</v>
      </c>
      <c r="AD64" s="724" t="s">
        <v>70</v>
      </c>
      <c r="AE64" s="2261" t="s">
        <v>1482</v>
      </c>
      <c r="AF64" s="1275" t="s">
        <v>6761</v>
      </c>
      <c r="AG64" s="723"/>
      <c r="AH64" s="1376" t="str">
        <f t="shared" ca="1" si="6"/>
        <v>N/A</v>
      </c>
    </row>
    <row r="65" spans="1:34" s="2708" customFormat="1" ht="15" customHeight="1">
      <c r="A65" s="749" t="s">
        <v>71</v>
      </c>
      <c r="B65" s="755" t="s">
        <v>100</v>
      </c>
      <c r="C65" s="707" t="s">
        <v>45</v>
      </c>
      <c r="D65" s="710" t="s">
        <v>110</v>
      </c>
      <c r="E65" s="794" t="s">
        <v>449</v>
      </c>
      <c r="F65" s="710" t="s">
        <v>110</v>
      </c>
      <c r="G65" s="709" t="s">
        <v>1146</v>
      </c>
      <c r="H65" s="710" t="s">
        <v>5058</v>
      </c>
      <c r="I65" s="710" t="s">
        <v>47</v>
      </c>
      <c r="J65" s="709" t="s">
        <v>2882</v>
      </c>
      <c r="K65" s="710"/>
      <c r="L65" s="710">
        <v>14</v>
      </c>
      <c r="M65" s="711">
        <f>IFERROR(EDATE(N65,-3),"Invalid procurement method or date entered")</f>
        <v>45047</v>
      </c>
      <c r="N65" s="712">
        <f>IFERROR(EDATE(O65,-L65),"Invalid procurement method or date entered")</f>
        <v>45139</v>
      </c>
      <c r="O65" s="713">
        <v>45566</v>
      </c>
      <c r="P65" s="896">
        <v>60</v>
      </c>
      <c r="Q65" s="896">
        <v>60</v>
      </c>
      <c r="R65" s="937">
        <v>3623815</v>
      </c>
      <c r="S65" s="937">
        <f t="shared" si="7"/>
        <v>4348578</v>
      </c>
      <c r="T65" s="793">
        <v>724763</v>
      </c>
      <c r="U65" s="1493" t="s">
        <v>1488</v>
      </c>
      <c r="V65" s="758" t="s">
        <v>105</v>
      </c>
      <c r="W65" s="710" t="s">
        <v>70</v>
      </c>
      <c r="X65" s="915" t="s">
        <v>6762</v>
      </c>
      <c r="Y65" s="915"/>
      <c r="Z65" s="710" t="s">
        <v>2883</v>
      </c>
      <c r="AA65" s="710" t="s">
        <v>413</v>
      </c>
      <c r="AB65" s="710" t="s">
        <v>40</v>
      </c>
      <c r="AC65" s="750" t="s">
        <v>87</v>
      </c>
      <c r="AD65" s="707" t="s">
        <v>70</v>
      </c>
      <c r="AE65" s="2261" t="s">
        <v>1482</v>
      </c>
      <c r="AF65" s="2379" t="s">
        <v>6763</v>
      </c>
      <c r="AG65" s="794"/>
      <c r="AH65" s="1376" t="str">
        <f t="shared" ca="1" si="6"/>
        <v>N/A</v>
      </c>
    </row>
    <row r="66" spans="1:34" s="2708" customFormat="1" ht="26">
      <c r="A66" s="749" t="s">
        <v>71</v>
      </c>
      <c r="B66" s="706" t="s">
        <v>100</v>
      </c>
      <c r="C66" s="707" t="s">
        <v>5545</v>
      </c>
      <c r="D66" s="710" t="s">
        <v>193</v>
      </c>
      <c r="E66" s="794" t="s">
        <v>449</v>
      </c>
      <c r="F66" s="698" t="s">
        <v>110</v>
      </c>
      <c r="G66" s="1497" t="s">
        <v>450</v>
      </c>
      <c r="H66" s="710" t="s">
        <v>4980</v>
      </c>
      <c r="I66" s="710" t="s">
        <v>34</v>
      </c>
      <c r="J66" s="709" t="s">
        <v>5546</v>
      </c>
      <c r="K66" s="710" t="s">
        <v>452</v>
      </c>
      <c r="L66" s="710">
        <v>12</v>
      </c>
      <c r="M66" s="711">
        <v>44805</v>
      </c>
      <c r="N66" s="712">
        <v>44927</v>
      </c>
      <c r="O66" s="713">
        <v>45383</v>
      </c>
      <c r="P66" s="714">
        <v>120</v>
      </c>
      <c r="Q66" s="715" t="s">
        <v>6764</v>
      </c>
      <c r="R66" s="742">
        <v>70233720</v>
      </c>
      <c r="S66" s="742">
        <f t="shared" si="7"/>
        <v>84280464</v>
      </c>
      <c r="T66" s="793">
        <v>7023327</v>
      </c>
      <c r="U66" s="744" t="s">
        <v>34</v>
      </c>
      <c r="V66" s="758" t="s">
        <v>130</v>
      </c>
      <c r="W66" s="710" t="s">
        <v>70</v>
      </c>
      <c r="X66" s="711">
        <v>43690</v>
      </c>
      <c r="Y66" s="711"/>
      <c r="Z66" s="710" t="s">
        <v>2886</v>
      </c>
      <c r="AA66" s="710" t="s">
        <v>470</v>
      </c>
      <c r="AB66" s="710" t="s">
        <v>40</v>
      </c>
      <c r="AC66" s="710" t="s">
        <v>87</v>
      </c>
      <c r="AD66" s="724" t="s">
        <v>70</v>
      </c>
      <c r="AE66" s="2261" t="s">
        <v>1482</v>
      </c>
      <c r="AF66" s="916" t="s">
        <v>6765</v>
      </c>
      <c r="AG66" s="794"/>
      <c r="AH66" s="1376" t="str">
        <f t="shared" ca="1" si="6"/>
        <v>N/A</v>
      </c>
    </row>
    <row r="67" spans="1:34" s="2709" customFormat="1" ht="15" customHeight="1">
      <c r="A67" s="749">
        <v>44799</v>
      </c>
      <c r="B67" s="737" t="s">
        <v>44</v>
      </c>
      <c r="C67" s="738" t="s">
        <v>67</v>
      </c>
      <c r="D67" s="700" t="s">
        <v>32</v>
      </c>
      <c r="E67" s="794" t="s">
        <v>449</v>
      </c>
      <c r="F67" s="708" t="s">
        <v>361</v>
      </c>
      <c r="G67" s="1497" t="s">
        <v>362</v>
      </c>
      <c r="H67" s="710" t="s">
        <v>127</v>
      </c>
      <c r="I67" s="723" t="s">
        <v>47</v>
      </c>
      <c r="J67" s="709" t="s">
        <v>596</v>
      </c>
      <c r="K67" s="710" t="s">
        <v>597</v>
      </c>
      <c r="L67" s="710">
        <v>3</v>
      </c>
      <c r="M67" s="1383">
        <f>IFERROR(EDATE($N67,-3),"Invalid procurement method or date entered")</f>
        <v>44975</v>
      </c>
      <c r="N67" s="1246">
        <f>IFERROR(EDATE(O67,-L67),"Invalid procurement method or date entered")</f>
        <v>45064</v>
      </c>
      <c r="O67" s="847">
        <v>45156</v>
      </c>
      <c r="P67" s="1175">
        <v>12</v>
      </c>
      <c r="Q67" s="766" t="s">
        <v>50</v>
      </c>
      <c r="R67" s="937">
        <v>1428</v>
      </c>
      <c r="S67" s="937">
        <f t="shared" si="7"/>
        <v>1713.6</v>
      </c>
      <c r="T67" s="793">
        <v>1428</v>
      </c>
      <c r="U67" s="744"/>
      <c r="V67" s="700" t="s">
        <v>84</v>
      </c>
      <c r="W67" s="2591" t="s">
        <v>38</v>
      </c>
      <c r="X67" s="1506" t="s">
        <v>67</v>
      </c>
      <c r="Y67" s="1506"/>
      <c r="Z67" s="700" t="s">
        <v>598</v>
      </c>
      <c r="AA67" s="2455" t="s">
        <v>125</v>
      </c>
      <c r="AB67" s="700" t="s">
        <v>40</v>
      </c>
      <c r="AC67" s="710" t="s">
        <v>154</v>
      </c>
      <c r="AD67" s="710" t="s">
        <v>70</v>
      </c>
      <c r="AE67" s="2261" t="s">
        <v>1482</v>
      </c>
      <c r="AF67" s="735" t="s">
        <v>6766</v>
      </c>
      <c r="AG67" s="741" t="s">
        <v>79</v>
      </c>
      <c r="AH67" s="1376" t="str">
        <f t="shared" ca="1" si="6"/>
        <v>N/A</v>
      </c>
    </row>
    <row r="68" spans="1:34" s="2709" customFormat="1" ht="15" customHeight="1">
      <c r="A68" s="749">
        <v>45051</v>
      </c>
      <c r="B68" s="782" t="s">
        <v>44</v>
      </c>
      <c r="C68" s="738" t="s">
        <v>71</v>
      </c>
      <c r="D68" s="808" t="s">
        <v>6767</v>
      </c>
      <c r="E68" s="794" t="s">
        <v>6768</v>
      </c>
      <c r="F68" s="698" t="s">
        <v>361</v>
      </c>
      <c r="G68" s="1455" t="s">
        <v>1406</v>
      </c>
      <c r="H68" s="710" t="s">
        <v>33</v>
      </c>
      <c r="I68" s="710" t="s">
        <v>47</v>
      </c>
      <c r="J68" s="709" t="s">
        <v>6769</v>
      </c>
      <c r="K68" s="710"/>
      <c r="L68" s="710"/>
      <c r="M68" s="947">
        <v>45051</v>
      </c>
      <c r="N68" s="769"/>
      <c r="O68" s="947">
        <v>45083</v>
      </c>
      <c r="P68" s="738" t="s">
        <v>71</v>
      </c>
      <c r="Q68" s="738" t="s">
        <v>71</v>
      </c>
      <c r="R68" s="937" t="s">
        <v>71</v>
      </c>
      <c r="S68" s="937" t="s">
        <v>71</v>
      </c>
      <c r="T68" s="1303" t="s">
        <v>71</v>
      </c>
      <c r="U68" s="2471" t="s">
        <v>45</v>
      </c>
      <c r="V68" s="710" t="s">
        <v>45</v>
      </c>
      <c r="W68" s="710" t="s">
        <v>71</v>
      </c>
      <c r="X68" s="738" t="s">
        <v>71</v>
      </c>
      <c r="Y68" s="738"/>
      <c r="Z68" s="2545" t="s">
        <v>6770</v>
      </c>
      <c r="AA68" s="2542" t="s">
        <v>94</v>
      </c>
      <c r="AB68" s="710" t="s">
        <v>40</v>
      </c>
      <c r="AC68" s="750"/>
      <c r="AD68" s="710"/>
      <c r="AE68" s="2261" t="s">
        <v>1482</v>
      </c>
      <c r="AF68" s="717" t="s">
        <v>6771</v>
      </c>
      <c r="AG68" s="723"/>
      <c r="AH68" s="1376" t="str">
        <f t="shared" ca="1" si="6"/>
        <v>N/A</v>
      </c>
    </row>
    <row r="69" spans="1:34" s="2710" customFormat="1" ht="15" customHeight="1">
      <c r="A69" s="749"/>
      <c r="B69" s="737" t="s">
        <v>44</v>
      </c>
      <c r="C69" s="710">
        <v>50805</v>
      </c>
      <c r="D69" s="739" t="s">
        <v>32</v>
      </c>
      <c r="E69" s="794" t="s">
        <v>449</v>
      </c>
      <c r="F69" s="1311" t="s">
        <v>630</v>
      </c>
      <c r="G69" s="1455" t="s">
        <v>569</v>
      </c>
      <c r="H69" s="710" t="s">
        <v>33</v>
      </c>
      <c r="I69" s="710" t="s">
        <v>47</v>
      </c>
      <c r="J69" s="709" t="s">
        <v>5515</v>
      </c>
      <c r="K69" s="710" t="s">
        <v>5516</v>
      </c>
      <c r="L69" s="710" t="e">
        <f>IF(OR(V69=#REF!,V69=#REF!,V69=#REF!,V69=#REF!,V69=#REF!,V69=#REF!,V69=#REF!,V69=#REF!),12,IF(OR(V69=#REF!,V69=#REF!,V69=#REF!,V69=#REF!,V69=#REF!,V69=#REF!,V69=#REF!),3,IF(V69=#REF!,1,IF(V69=#REF!,18,IF(OR(V69=#REF!,V69=#REF!,V69=#REF!,V69=#REF!,V69=#REF!),14,"Invalid proposed procurement method")))))</f>
        <v>#REF!</v>
      </c>
      <c r="M69" s="769" t="str">
        <f>IFERROR(EDATE($N69,-3),"Invalid procurement method or date entered")</f>
        <v>Invalid procurement method or date entered</v>
      </c>
      <c r="N69" s="769" t="str">
        <f>IFERROR(EDATE(O69,-L69),"Invalid procurement method or date entered")</f>
        <v>Invalid procurement method or date entered</v>
      </c>
      <c r="O69" s="947">
        <v>45078</v>
      </c>
      <c r="P69" s="740">
        <v>48</v>
      </c>
      <c r="Q69" s="741" t="s">
        <v>258</v>
      </c>
      <c r="R69" s="937">
        <v>1073000</v>
      </c>
      <c r="S69" s="937">
        <f>IF(ISNUMBER(R69),SUM(R69*20%)+R69,"")</f>
        <v>1287600</v>
      </c>
      <c r="T69" s="1289">
        <v>258337</v>
      </c>
      <c r="U69" s="1289" t="s">
        <v>4593</v>
      </c>
      <c r="V69" s="708" t="s">
        <v>84</v>
      </c>
      <c r="W69" s="885" t="s">
        <v>310</v>
      </c>
      <c r="X69" s="892">
        <v>45061</v>
      </c>
      <c r="Y69" s="892"/>
      <c r="Z69" s="710" t="s">
        <v>5517</v>
      </c>
      <c r="AA69" s="915" t="s">
        <v>94</v>
      </c>
      <c r="AB69" s="710" t="s">
        <v>40</v>
      </c>
      <c r="AC69" s="710" t="s">
        <v>69</v>
      </c>
      <c r="AD69" s="738" t="s">
        <v>70</v>
      </c>
      <c r="AE69" s="2261" t="s">
        <v>1482</v>
      </c>
      <c r="AF69" s="717" t="s">
        <v>6772</v>
      </c>
      <c r="AG69" s="723" t="s">
        <v>164</v>
      </c>
      <c r="AH69" s="1376" t="str">
        <f t="shared" ca="1" si="6"/>
        <v>N/A</v>
      </c>
    </row>
    <row r="70" spans="1:34" s="2709" customFormat="1" ht="15" customHeight="1">
      <c r="A70" s="749"/>
      <c r="B70" s="737" t="s">
        <v>5632</v>
      </c>
      <c r="C70" s="738" t="s">
        <v>1102</v>
      </c>
      <c r="D70" s="785" t="s">
        <v>32</v>
      </c>
      <c r="E70" s="794" t="s">
        <v>449</v>
      </c>
      <c r="F70" s="1311" t="s">
        <v>1103</v>
      </c>
      <c r="G70" s="1455" t="s">
        <v>569</v>
      </c>
      <c r="H70" s="710" t="s">
        <v>33</v>
      </c>
      <c r="I70" s="738" t="s">
        <v>34</v>
      </c>
      <c r="J70" s="709" t="s">
        <v>1328</v>
      </c>
      <c r="K70" s="710" t="s">
        <v>1105</v>
      </c>
      <c r="L70" s="710">
        <v>8</v>
      </c>
      <c r="M70" s="769">
        <f>IFERROR(EDATE($N70,-3),"Invalid procurement method or date entered")</f>
        <v>44985</v>
      </c>
      <c r="N70" s="769">
        <f>IFERROR(EDATE(O70,-L70),"Invalid procurement method or date entered")</f>
        <v>45077</v>
      </c>
      <c r="O70" s="947">
        <v>45322</v>
      </c>
      <c r="P70" s="740">
        <v>56</v>
      </c>
      <c r="Q70" s="773" t="s">
        <v>6773</v>
      </c>
      <c r="R70" s="937">
        <v>55000</v>
      </c>
      <c r="S70" s="937">
        <f>IF(ISNUMBER(R70),SUM(R70*20%)+R70,"")</f>
        <v>66000</v>
      </c>
      <c r="T70" s="2529">
        <v>1900</v>
      </c>
      <c r="U70" s="793" t="s">
        <v>34</v>
      </c>
      <c r="V70" s="708" t="s">
        <v>130</v>
      </c>
      <c r="W70" s="885" t="s">
        <v>612</v>
      </c>
      <c r="X70" s="886" t="s">
        <v>67</v>
      </c>
      <c r="Y70" s="886"/>
      <c r="Z70" s="710" t="s">
        <v>1107</v>
      </c>
      <c r="AA70" s="915" t="s">
        <v>1334</v>
      </c>
      <c r="AB70" s="710" t="s">
        <v>40</v>
      </c>
      <c r="AC70" s="710" t="s">
        <v>154</v>
      </c>
      <c r="AD70" s="710" t="s">
        <v>70</v>
      </c>
      <c r="AE70" s="2261" t="s">
        <v>1482</v>
      </c>
      <c r="AF70" s="717" t="s">
        <v>6774</v>
      </c>
      <c r="AG70" s="723" t="s">
        <v>164</v>
      </c>
      <c r="AH70" s="1376" t="str">
        <f t="shared" ca="1" si="6"/>
        <v>N/A</v>
      </c>
    </row>
    <row r="71" spans="1:34" s="2711" customFormat="1" ht="15" customHeight="1">
      <c r="A71" s="749">
        <v>44783</v>
      </c>
      <c r="B71" s="2551" t="s">
        <v>44</v>
      </c>
      <c r="C71" s="2553">
        <v>33185</v>
      </c>
      <c r="D71" s="794" t="s">
        <v>32</v>
      </c>
      <c r="E71" s="794" t="s">
        <v>449</v>
      </c>
      <c r="F71" s="1412" t="s">
        <v>1067</v>
      </c>
      <c r="G71" s="2188" t="s">
        <v>502</v>
      </c>
      <c r="H71" s="888" t="s">
        <v>514</v>
      </c>
      <c r="I71" s="2553" t="s">
        <v>34</v>
      </c>
      <c r="J71" s="709" t="s">
        <v>1259</v>
      </c>
      <c r="K71" s="2553" t="s">
        <v>1260</v>
      </c>
      <c r="L71" s="723" t="e">
        <f>IF(OR(V71=#REF!,V71=#REF!,V71=#REF!,V71=#REF!,V71=#REF!,V71=#REF!,V71=#REF!,V71=#REF!),12,IF(OR(V71=#REF!,V71=#REF!,V71=#REF!,V71=#REF!,V71=#REF!,V71=#REF!,V71=#REF!),3,IF(V71=#REF!,1,IF(V71=#REF!,18,IF(OR(V71=#REF!,V71=#REF!,V71=#REF!,V71=#REF!,V71=#REF!),14,"Invalid proposed procurement method")))))</f>
        <v>#REF!</v>
      </c>
      <c r="M71" s="1246" t="str">
        <f>IFERROR(EDATE($N71,-3),"Invalid procurement method or date entered")</f>
        <v>Invalid procurement method or date entered</v>
      </c>
      <c r="N71" s="769" t="str">
        <f>IFERROR(EDATE(O71,-L71),"Invalid procurement method or date entered")</f>
        <v>Invalid procurement method or date entered</v>
      </c>
      <c r="O71" s="2306">
        <v>45505</v>
      </c>
      <c r="P71" s="751">
        <v>48</v>
      </c>
      <c r="Q71" s="751" t="s">
        <v>6775</v>
      </c>
      <c r="R71" s="1289" t="s">
        <v>1261</v>
      </c>
      <c r="S71" s="937" t="str">
        <f>IF(ISNUMBER(R71),SUM(R71*20%)+R71,"")</f>
        <v/>
      </c>
      <c r="T71" s="719"/>
      <c r="U71" s="1407" t="s">
        <v>34</v>
      </c>
      <c r="V71" s="2553" t="s">
        <v>84</v>
      </c>
      <c r="W71" s="710" t="s">
        <v>62</v>
      </c>
      <c r="X71" s="738" t="s">
        <v>67</v>
      </c>
      <c r="Y71" s="1432"/>
      <c r="Z71" s="751" t="s">
        <v>1262</v>
      </c>
      <c r="AA71" s="2566" t="s">
        <v>1334</v>
      </c>
      <c r="AB71" s="899" t="s">
        <v>40</v>
      </c>
      <c r="AC71" s="723" t="s">
        <v>69</v>
      </c>
      <c r="AD71" s="719" t="s">
        <v>38</v>
      </c>
      <c r="AE71" s="2261" t="s">
        <v>1482</v>
      </c>
      <c r="AF71" s="2532" t="s">
        <v>6776</v>
      </c>
      <c r="AG71" s="741" t="s">
        <v>506</v>
      </c>
      <c r="AH71" s="1376" t="str">
        <f t="shared" ca="1" si="6"/>
        <v>N/A</v>
      </c>
    </row>
    <row r="72" spans="1:34" s="2705" customFormat="1" ht="25.5" customHeight="1">
      <c r="A72" s="749">
        <v>44700</v>
      </c>
      <c r="B72" s="725" t="s">
        <v>56</v>
      </c>
      <c r="C72" s="726" t="s">
        <v>6777</v>
      </c>
      <c r="D72" s="727" t="s">
        <v>122</v>
      </c>
      <c r="E72" s="794" t="s">
        <v>449</v>
      </c>
      <c r="F72" s="1385" t="s">
        <v>122</v>
      </c>
      <c r="G72" s="1451" t="s">
        <v>362</v>
      </c>
      <c r="H72" s="730" t="s">
        <v>4946</v>
      </c>
      <c r="I72" s="726" t="s">
        <v>47</v>
      </c>
      <c r="J72" s="729" t="s">
        <v>6778</v>
      </c>
      <c r="K72" s="726"/>
      <c r="L72" s="730">
        <v>1</v>
      </c>
      <c r="M72" s="731">
        <v>44958</v>
      </c>
      <c r="N72" s="712" t="s">
        <v>60</v>
      </c>
      <c r="O72" s="759">
        <v>45108</v>
      </c>
      <c r="P72" s="760" t="s">
        <v>60</v>
      </c>
      <c r="Q72" s="761" t="s">
        <v>60</v>
      </c>
      <c r="R72" s="742">
        <v>265000</v>
      </c>
      <c r="S72" s="937">
        <f>IF(ISNUMBER(R72),SUM(R72*20%)+R72,"")</f>
        <v>318000</v>
      </c>
      <c r="T72" s="1273"/>
      <c r="U72" s="2475" t="s">
        <v>6226</v>
      </c>
      <c r="V72" s="711" t="s">
        <v>158</v>
      </c>
      <c r="W72" s="711" t="s">
        <v>62</v>
      </c>
      <c r="X72" s="711" t="s">
        <v>60</v>
      </c>
      <c r="Y72" s="711"/>
      <c r="Z72" s="726" t="s">
        <v>2690</v>
      </c>
      <c r="AA72" s="710" t="s">
        <v>312</v>
      </c>
      <c r="AB72" s="762" t="s">
        <v>40</v>
      </c>
      <c r="AC72" s="762" t="s">
        <v>154</v>
      </c>
      <c r="AD72" s="695" t="s">
        <v>70</v>
      </c>
      <c r="AE72" s="2261" t="s">
        <v>1482</v>
      </c>
      <c r="AF72" s="717" t="s">
        <v>6779</v>
      </c>
      <c r="AG72" s="1273"/>
      <c r="AH72" s="1376" t="str">
        <f t="shared" ca="1" si="6"/>
        <v>N/A</v>
      </c>
    </row>
    <row r="73" spans="1:34" s="2712" customFormat="1" ht="15" customHeight="1">
      <c r="A73" s="1166">
        <v>44953</v>
      </c>
      <c r="B73" s="1407" t="s">
        <v>44</v>
      </c>
      <c r="C73" s="1277">
        <v>71562</v>
      </c>
      <c r="D73" s="1311" t="s">
        <v>32</v>
      </c>
      <c r="E73" s="1385" t="s">
        <v>449</v>
      </c>
      <c r="F73" s="1385" t="s">
        <v>361</v>
      </c>
      <c r="G73" s="1455" t="s">
        <v>362</v>
      </c>
      <c r="H73" s="710" t="s">
        <v>46</v>
      </c>
      <c r="I73" s="698" t="s">
        <v>47</v>
      </c>
      <c r="J73" s="2632" t="s">
        <v>6780</v>
      </c>
      <c r="K73" s="698" t="s">
        <v>1170</v>
      </c>
      <c r="L73" s="698" t="s">
        <v>1170</v>
      </c>
      <c r="M73" s="1457" t="str">
        <f>IFERROR(EDATE($N73,-3),"Invalid procurement method or date entered")</f>
        <v>Invalid procurement method or date entered</v>
      </c>
      <c r="N73" s="1457" t="s">
        <v>1170</v>
      </c>
      <c r="O73" s="1457">
        <v>45078</v>
      </c>
      <c r="P73" s="1277">
        <v>2</v>
      </c>
      <c r="Q73" s="1277" t="s">
        <v>1170</v>
      </c>
      <c r="R73" s="1471">
        <v>26272.33</v>
      </c>
      <c r="S73" s="937">
        <f>IF(ISNUMBER(R73),SUM(R73*20%)+R73,"")</f>
        <v>31526.796000000002</v>
      </c>
      <c r="T73" s="1477">
        <v>26272.33</v>
      </c>
      <c r="U73" s="793" t="s">
        <v>6226</v>
      </c>
      <c r="V73" s="912" t="s">
        <v>75</v>
      </c>
      <c r="W73" s="1477" t="s">
        <v>38</v>
      </c>
      <c r="X73" s="1277" t="s">
        <v>38</v>
      </c>
      <c r="Y73" s="1277"/>
      <c r="Z73" s="698" t="s">
        <v>5794</v>
      </c>
      <c r="AA73" s="2384" t="s">
        <v>5005</v>
      </c>
      <c r="AB73" s="698" t="s">
        <v>40</v>
      </c>
      <c r="AC73" s="698" t="s">
        <v>1170</v>
      </c>
      <c r="AD73" s="698" t="s">
        <v>70</v>
      </c>
      <c r="AE73" s="2261" t="s">
        <v>1482</v>
      </c>
      <c r="AF73" s="1449" t="s">
        <v>6781</v>
      </c>
      <c r="AG73" s="698" t="s">
        <v>1170</v>
      </c>
      <c r="AH73" s="1376" t="str">
        <f t="shared" ca="1" si="6"/>
        <v>N/A</v>
      </c>
    </row>
    <row r="74" spans="1:34" s="2712" customFormat="1" ht="15" customHeight="1">
      <c r="A74" s="248">
        <v>45051</v>
      </c>
      <c r="B74" s="962" t="s">
        <v>44</v>
      </c>
      <c r="C74" s="4" t="s">
        <v>880</v>
      </c>
      <c r="D74" s="31" t="s">
        <v>57</v>
      </c>
      <c r="E74" s="283" t="s">
        <v>449</v>
      </c>
      <c r="F74" s="290" t="s">
        <v>630</v>
      </c>
      <c r="G74" s="290"/>
      <c r="H74" s="710" t="s">
        <v>4622</v>
      </c>
      <c r="I74" s="12" t="s">
        <v>268</v>
      </c>
      <c r="J74" s="268" t="s">
        <v>881</v>
      </c>
      <c r="K74" s="16" t="s">
        <v>5449</v>
      </c>
      <c r="L74" s="16"/>
      <c r="M74" s="182">
        <v>43556</v>
      </c>
      <c r="N74" s="182"/>
      <c r="O74" s="182">
        <v>43922</v>
      </c>
      <c r="P74" s="27">
        <v>48</v>
      </c>
      <c r="Q74" s="766" t="s">
        <v>6782</v>
      </c>
      <c r="R74" s="2368">
        <v>100000</v>
      </c>
      <c r="S74" s="31" t="s">
        <v>176</v>
      </c>
      <c r="T74" s="350" t="s">
        <v>38</v>
      </c>
      <c r="U74" s="294" t="s">
        <v>67</v>
      </c>
      <c r="V74" s="125" t="s">
        <v>270</v>
      </c>
      <c r="W74" s="12"/>
      <c r="X74" s="5"/>
      <c r="Y74" s="5"/>
      <c r="Z74" s="2713" t="s">
        <v>6783</v>
      </c>
      <c r="AA74" s="202" t="s">
        <v>283</v>
      </c>
      <c r="AB74" s="790" t="s">
        <v>40</v>
      </c>
      <c r="AC74" s="695" t="s">
        <v>154</v>
      </c>
      <c r="AD74" s="752"/>
      <c r="AE74" s="2261" t="s">
        <v>1482</v>
      </c>
      <c r="AF74" s="1177" t="s">
        <v>6784</v>
      </c>
      <c r="AG74" s="719"/>
      <c r="AH74" s="1376" t="str">
        <f t="shared" ca="1" si="6"/>
        <v>N/A</v>
      </c>
    </row>
    <row r="75" spans="1:34" s="2712" customFormat="1" ht="15" customHeight="1">
      <c r="A75" s="749" t="s">
        <v>71</v>
      </c>
      <c r="B75" s="737" t="s">
        <v>44</v>
      </c>
      <c r="C75" s="738" t="s">
        <v>45</v>
      </c>
      <c r="D75" s="739" t="s">
        <v>32</v>
      </c>
      <c r="E75" s="794" t="s">
        <v>449</v>
      </c>
      <c r="F75" s="739" t="s">
        <v>361</v>
      </c>
      <c r="G75" s="1455" t="s">
        <v>569</v>
      </c>
      <c r="H75" s="808" t="s">
        <v>33</v>
      </c>
      <c r="I75" s="838" t="s">
        <v>47</v>
      </c>
      <c r="J75" s="931" t="s">
        <v>222</v>
      </c>
      <c r="K75" s="710" t="s">
        <v>5508</v>
      </c>
      <c r="L75" s="710" t="e">
        <f>IF(OR(V75=#REF!,V75=#REF!,V75=#REF!,V75=#REF!,V75=#REF!,V75=#REF!,V75=#REF!,V75=#REF!),12,IF(OR(V75=#REF!,V75=#REF!,V75=#REF!,V75=#REF!,V75=#REF!,V75=#REF!,V75=#REF!),3,IF(V75=#REF!,1,IF(V75=#REF!,18,IF(OR(V75=#REF!,V75=#REF!,V75=#REF!,V75=#REF!,V75=#REF!),14,"Invalid proposed procurement method")))))</f>
        <v>#REF!</v>
      </c>
      <c r="M75" s="769" t="str">
        <f>IFERROR(EDATE($N75,-3),"Invalid procurement method or date entered")</f>
        <v>Invalid procurement method or date entered</v>
      </c>
      <c r="N75" s="769" t="str">
        <f>IFERROR(EDATE(O75,-L75),"Invalid procurement method or date entered")</f>
        <v>Invalid procurement method or date entered</v>
      </c>
      <c r="O75" s="947">
        <v>45023</v>
      </c>
      <c r="P75" s="740">
        <v>48</v>
      </c>
      <c r="Q75" s="766" t="s">
        <v>258</v>
      </c>
      <c r="R75" s="937">
        <v>96000</v>
      </c>
      <c r="S75" s="937">
        <f t="shared" ref="S75:S91" si="8">IF(ISNUMBER(R75),SUM(R75*20%)+R75,"")</f>
        <v>115200</v>
      </c>
      <c r="T75" s="1255">
        <v>32000</v>
      </c>
      <c r="U75" s="793" t="s">
        <v>4593</v>
      </c>
      <c r="V75" s="708" t="s">
        <v>84</v>
      </c>
      <c r="W75" s="836" t="s">
        <v>62</v>
      </c>
      <c r="X75" s="837" t="s">
        <v>45</v>
      </c>
      <c r="Y75" s="837"/>
      <c r="Z75" s="710" t="s">
        <v>5509</v>
      </c>
      <c r="AA75" s="2275" t="s">
        <v>77</v>
      </c>
      <c r="AB75" s="710" t="s">
        <v>40</v>
      </c>
      <c r="AC75" s="710" t="s">
        <v>69</v>
      </c>
      <c r="AD75" s="710" t="s">
        <v>70</v>
      </c>
      <c r="AE75" s="2261" t="s">
        <v>1482</v>
      </c>
      <c r="AF75" s="2631" t="s">
        <v>6785</v>
      </c>
      <c r="AG75" s="723" t="s">
        <v>164</v>
      </c>
      <c r="AH75" s="1376" t="str">
        <f t="shared" ca="1" si="6"/>
        <v>N/A</v>
      </c>
    </row>
    <row r="76" spans="1:34" s="2714" customFormat="1" ht="15" customHeight="1">
      <c r="A76" s="749" t="s">
        <v>71</v>
      </c>
      <c r="B76" s="737" t="s">
        <v>44</v>
      </c>
      <c r="C76" s="738" t="s">
        <v>4009</v>
      </c>
      <c r="D76" s="739" t="s">
        <v>32</v>
      </c>
      <c r="E76" s="794" t="s">
        <v>449</v>
      </c>
      <c r="F76" s="1311" t="s">
        <v>361</v>
      </c>
      <c r="G76" s="2192" t="s">
        <v>569</v>
      </c>
      <c r="H76" s="710" t="s">
        <v>33</v>
      </c>
      <c r="I76" s="710" t="s">
        <v>34</v>
      </c>
      <c r="J76" s="931" t="s">
        <v>4010</v>
      </c>
      <c r="K76" s="710"/>
      <c r="L76" s="710" t="e">
        <f>IF(OR(V76=#REF!,V76=#REF!,V76=#REF!,V76=#REF!,V76=#REF!,V76=#REF!,V76=#REF!,V76=#REF!),12,IF(OR(V76=#REF!,V76=#REF!,V76=#REF!,V76=#REF!,V76=#REF!,V76=#REF!,V76=#REF!),3,IF(V76=#REF!,1,IF(V76=#REF!,18,IF(OR(V76=#REF!,V76=#REF!,V76=#REF!,V76=#REF!,V76=#REF!),14,"Invalid proposed procurement method")))))</f>
        <v>#REF!</v>
      </c>
      <c r="M76" s="769" t="str">
        <f>IFERROR(EDATE($N76,-3),"Invalid procurement method or date entered")</f>
        <v>Invalid procurement method or date entered</v>
      </c>
      <c r="N76" s="769" t="str">
        <f>IFERROR(EDATE(O76,-L76),"Invalid procurement method or date entered")</f>
        <v>Invalid procurement method or date entered</v>
      </c>
      <c r="O76" s="769">
        <v>45070</v>
      </c>
      <c r="P76" s="740">
        <v>48</v>
      </c>
      <c r="Q76" s="741" t="s">
        <v>626</v>
      </c>
      <c r="R76" s="937">
        <v>63312</v>
      </c>
      <c r="S76" s="937">
        <f t="shared" si="8"/>
        <v>75974.399999999994</v>
      </c>
      <c r="T76" s="850">
        <v>21104</v>
      </c>
      <c r="U76" s="793" t="s">
        <v>34</v>
      </c>
      <c r="V76" s="708" t="s">
        <v>130</v>
      </c>
      <c r="W76" s="731" t="s">
        <v>62</v>
      </c>
      <c r="X76" s="731" t="s">
        <v>67</v>
      </c>
      <c r="Y76" s="731"/>
      <c r="Z76" s="710" t="s">
        <v>5335</v>
      </c>
      <c r="AA76" s="915" t="s">
        <v>357</v>
      </c>
      <c r="AB76" s="710" t="s">
        <v>40</v>
      </c>
      <c r="AC76" s="710" t="s">
        <v>87</v>
      </c>
      <c r="AD76" s="710" t="s">
        <v>70</v>
      </c>
      <c r="AE76" s="2261" t="s">
        <v>1482</v>
      </c>
      <c r="AF76" s="717" t="s">
        <v>6786</v>
      </c>
      <c r="AG76" s="723" t="s">
        <v>443</v>
      </c>
      <c r="AH76" s="1376" t="str">
        <f t="shared" ca="1" si="6"/>
        <v>N/A</v>
      </c>
    </row>
    <row r="77" spans="1:34" s="2714" customFormat="1" ht="15" customHeight="1">
      <c r="A77" s="749" t="s">
        <v>71</v>
      </c>
      <c r="B77" s="706" t="s">
        <v>100</v>
      </c>
      <c r="C77" s="1359">
        <v>66032</v>
      </c>
      <c r="D77" s="755" t="s">
        <v>110</v>
      </c>
      <c r="E77" s="794" t="s">
        <v>449</v>
      </c>
      <c r="F77" s="698" t="s">
        <v>110</v>
      </c>
      <c r="G77" s="1449" t="s">
        <v>450</v>
      </c>
      <c r="H77" s="710" t="s">
        <v>4980</v>
      </c>
      <c r="I77" s="710" t="s">
        <v>47</v>
      </c>
      <c r="J77" s="709" t="s">
        <v>5460</v>
      </c>
      <c r="K77" s="710" t="s">
        <v>71</v>
      </c>
      <c r="L77" s="710">
        <v>12</v>
      </c>
      <c r="M77" s="711">
        <f>IFERROR(EDATE(N77,-3),"Invalid procurement method or date entered")</f>
        <v>44654</v>
      </c>
      <c r="N77" s="712">
        <f>IFERROR(EDATE(O77,-L77),"Invalid procurement method or date entered")</f>
        <v>44745</v>
      </c>
      <c r="O77" s="713">
        <v>45110</v>
      </c>
      <c r="P77" s="775">
        <v>36</v>
      </c>
      <c r="Q77" s="776" t="s">
        <v>160</v>
      </c>
      <c r="R77" s="937">
        <v>75000</v>
      </c>
      <c r="S77" s="937">
        <f t="shared" si="8"/>
        <v>90000</v>
      </c>
      <c r="T77" s="1257">
        <v>25000</v>
      </c>
      <c r="U77" s="794" t="s">
        <v>176</v>
      </c>
      <c r="V77" s="716" t="s">
        <v>176</v>
      </c>
      <c r="W77" s="710" t="s">
        <v>310</v>
      </c>
      <c r="X77" s="711" t="s">
        <v>5461</v>
      </c>
      <c r="Y77" s="711"/>
      <c r="Z77" s="710" t="s">
        <v>5462</v>
      </c>
      <c r="AA77" s="707" t="s">
        <v>254</v>
      </c>
      <c r="AB77" s="710" t="s">
        <v>40</v>
      </c>
      <c r="AC77" s="707" t="s">
        <v>45</v>
      </c>
      <c r="AD77" s="707" t="s">
        <v>70</v>
      </c>
      <c r="AE77" s="2261" t="s">
        <v>1482</v>
      </c>
      <c r="AF77" s="916" t="s">
        <v>4185</v>
      </c>
      <c r="AG77" s="794"/>
      <c r="AH77" s="1376" t="str">
        <f t="shared" ca="1" si="6"/>
        <v>N/A</v>
      </c>
    </row>
    <row r="78" spans="1:34" s="2712" customFormat="1" ht="15" customHeight="1">
      <c r="A78" s="749">
        <v>45071</v>
      </c>
      <c r="B78" s="737" t="s">
        <v>44</v>
      </c>
      <c r="C78" s="738"/>
      <c r="D78" s="739" t="s">
        <v>32</v>
      </c>
      <c r="E78" s="794" t="s">
        <v>449</v>
      </c>
      <c r="F78" s="739" t="s">
        <v>361</v>
      </c>
      <c r="G78" s="1449" t="s">
        <v>569</v>
      </c>
      <c r="H78" s="710" t="s">
        <v>33</v>
      </c>
      <c r="I78" s="710" t="s">
        <v>47</v>
      </c>
      <c r="J78" s="709" t="s">
        <v>6787</v>
      </c>
      <c r="K78" s="710" t="s">
        <v>5487</v>
      </c>
      <c r="L78" s="710">
        <v>16</v>
      </c>
      <c r="M78" s="769">
        <f>IFERROR(EDATE($N78,-3),"Invalid procurement method or date entered")</f>
        <v>44593</v>
      </c>
      <c r="N78" s="711">
        <f>IFERROR(EDATE(O78,-L78),"Invalid procurement method or date entered")</f>
        <v>44682</v>
      </c>
      <c r="O78" s="947">
        <v>45170</v>
      </c>
      <c r="P78" s="740"/>
      <c r="Q78" s="766"/>
      <c r="R78" s="937"/>
      <c r="S78" s="937" t="str">
        <f t="shared" si="8"/>
        <v/>
      </c>
      <c r="T78" s="850"/>
      <c r="U78" s="850" t="s">
        <v>45</v>
      </c>
      <c r="V78" s="739" t="s">
        <v>158</v>
      </c>
      <c r="W78" s="836" t="s">
        <v>70</v>
      </c>
      <c r="X78" s="840"/>
      <c r="Y78" s="840" t="s">
        <v>180</v>
      </c>
      <c r="Z78" s="710" t="s">
        <v>6788</v>
      </c>
      <c r="AA78" s="915" t="s">
        <v>784</v>
      </c>
      <c r="AB78" s="710" t="s">
        <v>40</v>
      </c>
      <c r="AC78" s="710" t="s">
        <v>87</v>
      </c>
      <c r="AD78" s="710" t="s">
        <v>70</v>
      </c>
      <c r="AE78" s="2261" t="s">
        <v>1482</v>
      </c>
      <c r="AF78" s="717" t="s">
        <v>6789</v>
      </c>
      <c r="AG78" s="723" t="s">
        <v>96</v>
      </c>
      <c r="AH78" s="1376" t="str">
        <f t="shared" ca="1" si="6"/>
        <v>N/A</v>
      </c>
    </row>
    <row r="79" spans="1:34" s="2323" customFormat="1" ht="25.5" customHeight="1">
      <c r="A79" s="749">
        <v>44810</v>
      </c>
      <c r="B79" s="726" t="s">
        <v>56</v>
      </c>
      <c r="C79" s="726" t="s">
        <v>45</v>
      </c>
      <c r="D79" s="730" t="s">
        <v>57</v>
      </c>
      <c r="E79" s="730" t="s">
        <v>449</v>
      </c>
      <c r="F79" s="808" t="s">
        <v>630</v>
      </c>
      <c r="G79" s="1451" t="s">
        <v>1319</v>
      </c>
      <c r="H79" s="730" t="s">
        <v>4946</v>
      </c>
      <c r="I79" s="710" t="s">
        <v>47</v>
      </c>
      <c r="J79" s="2383" t="s">
        <v>6790</v>
      </c>
      <c r="K79" s="710"/>
      <c r="L79" s="710" t="e">
        <f>IF(OR(V79=#REF!,V79=#REF!,V79=#REF!,V79=#REF!,V79=#REF!,V79=#REF!,V79=#REF!,V79=#REF!),12,IF(OR(V79=#REF!,V79=#REF!,V79=#REF!,V79=#REF!,V79=#REF!,V79=#REF!,V79=#REF!),3,IF(V79=#REF!,1,IF(V79=#REF!,18,IF(OR(V79=#REF!,V79=#REF!,V79=#REF!,V79=#REF!,V79=#REF!),14,"Invalid proposed procurement method")))))</f>
        <v>#REF!</v>
      </c>
      <c r="M79" s="711" t="s">
        <v>60</v>
      </c>
      <c r="N79" s="711" t="s">
        <v>60</v>
      </c>
      <c r="O79" s="711" t="s">
        <v>60</v>
      </c>
      <c r="P79" s="738">
        <v>1</v>
      </c>
      <c r="Q79" s="738">
        <v>1</v>
      </c>
      <c r="R79" s="772">
        <v>100000</v>
      </c>
      <c r="S79" s="937">
        <f t="shared" si="8"/>
        <v>120000</v>
      </c>
      <c r="T79" s="730"/>
      <c r="U79" s="2475" t="s">
        <v>6226</v>
      </c>
      <c r="V79" s="711" t="s">
        <v>61</v>
      </c>
      <c r="W79" s="711" t="s">
        <v>310</v>
      </c>
      <c r="X79" s="710" t="s">
        <v>45</v>
      </c>
      <c r="Y79" s="710"/>
      <c r="Z79" s="710" t="s">
        <v>4932</v>
      </c>
      <c r="AA79" s="710" t="s">
        <v>312</v>
      </c>
      <c r="AB79" s="762" t="s">
        <v>40</v>
      </c>
      <c r="AC79" s="2276"/>
      <c r="AD79" s="1332" t="s">
        <v>70</v>
      </c>
      <c r="AE79" s="2261" t="s">
        <v>1482</v>
      </c>
      <c r="AF79" s="852" t="s">
        <v>6791</v>
      </c>
      <c r="AG79" s="854"/>
      <c r="AH79" s="1376" t="str">
        <f t="shared" ca="1" si="6"/>
        <v>N/A</v>
      </c>
    </row>
    <row r="80" spans="1:34" s="901" customFormat="1" ht="25.5" customHeight="1">
      <c r="A80" s="749">
        <v>44972</v>
      </c>
      <c r="B80" s="782" t="s">
        <v>44</v>
      </c>
      <c r="C80" s="738" t="s">
        <v>45</v>
      </c>
      <c r="D80" s="808" t="s">
        <v>32</v>
      </c>
      <c r="E80" s="794" t="s">
        <v>449</v>
      </c>
      <c r="F80" s="739" t="s">
        <v>361</v>
      </c>
      <c r="G80" s="2192" t="s">
        <v>1440</v>
      </c>
      <c r="H80" s="710" t="s">
        <v>127</v>
      </c>
      <c r="I80" s="710" t="s">
        <v>34</v>
      </c>
      <c r="J80" s="931" t="s">
        <v>1441</v>
      </c>
      <c r="K80" s="710" t="s">
        <v>1442</v>
      </c>
      <c r="L80" s="710">
        <v>5</v>
      </c>
      <c r="M80" s="769">
        <f>IFERROR(EDATE($N80,-3),"Invalid procurement method or date entered")</f>
        <v>45139</v>
      </c>
      <c r="N80" s="769">
        <f>IFERROR(EDATE(O80,-L80),"Invalid procurement method or date entered")</f>
        <v>45231</v>
      </c>
      <c r="O80" s="769">
        <v>45383</v>
      </c>
      <c r="P80" s="710">
        <v>48</v>
      </c>
      <c r="Q80" s="710" t="s">
        <v>5010</v>
      </c>
      <c r="R80" s="742">
        <v>100000</v>
      </c>
      <c r="S80" s="937">
        <f t="shared" si="8"/>
        <v>120000</v>
      </c>
      <c r="T80" s="793">
        <v>25000</v>
      </c>
      <c r="U80" s="1477" t="s">
        <v>34</v>
      </c>
      <c r="V80" s="710" t="s">
        <v>130</v>
      </c>
      <c r="W80" s="882" t="s">
        <v>38</v>
      </c>
      <c r="X80" s="882" t="s">
        <v>67</v>
      </c>
      <c r="Y80" s="882"/>
      <c r="Z80" s="710" t="s">
        <v>5015</v>
      </c>
      <c r="AA80" s="2439" t="s">
        <v>1445</v>
      </c>
      <c r="AB80" s="1333" t="s">
        <v>40</v>
      </c>
      <c r="AC80" s="750"/>
      <c r="AD80" s="710"/>
      <c r="AE80" s="2261" t="s">
        <v>1482</v>
      </c>
      <c r="AF80" s="2594" t="s">
        <v>6792</v>
      </c>
      <c r="AG80" s="741" t="s">
        <v>127</v>
      </c>
      <c r="AH80" s="1376" t="str">
        <f t="shared" ca="1" si="6"/>
        <v>N/A</v>
      </c>
    </row>
    <row r="81" spans="1:36" s="2715" customFormat="1" ht="25.5" customHeight="1">
      <c r="A81" s="749" t="s">
        <v>71</v>
      </c>
      <c r="B81" s="706" t="s">
        <v>100</v>
      </c>
      <c r="C81" s="707" t="s">
        <v>6793</v>
      </c>
      <c r="D81" s="708" t="s">
        <v>122</v>
      </c>
      <c r="E81" s="794" t="s">
        <v>449</v>
      </c>
      <c r="F81" s="698" t="s">
        <v>122</v>
      </c>
      <c r="G81" s="1497" t="s">
        <v>5217</v>
      </c>
      <c r="H81" s="710" t="s">
        <v>4980</v>
      </c>
      <c r="I81" s="710" t="s">
        <v>34</v>
      </c>
      <c r="J81" s="931" t="s">
        <v>3675</v>
      </c>
      <c r="K81" s="710" t="s">
        <v>452</v>
      </c>
      <c r="L81" s="710">
        <v>12</v>
      </c>
      <c r="M81" s="711">
        <f>IFERROR(EDATE(N81,-3),"Invalid procurement method or date entered")</f>
        <v>44713</v>
      </c>
      <c r="N81" s="712">
        <f>IFERROR(EDATE(O81,-L81),"Invalid procurement method or date entered")</f>
        <v>44805</v>
      </c>
      <c r="O81" s="713">
        <v>45170</v>
      </c>
      <c r="P81" s="775">
        <v>36</v>
      </c>
      <c r="Q81" s="715" t="s">
        <v>816</v>
      </c>
      <c r="R81" s="742">
        <v>70000</v>
      </c>
      <c r="S81" s="937">
        <f t="shared" si="8"/>
        <v>84000</v>
      </c>
      <c r="T81" s="793">
        <v>23333</v>
      </c>
      <c r="U81" s="793" t="s">
        <v>34</v>
      </c>
      <c r="V81" s="708" t="s">
        <v>130</v>
      </c>
      <c r="W81" s="710" t="s">
        <v>38</v>
      </c>
      <c r="X81" s="710" t="s">
        <v>71</v>
      </c>
      <c r="Y81" s="710"/>
      <c r="Z81" s="710" t="s">
        <v>5359</v>
      </c>
      <c r="AA81" s="710" t="s">
        <v>1445</v>
      </c>
      <c r="AB81" s="784" t="s">
        <v>40</v>
      </c>
      <c r="AC81" s="710" t="s">
        <v>69</v>
      </c>
      <c r="AD81" s="707" t="s">
        <v>70</v>
      </c>
      <c r="AE81" s="2261" t="s">
        <v>1482</v>
      </c>
      <c r="AF81" s="2601" t="s">
        <v>6794</v>
      </c>
      <c r="AG81" s="794"/>
      <c r="AH81" s="1376" t="str">
        <f t="shared" ca="1" si="6"/>
        <v>N/A</v>
      </c>
    </row>
    <row r="82" spans="1:36" s="901" customFormat="1" ht="25.5" customHeight="1">
      <c r="A82" s="749"/>
      <c r="B82" s="725" t="s">
        <v>56</v>
      </c>
      <c r="C82" s="726" t="s">
        <v>60</v>
      </c>
      <c r="D82" s="727" t="s">
        <v>57</v>
      </c>
      <c r="E82" s="794" t="s">
        <v>449</v>
      </c>
      <c r="F82" s="739" t="s">
        <v>630</v>
      </c>
      <c r="G82" s="1451" t="s">
        <v>1319</v>
      </c>
      <c r="H82" s="730" t="s">
        <v>5027</v>
      </c>
      <c r="I82" s="726" t="s">
        <v>34</v>
      </c>
      <c r="J82" s="2607" t="s">
        <v>5464</v>
      </c>
      <c r="K82" s="726" t="s">
        <v>6795</v>
      </c>
      <c r="L82" s="730">
        <v>12</v>
      </c>
      <c r="M82" s="731">
        <v>44896</v>
      </c>
      <c r="N82" s="712">
        <f>IF(O82="tbc","",(IFERROR(EDATE(O82,-L82),"Invalid procurement method or date entered")))</f>
        <v>44747</v>
      </c>
      <c r="O82" s="759">
        <v>45112</v>
      </c>
      <c r="P82" s="760">
        <v>24</v>
      </c>
      <c r="Q82" s="761">
        <v>24</v>
      </c>
      <c r="R82" s="742" t="s">
        <v>60</v>
      </c>
      <c r="S82" s="937" t="str">
        <f t="shared" si="8"/>
        <v/>
      </c>
      <c r="T82" s="924"/>
      <c r="U82" s="2475" t="s">
        <v>6226</v>
      </c>
      <c r="V82" s="711" t="s">
        <v>61</v>
      </c>
      <c r="W82" s="711" t="s">
        <v>310</v>
      </c>
      <c r="X82" s="711" t="s">
        <v>60</v>
      </c>
      <c r="Y82" s="1498"/>
      <c r="Z82" s="726" t="s">
        <v>5379</v>
      </c>
      <c r="AA82" s="730" t="s">
        <v>561</v>
      </c>
      <c r="AB82" s="762" t="s">
        <v>40</v>
      </c>
      <c r="AC82" s="762" t="s">
        <v>69</v>
      </c>
      <c r="AD82" s="695" t="s">
        <v>70</v>
      </c>
      <c r="AE82" s="2261" t="s">
        <v>1482</v>
      </c>
      <c r="AF82" s="2535" t="s">
        <v>6796</v>
      </c>
      <c r="AG82" s="924"/>
      <c r="AH82" s="1376" t="str">
        <f t="shared" ca="1" si="6"/>
        <v>N/A</v>
      </c>
      <c r="AI82" s="2704"/>
      <c r="AJ82" s="901">
        <v>1</v>
      </c>
    </row>
    <row r="83" spans="1:36" s="2712" customFormat="1" ht="15" customHeight="1">
      <c r="A83" s="749"/>
      <c r="B83" s="737" t="s">
        <v>44</v>
      </c>
      <c r="C83" s="738" t="s">
        <v>3696</v>
      </c>
      <c r="D83" s="739" t="s">
        <v>32</v>
      </c>
      <c r="E83" s="794" t="s">
        <v>449</v>
      </c>
      <c r="F83" s="1311" t="s">
        <v>361</v>
      </c>
      <c r="G83" s="1455" t="s">
        <v>569</v>
      </c>
      <c r="H83" s="710" t="s">
        <v>33</v>
      </c>
      <c r="I83" s="738" t="s">
        <v>34</v>
      </c>
      <c r="J83" s="709" t="s">
        <v>1925</v>
      </c>
      <c r="K83" s="710" t="s">
        <v>5412</v>
      </c>
      <c r="L83" s="710" t="e">
        <f>IF(OR(V83=#REF!,V83=#REF!,V83=#REF!,V83=#REF!,V83=#REF!,V83=#REF!,V83=#REF!,V83=#REF!),12,IF(OR(V83=#REF!,V83=#REF!,V83=#REF!,V83=#REF!,V83=#REF!,V83=#REF!,V83=#REF!),3,IF(V83=#REF!,1,IF(V83=#REF!,18,IF(OR(V83=#REF!,V83=#REF!,V83=#REF!,V83=#REF!,V83=#REF!),14,"Invalid proposed procurement method")))))</f>
        <v>#REF!</v>
      </c>
      <c r="M83" s="769" t="str">
        <f>IFERROR(EDATE($N83,-3),"Invalid procurement method or date entered")</f>
        <v>Invalid procurement method or date entered</v>
      </c>
      <c r="N83" s="769" t="str">
        <f>IFERROR(EDATE(O83,-L83),"Invalid procurement method or date entered")</f>
        <v>Invalid procurement method or date entered</v>
      </c>
      <c r="O83" s="947">
        <v>45352</v>
      </c>
      <c r="P83" s="740">
        <v>96</v>
      </c>
      <c r="Q83" s="766" t="s">
        <v>6797</v>
      </c>
      <c r="R83" s="937">
        <v>75750</v>
      </c>
      <c r="S83" s="937">
        <f t="shared" si="8"/>
        <v>90900</v>
      </c>
      <c r="T83" s="1255"/>
      <c r="U83" s="744" t="s">
        <v>34</v>
      </c>
      <c r="V83" s="708" t="s">
        <v>130</v>
      </c>
      <c r="W83" s="885" t="s">
        <v>62</v>
      </c>
      <c r="X83" s="886" t="s">
        <v>67</v>
      </c>
      <c r="Y83" s="738"/>
      <c r="Z83" s="710" t="s">
        <v>1928</v>
      </c>
      <c r="AA83" s="2275" t="s">
        <v>1445</v>
      </c>
      <c r="AB83" s="710" t="s">
        <v>40</v>
      </c>
      <c r="AC83" s="710" t="s">
        <v>154</v>
      </c>
      <c r="AD83" s="710" t="s">
        <v>70</v>
      </c>
      <c r="AE83" s="2261" t="s">
        <v>1482</v>
      </c>
      <c r="AF83" s="717" t="s">
        <v>6798</v>
      </c>
      <c r="AG83" s="723" t="s">
        <v>220</v>
      </c>
      <c r="AH83" s="1376" t="str">
        <f t="shared" ca="1" si="6"/>
        <v>N/A</v>
      </c>
      <c r="AI83" s="901"/>
      <c r="AJ83" s="901"/>
    </row>
    <row r="84" spans="1:36" s="2712" customFormat="1" ht="15" customHeight="1">
      <c r="A84" s="749">
        <v>44977</v>
      </c>
      <c r="B84" s="2301" t="s">
        <v>44</v>
      </c>
      <c r="C84" s="876">
        <v>74624</v>
      </c>
      <c r="D84" s="876" t="s">
        <v>57</v>
      </c>
      <c r="E84" s="773" t="s">
        <v>449</v>
      </c>
      <c r="F84" s="2287" t="s">
        <v>1270</v>
      </c>
      <c r="G84" s="1490" t="s">
        <v>6799</v>
      </c>
      <c r="H84" s="2172" t="s">
        <v>46</v>
      </c>
      <c r="I84" s="876" t="s">
        <v>47</v>
      </c>
      <c r="J84" s="709" t="s">
        <v>6800</v>
      </c>
      <c r="K84" s="876" t="s">
        <v>6801</v>
      </c>
      <c r="L84" s="876">
        <v>3</v>
      </c>
      <c r="M84" s="887">
        <v>44987</v>
      </c>
      <c r="N84" s="887">
        <v>44987</v>
      </c>
      <c r="O84" s="887">
        <v>45078</v>
      </c>
      <c r="P84" s="810">
        <v>19</v>
      </c>
      <c r="Q84" s="1282" t="s">
        <v>45</v>
      </c>
      <c r="R84" s="937">
        <v>69000</v>
      </c>
      <c r="S84" s="937">
        <f t="shared" si="8"/>
        <v>82800</v>
      </c>
      <c r="T84" s="793">
        <v>69000</v>
      </c>
      <c r="U84" s="2527"/>
      <c r="V84" s="829" t="s">
        <v>84</v>
      </c>
      <c r="W84" s="876" t="s">
        <v>1170</v>
      </c>
      <c r="X84" s="876" t="s">
        <v>1170</v>
      </c>
      <c r="Y84" s="876"/>
      <c r="Z84" s="710" t="s">
        <v>4919</v>
      </c>
      <c r="AA84" s="915" t="s">
        <v>5005</v>
      </c>
      <c r="AB84" s="876" t="s">
        <v>40</v>
      </c>
      <c r="AC84" s="876" t="s">
        <v>1170</v>
      </c>
      <c r="AD84" s="876" t="s">
        <v>70</v>
      </c>
      <c r="AE84" s="2261" t="s">
        <v>1482</v>
      </c>
      <c r="AF84" s="2716" t="s">
        <v>6781</v>
      </c>
      <c r="AG84" s="2380" t="s">
        <v>46</v>
      </c>
      <c r="AH84" s="1376" t="str">
        <f t="shared" ca="1" si="6"/>
        <v>N/A</v>
      </c>
      <c r="AI84" s="901"/>
      <c r="AJ84" s="901"/>
    </row>
    <row r="85" spans="1:36" s="2413" customFormat="1" ht="65">
      <c r="A85" s="749">
        <v>44747</v>
      </c>
      <c r="B85" s="726" t="s">
        <v>56</v>
      </c>
      <c r="C85" s="726">
        <v>59449</v>
      </c>
      <c r="D85" s="726" t="s">
        <v>57</v>
      </c>
      <c r="E85" s="730" t="s">
        <v>449</v>
      </c>
      <c r="F85" s="1385" t="s">
        <v>630</v>
      </c>
      <c r="G85" s="1451" t="s">
        <v>362</v>
      </c>
      <c r="H85" s="1385" t="s">
        <v>4946</v>
      </c>
      <c r="I85" s="726" t="s">
        <v>47</v>
      </c>
      <c r="J85" s="729" t="s">
        <v>6802</v>
      </c>
      <c r="K85" s="726"/>
      <c r="L85" s="730">
        <v>3</v>
      </c>
      <c r="M85" s="731">
        <v>44805</v>
      </c>
      <c r="N85" s="712" t="s">
        <v>60</v>
      </c>
      <c r="O85" s="759">
        <v>44958</v>
      </c>
      <c r="P85" s="891">
        <v>2</v>
      </c>
      <c r="Q85" s="891">
        <v>2</v>
      </c>
      <c r="R85" s="772">
        <f>450000+724000</f>
        <v>1174000</v>
      </c>
      <c r="S85" s="937">
        <f t="shared" si="8"/>
        <v>1408800</v>
      </c>
      <c r="T85" s="726"/>
      <c r="U85" s="2475" t="s">
        <v>6226</v>
      </c>
      <c r="V85" s="711" t="s">
        <v>61</v>
      </c>
      <c r="W85" s="711" t="s">
        <v>71</v>
      </c>
      <c r="X85" s="711" t="s">
        <v>589</v>
      </c>
      <c r="Y85" s="701"/>
      <c r="Z85" s="730" t="s">
        <v>4979</v>
      </c>
      <c r="AA85" s="730" t="s">
        <v>312</v>
      </c>
      <c r="AB85" s="762" t="s">
        <v>40</v>
      </c>
      <c r="AC85" s="762" t="s">
        <v>69</v>
      </c>
      <c r="AD85" s="695" t="s">
        <v>70</v>
      </c>
      <c r="AE85" s="2261" t="s">
        <v>1482</v>
      </c>
      <c r="AF85" s="729" t="s">
        <v>6803</v>
      </c>
      <c r="AG85" s="726"/>
      <c r="AH85" s="1376" t="str">
        <f t="shared" ca="1" si="6"/>
        <v>N/A</v>
      </c>
    </row>
    <row r="86" spans="1:36" s="901" customFormat="1" ht="65">
      <c r="A86" s="749">
        <v>44700</v>
      </c>
      <c r="B86" s="725" t="s">
        <v>56</v>
      </c>
      <c r="C86" s="726">
        <v>62271</v>
      </c>
      <c r="D86" s="730" t="s">
        <v>122</v>
      </c>
      <c r="E86" s="794" t="s">
        <v>449</v>
      </c>
      <c r="F86" s="1385" t="s">
        <v>122</v>
      </c>
      <c r="G86" s="2190" t="s">
        <v>362</v>
      </c>
      <c r="H86" s="2172" t="s">
        <v>4946</v>
      </c>
      <c r="I86" s="726" t="s">
        <v>47</v>
      </c>
      <c r="J86" s="729" t="s">
        <v>6804</v>
      </c>
      <c r="K86" s="726"/>
      <c r="L86" s="730">
        <v>1</v>
      </c>
      <c r="M86" s="731">
        <v>44866</v>
      </c>
      <c r="N86" s="712" t="s">
        <v>60</v>
      </c>
      <c r="O86" s="759">
        <v>45017</v>
      </c>
      <c r="P86" s="760" t="s">
        <v>60</v>
      </c>
      <c r="Q86" s="761" t="s">
        <v>60</v>
      </c>
      <c r="R86" s="742">
        <v>580000</v>
      </c>
      <c r="S86" s="937">
        <f t="shared" si="8"/>
        <v>696000</v>
      </c>
      <c r="T86" s="1273"/>
      <c r="U86" s="2475" t="s">
        <v>6226</v>
      </c>
      <c r="V86" s="711" t="s">
        <v>158</v>
      </c>
      <c r="W86" s="711" t="s">
        <v>310</v>
      </c>
      <c r="X86" s="711" t="s">
        <v>60</v>
      </c>
      <c r="Y86" s="711"/>
      <c r="Z86" s="726" t="s">
        <v>2690</v>
      </c>
      <c r="AA86" s="730" t="s">
        <v>312</v>
      </c>
      <c r="AB86" s="762" t="s">
        <v>40</v>
      </c>
      <c r="AC86" s="762" t="s">
        <v>154</v>
      </c>
      <c r="AD86" s="695" t="s">
        <v>70</v>
      </c>
      <c r="AE86" s="2261" t="s">
        <v>1482</v>
      </c>
      <c r="AF86" s="729" t="s">
        <v>6803</v>
      </c>
      <c r="AG86" s="1273"/>
      <c r="AH86" s="1376" t="str">
        <f t="shared" ca="1" si="6"/>
        <v>N/A</v>
      </c>
    </row>
    <row r="87" spans="1:36" s="901" customFormat="1" ht="65">
      <c r="A87" s="749">
        <v>44855</v>
      </c>
      <c r="B87" s="725" t="s">
        <v>56</v>
      </c>
      <c r="C87" s="726" t="s">
        <v>60</v>
      </c>
      <c r="D87" s="727" t="s">
        <v>122</v>
      </c>
      <c r="E87" s="794" t="s">
        <v>449</v>
      </c>
      <c r="F87" s="1385" t="s">
        <v>122</v>
      </c>
      <c r="G87" s="2187" t="s">
        <v>362</v>
      </c>
      <c r="H87" s="730" t="s">
        <v>4946</v>
      </c>
      <c r="I87" s="726" t="s">
        <v>47</v>
      </c>
      <c r="J87" s="729" t="s">
        <v>6805</v>
      </c>
      <c r="K87" s="726"/>
      <c r="L87" s="730">
        <v>3</v>
      </c>
      <c r="M87" s="731">
        <v>44986</v>
      </c>
      <c r="N87" s="712">
        <v>45019</v>
      </c>
      <c r="O87" s="759" t="s">
        <v>60</v>
      </c>
      <c r="P87" s="2557" t="s">
        <v>60</v>
      </c>
      <c r="Q87" s="1273" t="s">
        <v>60</v>
      </c>
      <c r="R87" s="742">
        <v>210000</v>
      </c>
      <c r="S87" s="937">
        <f t="shared" si="8"/>
        <v>252000</v>
      </c>
      <c r="T87" s="1165"/>
      <c r="U87" s="2475" t="s">
        <v>6226</v>
      </c>
      <c r="V87" s="734" t="s">
        <v>75</v>
      </c>
      <c r="W87" s="711" t="s">
        <v>62</v>
      </c>
      <c r="X87" s="711" t="s">
        <v>589</v>
      </c>
      <c r="Y87" s="711"/>
      <c r="Z87" s="726" t="s">
        <v>714</v>
      </c>
      <c r="AA87" s="710" t="s">
        <v>312</v>
      </c>
      <c r="AB87" s="762" t="s">
        <v>40</v>
      </c>
      <c r="AC87" s="762" t="s">
        <v>69</v>
      </c>
      <c r="AD87" s="695" t="s">
        <v>70</v>
      </c>
      <c r="AE87" s="2261" t="s">
        <v>1482</v>
      </c>
      <c r="AF87" s="729" t="s">
        <v>6803</v>
      </c>
      <c r="AG87" s="1165"/>
      <c r="AH87" s="1376" t="str">
        <f t="shared" ca="1" si="6"/>
        <v>N/A</v>
      </c>
    </row>
    <row r="88" spans="1:36" s="901" customFormat="1" ht="65">
      <c r="A88" s="749"/>
      <c r="B88" s="725" t="s">
        <v>56</v>
      </c>
      <c r="C88" s="726">
        <v>66500</v>
      </c>
      <c r="D88" s="727" t="s">
        <v>122</v>
      </c>
      <c r="E88" s="794" t="s">
        <v>449</v>
      </c>
      <c r="F88" s="1385" t="s">
        <v>122</v>
      </c>
      <c r="G88" s="1451" t="s">
        <v>362</v>
      </c>
      <c r="H88" s="730" t="s">
        <v>4946</v>
      </c>
      <c r="I88" s="726" t="s">
        <v>47</v>
      </c>
      <c r="J88" s="729" t="s">
        <v>6806</v>
      </c>
      <c r="K88" s="726"/>
      <c r="L88" s="730">
        <v>12</v>
      </c>
      <c r="M88" s="731">
        <v>44928</v>
      </c>
      <c r="N88" s="712">
        <v>44949</v>
      </c>
      <c r="O88" s="759">
        <v>45108</v>
      </c>
      <c r="P88" s="760">
        <v>3</v>
      </c>
      <c r="Q88" s="761">
        <v>3</v>
      </c>
      <c r="R88" s="742">
        <v>800000</v>
      </c>
      <c r="S88" s="937">
        <f t="shared" si="8"/>
        <v>960000</v>
      </c>
      <c r="T88" s="924"/>
      <c r="U88" s="2475" t="s">
        <v>6226</v>
      </c>
      <c r="V88" s="734" t="s">
        <v>75</v>
      </c>
      <c r="W88" s="711" t="s">
        <v>62</v>
      </c>
      <c r="X88" s="711" t="s">
        <v>60</v>
      </c>
      <c r="Y88" s="711"/>
      <c r="Z88" s="730" t="s">
        <v>714</v>
      </c>
      <c r="AA88" s="1386" t="s">
        <v>312</v>
      </c>
      <c r="AB88" s="762" t="s">
        <v>40</v>
      </c>
      <c r="AC88" s="1308" t="s">
        <v>69</v>
      </c>
      <c r="AD88" s="695" t="s">
        <v>70</v>
      </c>
      <c r="AE88" s="2261" t="s">
        <v>1482</v>
      </c>
      <c r="AF88" s="729" t="s">
        <v>6803</v>
      </c>
      <c r="AG88" s="924"/>
      <c r="AH88" s="1376" t="str">
        <f t="shared" ca="1" si="6"/>
        <v>N/A</v>
      </c>
    </row>
    <row r="89" spans="1:36" s="2717" customFormat="1" ht="15" customHeight="1">
      <c r="A89" s="749" t="s">
        <v>71</v>
      </c>
      <c r="B89" s="737" t="s">
        <v>44</v>
      </c>
      <c r="C89" s="738">
        <v>73132</v>
      </c>
      <c r="D89" s="739" t="s">
        <v>709</v>
      </c>
      <c r="E89" s="794" t="s">
        <v>449</v>
      </c>
      <c r="F89" s="739" t="s">
        <v>361</v>
      </c>
      <c r="G89" s="2192" t="s">
        <v>1440</v>
      </c>
      <c r="H89" s="710" t="s">
        <v>127</v>
      </c>
      <c r="I89" s="808" t="s">
        <v>47</v>
      </c>
      <c r="J89" s="709" t="s">
        <v>4324</v>
      </c>
      <c r="K89" s="710" t="s">
        <v>793</v>
      </c>
      <c r="L89" s="710" t="e">
        <f>IF(OR(V89=#REF!,V89=#REF!,V89=#REF!,V89=#REF!,V89=#REF!,V89=#REF!,V89=#REF!,V89=#REF!),12,IF(OR(V89=#REF!,V89=#REF!,V89=#REF!,V89=#REF!,V89=#REF!,V89=#REF!,V89=#REF!),3,IF(V89=#REF!,1,IF(V89=#REF!,18,IF(OR(V89=#REF!,V89=#REF!,V89=#REF!,V89=#REF!,V89=#REF!),14,"Invalid proposed procurement method")))))</f>
        <v>#REF!</v>
      </c>
      <c r="M89" s="769">
        <v>44624</v>
      </c>
      <c r="N89" s="769"/>
      <c r="O89" s="859">
        <v>45017</v>
      </c>
      <c r="P89" s="2638">
        <v>66</v>
      </c>
      <c r="Q89" s="2553" t="s">
        <v>5497</v>
      </c>
      <c r="R89" s="2639">
        <v>44465759</v>
      </c>
      <c r="S89" s="2510">
        <f t="shared" si="8"/>
        <v>53358910.799999997</v>
      </c>
      <c r="T89" s="793" t="s">
        <v>6807</v>
      </c>
      <c r="U89" s="2476" t="s">
        <v>6226</v>
      </c>
      <c r="V89" s="2640" t="s">
        <v>158</v>
      </c>
      <c r="W89" s="2641" t="s">
        <v>70</v>
      </c>
      <c r="X89" s="855">
        <v>44679</v>
      </c>
      <c r="Y89" s="855" t="s">
        <v>180</v>
      </c>
      <c r="Z89" s="808" t="s">
        <v>4326</v>
      </c>
      <c r="AA89" s="915" t="s">
        <v>784</v>
      </c>
      <c r="AB89" s="710" t="s">
        <v>40</v>
      </c>
      <c r="AC89" s="710" t="s">
        <v>69</v>
      </c>
      <c r="AD89" s="808" t="s">
        <v>70</v>
      </c>
      <c r="AE89" s="2261" t="s">
        <v>1482</v>
      </c>
      <c r="AF89" s="1292" t="s">
        <v>6808</v>
      </c>
      <c r="AG89" s="741" t="s">
        <v>127</v>
      </c>
      <c r="AH89" s="1376" t="str">
        <f t="shared" ca="1" si="6"/>
        <v>N/A</v>
      </c>
      <c r="AI89" s="901"/>
      <c r="AJ89" s="901"/>
    </row>
    <row r="90" spans="1:36" s="2717" customFormat="1" ht="26">
      <c r="A90" s="749">
        <v>45049</v>
      </c>
      <c r="B90" s="2642" t="s">
        <v>44</v>
      </c>
      <c r="C90" s="2643">
        <v>37487</v>
      </c>
      <c r="D90" s="2644" t="s">
        <v>32</v>
      </c>
      <c r="E90" s="794" t="s">
        <v>6768</v>
      </c>
      <c r="F90" s="2645" t="s">
        <v>1103</v>
      </c>
      <c r="G90" s="2646" t="s">
        <v>1406</v>
      </c>
      <c r="H90" s="2647" t="s">
        <v>33</v>
      </c>
      <c r="I90" s="2647" t="s">
        <v>268</v>
      </c>
      <c r="J90" s="2648" t="s">
        <v>6809</v>
      </c>
      <c r="K90" s="2647" t="s">
        <v>1105</v>
      </c>
      <c r="L90" s="2647"/>
      <c r="M90" s="2649">
        <v>45049</v>
      </c>
      <c r="N90" s="2650">
        <f>IFERROR(EDATE(O90,-L90),"Invalid procurement method or date entered")</f>
        <v>45108</v>
      </c>
      <c r="O90" s="2649">
        <v>45108</v>
      </c>
      <c r="P90" s="2643">
        <v>33</v>
      </c>
      <c r="Q90" s="2651" t="s">
        <v>3665</v>
      </c>
      <c r="R90" s="2606">
        <v>77000</v>
      </c>
      <c r="S90" s="2606">
        <f t="shared" si="8"/>
        <v>92400</v>
      </c>
      <c r="T90" s="1303">
        <v>25500</v>
      </c>
      <c r="U90" s="2476" t="s">
        <v>268</v>
      </c>
      <c r="V90" s="2647" t="s">
        <v>270</v>
      </c>
      <c r="W90" s="2647" t="s">
        <v>62</v>
      </c>
      <c r="X90" s="2643" t="s">
        <v>71</v>
      </c>
      <c r="Y90" s="2643"/>
      <c r="Z90" s="2647" t="s">
        <v>6810</v>
      </c>
      <c r="AA90" s="2652" t="s">
        <v>94</v>
      </c>
      <c r="AB90" s="2647" t="s">
        <v>40</v>
      </c>
      <c r="AC90" s="2647"/>
      <c r="AD90" s="2647" t="s">
        <v>38</v>
      </c>
      <c r="AE90" s="2261" t="s">
        <v>1482</v>
      </c>
      <c r="AF90" s="2648" t="s">
        <v>4190</v>
      </c>
      <c r="AG90" s="723" t="s">
        <v>156</v>
      </c>
      <c r="AH90" s="1376" t="str">
        <f t="shared" ca="1" si="6"/>
        <v>N/A</v>
      </c>
      <c r="AI90" s="901"/>
      <c r="AJ90" s="901"/>
    </row>
    <row r="91" spans="1:36" s="2717" customFormat="1" ht="15" customHeight="1">
      <c r="A91" s="749">
        <v>45041</v>
      </c>
      <c r="B91" s="782" t="s">
        <v>44</v>
      </c>
      <c r="C91" s="738" t="s">
        <v>45</v>
      </c>
      <c r="D91" s="808" t="s">
        <v>32</v>
      </c>
      <c r="E91" s="794" t="s">
        <v>449</v>
      </c>
      <c r="F91" s="1311" t="s">
        <v>361</v>
      </c>
      <c r="G91" s="1455" t="s">
        <v>569</v>
      </c>
      <c r="H91" s="710" t="s">
        <v>33</v>
      </c>
      <c r="I91" s="710" t="s">
        <v>268</v>
      </c>
      <c r="J91" s="931" t="s">
        <v>159</v>
      </c>
      <c r="K91" s="710" t="s">
        <v>1080</v>
      </c>
      <c r="L91" s="710" t="e">
        <f>IF(OR(V91=#REF!,V91=#REF!,V91=#REF!,V91=#REF!,V91=#REF!,V91=#REF!,V91=#REF!,V91=#REF!),12,IF(OR(V91=#REF!,V91=#REF!,V91=#REF!,V91=#REF!,V91=#REF!,V91=#REF!,V91=#REF!),3,IF(V91=#REF!,1,IF(V91=#REF!,18,IF(OR(V91=#REF!,V91=#REF!,V91=#REF!,V91=#REF!,V91=#REF!),14,"Invalid proposed procurement method")))))</f>
        <v>#REF!</v>
      </c>
      <c r="M91" s="769" t="str">
        <f>IFERROR(EDATE($N91,-3),"Invalid procurement method or date entered")</f>
        <v>Invalid procurement method or date entered</v>
      </c>
      <c r="N91" s="769" t="str">
        <f>IFERROR(EDATE(O91,-L91),"Invalid procurement method or date entered")</f>
        <v>Invalid procurement method or date entered</v>
      </c>
      <c r="O91" s="947">
        <v>45383</v>
      </c>
      <c r="P91" s="738">
        <v>36</v>
      </c>
      <c r="Q91" s="695" t="s">
        <v>993</v>
      </c>
      <c r="R91" s="937">
        <v>177000</v>
      </c>
      <c r="S91" s="937">
        <f t="shared" si="8"/>
        <v>212400</v>
      </c>
      <c r="T91" s="719"/>
      <c r="U91" s="1287" t="s">
        <v>268</v>
      </c>
      <c r="V91" s="710" t="s">
        <v>270</v>
      </c>
      <c r="W91" s="744" t="s">
        <v>38</v>
      </c>
      <c r="X91" s="738" t="s">
        <v>71</v>
      </c>
      <c r="Y91" s="738"/>
      <c r="Z91" s="710" t="s">
        <v>161</v>
      </c>
      <c r="AA91" s="2286" t="s">
        <v>1445</v>
      </c>
      <c r="AB91" s="2172" t="s">
        <v>40</v>
      </c>
      <c r="AC91" s="750" t="s">
        <v>154</v>
      </c>
      <c r="AD91" s="710" t="s">
        <v>70</v>
      </c>
      <c r="AE91" s="2261" t="s">
        <v>1482</v>
      </c>
      <c r="AF91" s="857" t="s">
        <v>6811</v>
      </c>
      <c r="AG91" s="719"/>
      <c r="AH91" s="1376" t="str">
        <f t="shared" ca="1" si="6"/>
        <v>N/A</v>
      </c>
      <c r="AI91" s="901"/>
      <c r="AJ91" s="901"/>
    </row>
    <row r="92" spans="1:36" s="2717" customFormat="1" ht="26">
      <c r="A92" s="749"/>
      <c r="B92" s="2642" t="s">
        <v>44</v>
      </c>
      <c r="C92" s="2643"/>
      <c r="D92" s="2644" t="s">
        <v>32</v>
      </c>
      <c r="E92" s="794" t="s">
        <v>449</v>
      </c>
      <c r="F92" s="2645" t="s">
        <v>361</v>
      </c>
      <c r="G92" s="2646" t="s">
        <v>569</v>
      </c>
      <c r="H92" s="2647" t="s">
        <v>33</v>
      </c>
      <c r="I92" s="2647" t="s">
        <v>47</v>
      </c>
      <c r="J92" s="2648" t="s">
        <v>2611</v>
      </c>
      <c r="K92" s="2647" t="s">
        <v>6812</v>
      </c>
      <c r="L92" s="2647"/>
      <c r="M92" s="2649"/>
      <c r="N92" s="2650"/>
      <c r="O92" s="2649">
        <v>45047</v>
      </c>
      <c r="P92" s="2643"/>
      <c r="Q92" s="2651" t="s">
        <v>160</v>
      </c>
      <c r="R92" s="2606">
        <v>59925</v>
      </c>
      <c r="S92" s="2606"/>
      <c r="T92" s="1303"/>
      <c r="U92" s="2476" t="s">
        <v>6226</v>
      </c>
      <c r="V92" s="2476" t="s">
        <v>6226</v>
      </c>
      <c r="W92" s="2647"/>
      <c r="X92" s="2643"/>
      <c r="Y92" s="2643"/>
      <c r="Z92" s="2647" t="s">
        <v>5335</v>
      </c>
      <c r="AA92" s="2652" t="s">
        <v>94</v>
      </c>
      <c r="AB92" s="2172" t="s">
        <v>40</v>
      </c>
      <c r="AC92" s="750" t="s">
        <v>154</v>
      </c>
      <c r="AD92" s="2647"/>
      <c r="AE92" s="2261" t="s">
        <v>1482</v>
      </c>
      <c r="AF92" s="2648"/>
      <c r="AG92" s="723"/>
      <c r="AH92" s="1376"/>
      <c r="AI92" s="901"/>
      <c r="AJ92" s="901"/>
    </row>
    <row r="93" spans="1:36" s="2653" customFormat="1" ht="65">
      <c r="A93" s="749">
        <v>44609</v>
      </c>
      <c r="B93" s="707" t="s">
        <v>100</v>
      </c>
      <c r="C93" s="707" t="s">
        <v>71</v>
      </c>
      <c r="D93" s="710" t="s">
        <v>110</v>
      </c>
      <c r="E93" s="730" t="s">
        <v>449</v>
      </c>
      <c r="F93" s="698" t="s">
        <v>1270</v>
      </c>
      <c r="G93" s="1451" t="s">
        <v>4981</v>
      </c>
      <c r="H93" s="698" t="s">
        <v>46</v>
      </c>
      <c r="I93" s="710" t="s">
        <v>47</v>
      </c>
      <c r="J93" s="709" t="s">
        <v>6813</v>
      </c>
      <c r="K93" s="710" t="s">
        <v>71</v>
      </c>
      <c r="L93" s="710">
        <v>9</v>
      </c>
      <c r="M93" s="711">
        <f>IFERROR(EDATE(N93,-3),"Invalid procurement method or date entered")</f>
        <v>44774</v>
      </c>
      <c r="N93" s="712">
        <f>IFERROR(EDATE(O93,-L93),"Invalid procurement method or date entered")</f>
        <v>44866</v>
      </c>
      <c r="O93" s="713">
        <v>45139</v>
      </c>
      <c r="P93" s="707">
        <v>6</v>
      </c>
      <c r="Q93" s="707">
        <v>6</v>
      </c>
      <c r="R93" s="1030">
        <v>150000</v>
      </c>
      <c r="S93" s="937">
        <f>IF(ISNUMBER(R93),SUM(R93*20%)+R93,"")</f>
        <v>180000</v>
      </c>
      <c r="T93" s="744">
        <v>300000</v>
      </c>
      <c r="U93" s="2475" t="s">
        <v>6226</v>
      </c>
      <c r="V93" s="758" t="s">
        <v>75</v>
      </c>
      <c r="W93" s="710" t="s">
        <v>38</v>
      </c>
      <c r="X93" s="710" t="s">
        <v>62</v>
      </c>
      <c r="Y93" s="710"/>
      <c r="Z93" s="710" t="s">
        <v>5041</v>
      </c>
      <c r="AA93" s="710" t="s">
        <v>254</v>
      </c>
      <c r="AB93" s="710" t="s">
        <v>40</v>
      </c>
      <c r="AC93" s="710" t="s">
        <v>69</v>
      </c>
      <c r="AD93" s="724" t="s">
        <v>70</v>
      </c>
      <c r="AE93" s="2261" t="s">
        <v>5670</v>
      </c>
      <c r="AF93" s="709" t="s">
        <v>6814</v>
      </c>
      <c r="AG93" s="710"/>
      <c r="AH93" s="1376" t="str">
        <f t="shared" ref="AH93:AH124" ca="1" si="9">IFERROR(TODAY()-AE93,"N/A")</f>
        <v>N/A</v>
      </c>
      <c r="AI93" s="2323"/>
      <c r="AJ93" s="2323"/>
    </row>
    <row r="94" spans="1:36" s="2718" customFormat="1" ht="78">
      <c r="A94" s="749" t="s">
        <v>71</v>
      </c>
      <c r="B94" s="706" t="s">
        <v>100</v>
      </c>
      <c r="C94" s="707" t="s">
        <v>45</v>
      </c>
      <c r="D94" s="708" t="s">
        <v>110</v>
      </c>
      <c r="E94" s="794" t="s">
        <v>449</v>
      </c>
      <c r="F94" s="708" t="s">
        <v>110</v>
      </c>
      <c r="G94" s="2187" t="s">
        <v>1311</v>
      </c>
      <c r="H94" s="710" t="s">
        <v>5058</v>
      </c>
      <c r="I94" s="710" t="s">
        <v>4535</v>
      </c>
      <c r="J94" s="709" t="s">
        <v>111</v>
      </c>
      <c r="K94" s="710"/>
      <c r="L94" s="710">
        <v>3</v>
      </c>
      <c r="M94" s="711">
        <f>IFERROR(EDATE(N94,-3),"Invalid procurement method or date entered")</f>
        <v>44470</v>
      </c>
      <c r="N94" s="712">
        <f>IFERROR(EDATE(O94,-L94),"Invalid procurement method or date entered")</f>
        <v>44562</v>
      </c>
      <c r="O94" s="713">
        <v>44652</v>
      </c>
      <c r="P94" s="714">
        <v>84</v>
      </c>
      <c r="Q94" s="1442" t="s">
        <v>112</v>
      </c>
      <c r="R94" s="2510">
        <v>2235000</v>
      </c>
      <c r="S94" s="937">
        <f>IF(ISNUMBER(R94),SUM(R94*20%)+R94,"")</f>
        <v>2682000</v>
      </c>
      <c r="T94" s="2528">
        <v>320000</v>
      </c>
      <c r="U94" s="793" t="s">
        <v>34</v>
      </c>
      <c r="V94" s="708" t="s">
        <v>270</v>
      </c>
      <c r="W94" s="710" t="s">
        <v>45</v>
      </c>
      <c r="X94" s="710" t="s">
        <v>45</v>
      </c>
      <c r="Y94" s="710"/>
      <c r="Z94" s="750" t="s">
        <v>5485</v>
      </c>
      <c r="AA94" s="723" t="s">
        <v>120</v>
      </c>
      <c r="AB94" s="708" t="s">
        <v>40</v>
      </c>
      <c r="AC94" s="710" t="s">
        <v>87</v>
      </c>
      <c r="AD94" s="724" t="s">
        <v>70</v>
      </c>
      <c r="AE94" s="2261" t="s">
        <v>5670</v>
      </c>
      <c r="AF94" s="1177" t="s">
        <v>251</v>
      </c>
      <c r="AG94" s="719"/>
      <c r="AH94" s="1376" t="str">
        <f t="shared" ca="1" si="9"/>
        <v>N/A</v>
      </c>
      <c r="AI94" s="901"/>
      <c r="AJ94" s="901"/>
    </row>
    <row r="95" spans="1:36" s="2718" customFormat="1" ht="117">
      <c r="A95" s="749" t="s">
        <v>71</v>
      </c>
      <c r="B95" s="706" t="s">
        <v>100</v>
      </c>
      <c r="C95" s="707">
        <v>54565</v>
      </c>
      <c r="D95" s="708" t="s">
        <v>110</v>
      </c>
      <c r="E95" s="794" t="s">
        <v>449</v>
      </c>
      <c r="F95" s="708" t="s">
        <v>110</v>
      </c>
      <c r="G95" s="1429" t="s">
        <v>1452</v>
      </c>
      <c r="H95" s="710" t="s">
        <v>5058</v>
      </c>
      <c r="I95" s="710" t="s">
        <v>47</v>
      </c>
      <c r="J95" s="709" t="s">
        <v>6815</v>
      </c>
      <c r="K95" s="710" t="s">
        <v>365</v>
      </c>
      <c r="L95" s="710">
        <v>14</v>
      </c>
      <c r="M95" s="711">
        <f>IFERROR(EDATE(N95,-3),"Invalid procurement method or date entered")</f>
        <v>44348</v>
      </c>
      <c r="N95" s="712">
        <f>IFERROR(EDATE(O95,-L95),"Invalid procurement method or date entered")</f>
        <v>44440</v>
      </c>
      <c r="O95" s="713">
        <v>44866</v>
      </c>
      <c r="P95" s="721">
        <v>84</v>
      </c>
      <c r="Q95" s="722" t="s">
        <v>3579</v>
      </c>
      <c r="R95" s="937">
        <v>1200000000</v>
      </c>
      <c r="S95" s="937">
        <f>IF(ISNUMBER(R95),SUM(R95*20%)+R95,"")</f>
        <v>1440000000</v>
      </c>
      <c r="T95" s="2531">
        <v>171428</v>
      </c>
      <c r="U95" s="850" t="s">
        <v>1488</v>
      </c>
      <c r="V95" s="716" t="s">
        <v>105</v>
      </c>
      <c r="W95" s="710" t="s">
        <v>200</v>
      </c>
      <c r="X95" s="710" t="s">
        <v>5549</v>
      </c>
      <c r="Y95" s="710"/>
      <c r="Z95" s="710" t="s">
        <v>4555</v>
      </c>
      <c r="AA95" s="710" t="s">
        <v>108</v>
      </c>
      <c r="AB95" s="710" t="s">
        <v>40</v>
      </c>
      <c r="AC95" s="710" t="s">
        <v>87</v>
      </c>
      <c r="AD95" s="724" t="s">
        <v>70</v>
      </c>
      <c r="AE95" s="2261" t="s">
        <v>5670</v>
      </c>
      <c r="AF95" s="717" t="s">
        <v>251</v>
      </c>
      <c r="AG95" s="723"/>
      <c r="AH95" s="1376" t="str">
        <f t="shared" ca="1" si="9"/>
        <v>N/A</v>
      </c>
      <c r="AI95" s="901"/>
      <c r="AJ95" s="901"/>
    </row>
    <row r="96" spans="1:36" s="2718" customFormat="1" ht="52">
      <c r="A96" s="749" t="s">
        <v>71</v>
      </c>
      <c r="B96" s="706" t="s">
        <v>100</v>
      </c>
      <c r="C96" s="707" t="s">
        <v>45</v>
      </c>
      <c r="D96" s="708" t="s">
        <v>122</v>
      </c>
      <c r="E96" s="794" t="s">
        <v>449</v>
      </c>
      <c r="F96" s="708" t="s">
        <v>122</v>
      </c>
      <c r="G96" s="1449" t="s">
        <v>6816</v>
      </c>
      <c r="H96" s="710" t="s">
        <v>3410</v>
      </c>
      <c r="I96" s="710" t="s">
        <v>47</v>
      </c>
      <c r="J96" s="709" t="s">
        <v>5525</v>
      </c>
      <c r="K96" s="710" t="s">
        <v>365</v>
      </c>
      <c r="L96" s="710">
        <v>14</v>
      </c>
      <c r="M96" s="711">
        <f>IFERROR(EDATE(N96,-3),"Invalid procurement method or date entered")</f>
        <v>44306</v>
      </c>
      <c r="N96" s="712">
        <f>IFERROR(EDATE(O96,-L96),"Invalid procurement method or date entered")</f>
        <v>44397</v>
      </c>
      <c r="O96" s="713">
        <v>44824</v>
      </c>
      <c r="P96" s="714">
        <v>48</v>
      </c>
      <c r="Q96" s="777">
        <v>48</v>
      </c>
      <c r="R96" s="937">
        <v>5000000</v>
      </c>
      <c r="S96" s="937">
        <f>IF(ISNUMBER(R96),SUM(R96*20%)+R96,"")</f>
        <v>6000000</v>
      </c>
      <c r="T96" s="2531">
        <v>1000000</v>
      </c>
      <c r="U96" s="850" t="s">
        <v>1488</v>
      </c>
      <c r="V96" s="716" t="s">
        <v>105</v>
      </c>
      <c r="W96" s="710" t="s">
        <v>70</v>
      </c>
      <c r="X96" s="711">
        <v>44341</v>
      </c>
      <c r="Y96" s="711"/>
      <c r="Z96" s="710" t="s">
        <v>5526</v>
      </c>
      <c r="AA96" s="710" t="s">
        <v>108</v>
      </c>
      <c r="AB96" s="695" t="s">
        <v>40</v>
      </c>
      <c r="AC96" s="710" t="s">
        <v>69</v>
      </c>
      <c r="AD96" s="752" t="s">
        <v>70</v>
      </c>
      <c r="AE96" s="2261" t="s">
        <v>5670</v>
      </c>
      <c r="AF96" s="717" t="s">
        <v>251</v>
      </c>
      <c r="AG96" s="723"/>
      <c r="AH96" s="1376" t="str">
        <f t="shared" ca="1" si="9"/>
        <v>N/A</v>
      </c>
      <c r="AI96" s="901"/>
      <c r="AJ96" s="901"/>
    </row>
    <row r="97" spans="1:34" s="901" customFormat="1" ht="143">
      <c r="A97" s="2485">
        <v>45050</v>
      </c>
      <c r="B97" s="2171" t="s">
        <v>44</v>
      </c>
      <c r="C97" s="2172" t="s">
        <v>6356</v>
      </c>
      <c r="D97" s="2172" t="s">
        <v>4780</v>
      </c>
      <c r="E97" s="2280" t="s">
        <v>1341</v>
      </c>
      <c r="F97" s="2171" t="s">
        <v>1067</v>
      </c>
      <c r="G97" s="2193" t="s">
        <v>1406</v>
      </c>
      <c r="H97" s="2172" t="s">
        <v>4622</v>
      </c>
      <c r="I97" s="2172" t="s">
        <v>34</v>
      </c>
      <c r="J97" s="2281" t="s">
        <v>6817</v>
      </c>
      <c r="K97" s="2172" t="s">
        <v>6818</v>
      </c>
      <c r="L97" s="2281"/>
      <c r="M97" s="2485">
        <v>45047</v>
      </c>
      <c r="N97" s="2281"/>
      <c r="O97" s="2174">
        <v>45200</v>
      </c>
      <c r="P97" s="2172">
        <v>84</v>
      </c>
      <c r="Q97" s="2172" t="s">
        <v>6819</v>
      </c>
      <c r="R97" s="742"/>
      <c r="S97" s="937"/>
      <c r="T97" s="2637"/>
      <c r="U97" s="793" t="s">
        <v>34</v>
      </c>
      <c r="V97" s="2171" t="s">
        <v>130</v>
      </c>
      <c r="W97" s="2172" t="s">
        <v>38</v>
      </c>
      <c r="X97" s="2172"/>
      <c r="Y97" s="2172"/>
      <c r="Z97" s="2172" t="s">
        <v>6820</v>
      </c>
      <c r="AA97" s="2172" t="s">
        <v>283</v>
      </c>
      <c r="AB97" s="2172" t="s">
        <v>40</v>
      </c>
      <c r="AC97" s="2172" t="s">
        <v>69</v>
      </c>
      <c r="AD97" s="2172"/>
      <c r="AE97" s="2261" t="s">
        <v>5670</v>
      </c>
      <c r="AF97" s="2379" t="s">
        <v>6821</v>
      </c>
      <c r="AG97" s="2285"/>
      <c r="AH97" s="1376" t="str">
        <f t="shared" ca="1" si="9"/>
        <v>N/A</v>
      </c>
    </row>
    <row r="98" spans="1:34" s="901" customFormat="1" ht="15" customHeight="1">
      <c r="A98" s="749" t="s">
        <v>71</v>
      </c>
      <c r="B98" s="782" t="s">
        <v>44</v>
      </c>
      <c r="C98" s="738">
        <v>48806</v>
      </c>
      <c r="D98" s="808" t="s">
        <v>32</v>
      </c>
      <c r="E98" s="794" t="s">
        <v>449</v>
      </c>
      <c r="F98" s="1311" t="s">
        <v>1373</v>
      </c>
      <c r="G98" s="709" t="s">
        <v>569</v>
      </c>
      <c r="H98" s="710" t="s">
        <v>33</v>
      </c>
      <c r="I98" s="738" t="s">
        <v>47</v>
      </c>
      <c r="J98" s="709" t="s">
        <v>6822</v>
      </c>
      <c r="K98" s="710" t="s">
        <v>5451</v>
      </c>
      <c r="L98" s="710" t="e">
        <f>IF(OR(V98=#REF!,V98=#REF!,V98=#REF!,V98=#REF!,V98=#REF!,V98=#REF!,V98=#REF!,V98=#REF!),12,IF(OR(V98=#REF!,V98=#REF!,V98=#REF!,V98=#REF!,V98=#REF!,V98=#REF!,V98=#REF!),3,IF(V98=#REF!,1,IF(V98=#REF!,18,IF(OR(V98=#REF!,V98=#REF!,V98=#REF!,V98=#REF!,V98=#REF!),14,"Invalid proposed procurement method")))))</f>
        <v>#REF!</v>
      </c>
      <c r="M98" s="769" t="str">
        <f>IFERROR(EDATE($N98,-3),"Invalid procurement method or date entered")</f>
        <v>Invalid procurement method or date entered</v>
      </c>
      <c r="N98" s="769" t="str">
        <f>IFERROR(EDATE(O98,-L98),"Invalid procurement method or date entered")</f>
        <v>Invalid procurement method or date entered</v>
      </c>
      <c r="O98" s="947">
        <v>45047</v>
      </c>
      <c r="P98" s="738">
        <v>36</v>
      </c>
      <c r="Q98" s="738" t="s">
        <v>160</v>
      </c>
      <c r="R98" s="937">
        <v>60000</v>
      </c>
      <c r="S98" s="937">
        <f t="shared" ref="S98:S107" si="10">IF(ISNUMBER(R98),SUM(R98*20%)+R98,"")</f>
        <v>72000</v>
      </c>
      <c r="T98" s="850">
        <v>20000</v>
      </c>
      <c r="U98" s="850" t="s">
        <v>4593</v>
      </c>
      <c r="V98" s="710" t="s">
        <v>84</v>
      </c>
      <c r="W98" s="836" t="s">
        <v>62</v>
      </c>
      <c r="X98" s="837" t="s">
        <v>71</v>
      </c>
      <c r="Y98" s="837"/>
      <c r="Z98" s="710" t="s">
        <v>5452</v>
      </c>
      <c r="AA98" s="915" t="s">
        <v>94</v>
      </c>
      <c r="AB98" s="710" t="s">
        <v>40</v>
      </c>
      <c r="AC98" s="750" t="s">
        <v>154</v>
      </c>
      <c r="AD98" s="710" t="s">
        <v>70</v>
      </c>
      <c r="AE98" s="2261" t="s">
        <v>5670</v>
      </c>
      <c r="AF98" s="2540" t="s">
        <v>442</v>
      </c>
      <c r="AG98" s="723" t="s">
        <v>806</v>
      </c>
      <c r="AH98" s="1376" t="str">
        <f t="shared" ca="1" si="9"/>
        <v>N/A</v>
      </c>
    </row>
    <row r="99" spans="1:34" s="901" customFormat="1" ht="39">
      <c r="A99" s="749" t="s">
        <v>71</v>
      </c>
      <c r="B99" s="737" t="s">
        <v>44</v>
      </c>
      <c r="C99" s="738">
        <v>76426</v>
      </c>
      <c r="D99" s="739" t="s">
        <v>32</v>
      </c>
      <c r="E99" s="794" t="s">
        <v>449</v>
      </c>
      <c r="F99" s="739" t="s">
        <v>361</v>
      </c>
      <c r="G99" s="2192" t="s">
        <v>362</v>
      </c>
      <c r="H99" s="710" t="s">
        <v>46</v>
      </c>
      <c r="I99" s="710" t="s">
        <v>47</v>
      </c>
      <c r="J99" s="709" t="s">
        <v>377</v>
      </c>
      <c r="K99" s="710" t="s">
        <v>1886</v>
      </c>
      <c r="L99" s="710">
        <v>6</v>
      </c>
      <c r="M99" s="769">
        <v>44700</v>
      </c>
      <c r="N99" s="769">
        <f>IFERROR(EDATE(O99,-L99),"Invalid procurement method or date entered")</f>
        <v>44835</v>
      </c>
      <c r="O99" s="947">
        <v>45017</v>
      </c>
      <c r="P99" s="740">
        <v>120</v>
      </c>
      <c r="Q99" s="719" t="s">
        <v>1725</v>
      </c>
      <c r="R99" s="2558">
        <v>25000000</v>
      </c>
      <c r="S99" s="937">
        <f t="shared" si="10"/>
        <v>30000000</v>
      </c>
      <c r="T99" s="793">
        <v>2500000</v>
      </c>
      <c r="U99" s="793"/>
      <c r="V99" s="708" t="s">
        <v>84</v>
      </c>
      <c r="W99" s="710" t="s">
        <v>70</v>
      </c>
      <c r="X99" s="770" t="s">
        <v>45</v>
      </c>
      <c r="Y99" s="770"/>
      <c r="Z99" s="710" t="s">
        <v>5551</v>
      </c>
      <c r="AA99" s="915" t="s">
        <v>254</v>
      </c>
      <c r="AB99" s="705" t="s">
        <v>40</v>
      </c>
      <c r="AC99" s="710" t="s">
        <v>87</v>
      </c>
      <c r="AD99" s="710" t="s">
        <v>38</v>
      </c>
      <c r="AE99" s="2261" t="s">
        <v>5670</v>
      </c>
      <c r="AF99" s="717" t="s">
        <v>6823</v>
      </c>
      <c r="AG99" s="741" t="s">
        <v>46</v>
      </c>
      <c r="AH99" s="1376" t="str">
        <f t="shared" ca="1" si="9"/>
        <v>N/A</v>
      </c>
    </row>
    <row r="100" spans="1:34" s="901" customFormat="1" ht="65">
      <c r="A100" s="749">
        <v>44743</v>
      </c>
      <c r="B100" s="737" t="s">
        <v>44</v>
      </c>
      <c r="C100" s="2552">
        <v>73120</v>
      </c>
      <c r="D100" s="708" t="s">
        <v>32</v>
      </c>
      <c r="E100" s="794" t="s">
        <v>449</v>
      </c>
      <c r="F100" s="739" t="s">
        <v>361</v>
      </c>
      <c r="G100" s="2192" t="s">
        <v>362</v>
      </c>
      <c r="H100" s="710" t="s">
        <v>80</v>
      </c>
      <c r="I100" s="710" t="s">
        <v>47</v>
      </c>
      <c r="J100" s="709" t="s">
        <v>5499</v>
      </c>
      <c r="K100" s="710" t="s">
        <v>4969</v>
      </c>
      <c r="L100" s="710" t="e">
        <f>IF(OR(V100=#REF!,V100=#REF!,V100=#REF!,V100=#REF!,V100=#REF!,V100=#REF!,V100=#REF!,V100=#REF!),12,IF(OR(V100=#REF!,V100=#REF!,V100=#REF!,V100=#REF!,V100=#REF!,V100=#REF!,V100=#REF!),3,IF(V100=#REF!,1,IF(V100=#REF!,18,IF(OR(V100=#REF!,V100=#REF!,V100=#REF!,V100=#REF!,V100=#REF!),14,"Invalid proposed procurement method")))))</f>
        <v>#REF!</v>
      </c>
      <c r="M100" s="769">
        <v>44743</v>
      </c>
      <c r="N100" s="769" t="str">
        <f>IFERROR(EDATE(O100,-L100),"Invalid procurement method or date entered")</f>
        <v>Invalid procurement method or date entered</v>
      </c>
      <c r="O100" s="947">
        <v>45017</v>
      </c>
      <c r="P100" s="740">
        <v>60</v>
      </c>
      <c r="Q100" s="719" t="s">
        <v>4498</v>
      </c>
      <c r="R100" s="742">
        <v>6560000</v>
      </c>
      <c r="S100" s="937">
        <f t="shared" si="10"/>
        <v>7872000</v>
      </c>
      <c r="T100" s="850">
        <v>2000000</v>
      </c>
      <c r="U100" s="850" t="s">
        <v>2389</v>
      </c>
      <c r="V100" s="708" t="s">
        <v>407</v>
      </c>
      <c r="W100" s="744" t="s">
        <v>70</v>
      </c>
      <c r="X100" s="711">
        <v>44896</v>
      </c>
      <c r="Y100" s="711"/>
      <c r="Z100" s="710" t="s">
        <v>5500</v>
      </c>
      <c r="AA100" s="2172" t="s">
        <v>784</v>
      </c>
      <c r="AB100" s="1258" t="s">
        <v>40</v>
      </c>
      <c r="AC100" s="710" t="s">
        <v>87</v>
      </c>
      <c r="AD100" s="710" t="s">
        <v>70</v>
      </c>
      <c r="AE100" s="2261" t="s">
        <v>5670</v>
      </c>
      <c r="AF100" s="717" t="s">
        <v>6824</v>
      </c>
      <c r="AG100" s="723" t="s">
        <v>80</v>
      </c>
      <c r="AH100" s="1376" t="str">
        <f t="shared" ca="1" si="9"/>
        <v>N/A</v>
      </c>
    </row>
    <row r="101" spans="1:34" s="901" customFormat="1" ht="65">
      <c r="A101" s="749"/>
      <c r="B101" s="737" t="s">
        <v>44</v>
      </c>
      <c r="C101" s="738">
        <v>36403</v>
      </c>
      <c r="D101" s="708" t="s">
        <v>32</v>
      </c>
      <c r="E101" s="794" t="s">
        <v>449</v>
      </c>
      <c r="F101" s="739" t="s">
        <v>361</v>
      </c>
      <c r="G101" s="1455" t="s">
        <v>362</v>
      </c>
      <c r="H101" s="710" t="s">
        <v>80</v>
      </c>
      <c r="I101" s="710" t="s">
        <v>34</v>
      </c>
      <c r="J101" s="709" t="s">
        <v>157</v>
      </c>
      <c r="K101" s="710" t="s">
        <v>6825</v>
      </c>
      <c r="L101" s="710" t="e">
        <f>IF(OR(V101=#REF!,V101=#REF!,V101=#REF!,V101=#REF!,V101=#REF!,V101=#REF!,V101=#REF!,V101=#REF!),12,IF(OR(V101=#REF!,V101=#REF!,V101=#REF!,V101=#REF!,V101=#REF!,V101=#REF!,V101=#REF!),3,IF(V101=#REF!,1,IF(V101=#REF!,18,IF(OR(V101=#REF!,V101=#REF!,V101=#REF!,V101=#REF!,V101=#REF!),14,"Invalid proposed procurement method")))))</f>
        <v>#REF!</v>
      </c>
      <c r="M101" s="769" t="str">
        <f>IFERROR(EDATE($N101,-3),"Invalid procurement method or date entered")</f>
        <v>Invalid procurement method or date entered</v>
      </c>
      <c r="N101" s="769" t="str">
        <f>IFERROR(EDATE(O101,-L101),"Invalid procurement method or date entered")</f>
        <v>Invalid procurement method or date entered</v>
      </c>
      <c r="O101" s="947">
        <v>45383</v>
      </c>
      <c r="P101" s="740">
        <v>48</v>
      </c>
      <c r="Q101" s="719" t="s">
        <v>6826</v>
      </c>
      <c r="R101" s="742">
        <v>8000000</v>
      </c>
      <c r="S101" s="937">
        <f t="shared" si="10"/>
        <v>9600000</v>
      </c>
      <c r="T101" s="850"/>
      <c r="U101" s="744" t="s">
        <v>34</v>
      </c>
      <c r="V101" s="708" t="s">
        <v>130</v>
      </c>
      <c r="W101" s="744" t="s">
        <v>45</v>
      </c>
      <c r="X101" s="711">
        <v>44515</v>
      </c>
      <c r="Y101" s="711"/>
      <c r="Z101" s="710" t="s">
        <v>5064</v>
      </c>
      <c r="AA101" s="2172" t="s">
        <v>283</v>
      </c>
      <c r="AB101" s="710" t="s">
        <v>40</v>
      </c>
      <c r="AC101" s="710" t="s">
        <v>87</v>
      </c>
      <c r="AD101" s="710" t="s">
        <v>70</v>
      </c>
      <c r="AE101" s="2261" t="s">
        <v>5670</v>
      </c>
      <c r="AF101" s="1295" t="s">
        <v>6827</v>
      </c>
      <c r="AG101" s="723" t="s">
        <v>80</v>
      </c>
      <c r="AH101" s="1376" t="str">
        <f t="shared" ca="1" si="9"/>
        <v>N/A</v>
      </c>
    </row>
    <row r="102" spans="1:34" s="901" customFormat="1" ht="24" customHeight="1">
      <c r="A102" s="749">
        <v>44803</v>
      </c>
      <c r="B102" s="737" t="s">
        <v>44</v>
      </c>
      <c r="C102" s="738" t="s">
        <v>974</v>
      </c>
      <c r="D102" s="708" t="s">
        <v>32</v>
      </c>
      <c r="E102" s="794" t="s">
        <v>449</v>
      </c>
      <c r="F102" s="1311" t="s">
        <v>1067</v>
      </c>
      <c r="G102" s="1455" t="s">
        <v>502</v>
      </c>
      <c r="H102" s="710" t="s">
        <v>514</v>
      </c>
      <c r="I102" s="710" t="s">
        <v>34</v>
      </c>
      <c r="J102" s="709" t="s">
        <v>975</v>
      </c>
      <c r="K102" s="710" t="s">
        <v>976</v>
      </c>
      <c r="L102" s="710">
        <v>6</v>
      </c>
      <c r="M102" s="769">
        <f>IFERROR(EDATE($N102,-3),"Invalid procurement method or date entered")</f>
        <v>45108</v>
      </c>
      <c r="N102" s="769">
        <f>IFERROR(EDATE(O102,-L102),"Invalid procurement method or date entered")</f>
        <v>45200</v>
      </c>
      <c r="O102" s="947">
        <v>45383</v>
      </c>
      <c r="P102" s="740">
        <v>48</v>
      </c>
      <c r="Q102" s="942" t="s">
        <v>6828</v>
      </c>
      <c r="R102" s="742">
        <v>156000</v>
      </c>
      <c r="S102" s="2239">
        <f t="shared" si="10"/>
        <v>187200</v>
      </c>
      <c r="T102" s="807" t="s">
        <v>45</v>
      </c>
      <c r="U102" s="744" t="s">
        <v>34</v>
      </c>
      <c r="V102" s="708" t="s">
        <v>130</v>
      </c>
      <c r="W102" s="710" t="s">
        <v>38</v>
      </c>
      <c r="X102" s="738" t="s">
        <v>67</v>
      </c>
      <c r="Y102" s="738"/>
      <c r="Z102" s="710" t="s">
        <v>1070</v>
      </c>
      <c r="AA102" s="2410" t="s">
        <v>1334</v>
      </c>
      <c r="AB102" s="710" t="s">
        <v>40</v>
      </c>
      <c r="AC102" s="710" t="s">
        <v>87</v>
      </c>
      <c r="AD102" s="710" t="s">
        <v>38</v>
      </c>
      <c r="AE102" s="2261" t="s">
        <v>5670</v>
      </c>
      <c r="AF102" s="717" t="s">
        <v>6829</v>
      </c>
      <c r="AG102" s="723" t="s">
        <v>979</v>
      </c>
      <c r="AH102" s="1376" t="str">
        <f t="shared" ca="1" si="9"/>
        <v>N/A</v>
      </c>
    </row>
    <row r="103" spans="1:34" s="901" customFormat="1" ht="39">
      <c r="A103" s="2281" t="s">
        <v>1170</v>
      </c>
      <c r="B103" s="2171" t="s">
        <v>44</v>
      </c>
      <c r="C103" s="2172" t="s">
        <v>5364</v>
      </c>
      <c r="D103" s="2172" t="s">
        <v>6830</v>
      </c>
      <c r="E103" s="2280" t="s">
        <v>1341</v>
      </c>
      <c r="F103" s="2172" t="s">
        <v>361</v>
      </c>
      <c r="G103" s="940" t="s">
        <v>362</v>
      </c>
      <c r="H103" s="710" t="s">
        <v>127</v>
      </c>
      <c r="I103" s="2172" t="s">
        <v>34</v>
      </c>
      <c r="J103" s="2281" t="s">
        <v>5365</v>
      </c>
      <c r="K103" s="2172" t="s">
        <v>5194</v>
      </c>
      <c r="L103" s="2281" t="s">
        <v>1170</v>
      </c>
      <c r="M103" s="731">
        <v>45078</v>
      </c>
      <c r="N103" s="2281" t="s">
        <v>1170</v>
      </c>
      <c r="O103" s="2174">
        <v>45189</v>
      </c>
      <c r="P103" s="2172">
        <v>48</v>
      </c>
      <c r="Q103" s="2172" t="s">
        <v>6831</v>
      </c>
      <c r="R103" s="2282">
        <v>120000</v>
      </c>
      <c r="S103" s="937">
        <f t="shared" si="10"/>
        <v>144000</v>
      </c>
      <c r="T103" s="2476">
        <v>30000</v>
      </c>
      <c r="U103" s="1477" t="s">
        <v>34</v>
      </c>
      <c r="V103" s="2172" t="s">
        <v>130</v>
      </c>
      <c r="W103" s="2172" t="s">
        <v>1170</v>
      </c>
      <c r="X103" s="2172" t="s">
        <v>1170</v>
      </c>
      <c r="Y103" s="2172"/>
      <c r="Z103" s="2172" t="s">
        <v>5366</v>
      </c>
      <c r="AA103" s="2439" t="s">
        <v>561</v>
      </c>
      <c r="AB103" s="2172" t="s">
        <v>40</v>
      </c>
      <c r="AC103" s="2283" t="s">
        <v>1170</v>
      </c>
      <c r="AD103" s="2172" t="s">
        <v>1170</v>
      </c>
      <c r="AE103" s="2261" t="s">
        <v>5670</v>
      </c>
      <c r="AF103" s="2379" t="s">
        <v>6832</v>
      </c>
      <c r="AG103" s="2285" t="s">
        <v>1170</v>
      </c>
      <c r="AH103" s="1376" t="str">
        <f t="shared" ca="1" si="9"/>
        <v>N/A</v>
      </c>
    </row>
    <row r="104" spans="1:34" s="901" customFormat="1" ht="39">
      <c r="A104" s="749"/>
      <c r="B104" s="782" t="s">
        <v>44</v>
      </c>
      <c r="C104" s="738" t="s">
        <v>1073</v>
      </c>
      <c r="D104" s="710" t="s">
        <v>32</v>
      </c>
      <c r="E104" s="794" t="s">
        <v>449</v>
      </c>
      <c r="F104" s="698" t="s">
        <v>1067</v>
      </c>
      <c r="G104" s="1449" t="s">
        <v>862</v>
      </c>
      <c r="H104" s="710" t="s">
        <v>1837</v>
      </c>
      <c r="I104" s="710" t="s">
        <v>34</v>
      </c>
      <c r="J104" s="709" t="s">
        <v>1074</v>
      </c>
      <c r="K104" s="710"/>
      <c r="L104" s="710">
        <v>6</v>
      </c>
      <c r="M104" s="769">
        <f>IFERROR(EDATE($N104,-3),"Invalid procurement method or date entered")</f>
        <v>45231</v>
      </c>
      <c r="N104" s="769">
        <f>IFERROR(EDATE(O104,-L104),"Invalid procurement method or date entered")</f>
        <v>45323</v>
      </c>
      <c r="O104" s="947">
        <v>45505</v>
      </c>
      <c r="P104" s="738">
        <v>48</v>
      </c>
      <c r="Q104" s="695" t="s">
        <v>5220</v>
      </c>
      <c r="R104" s="742">
        <v>60000</v>
      </c>
      <c r="S104" s="937">
        <f t="shared" si="10"/>
        <v>72000</v>
      </c>
      <c r="T104" s="1255"/>
      <c r="U104" s="793" t="s">
        <v>34</v>
      </c>
      <c r="V104" s="710" t="s">
        <v>130</v>
      </c>
      <c r="W104" s="710" t="s">
        <v>62</v>
      </c>
      <c r="X104" s="796" t="s">
        <v>45</v>
      </c>
      <c r="Y104" s="796"/>
      <c r="Z104" s="710" t="s">
        <v>1076</v>
      </c>
      <c r="AA104" s="2439" t="s">
        <v>283</v>
      </c>
      <c r="AB104" s="710" t="s">
        <v>40</v>
      </c>
      <c r="AC104" s="750" t="s">
        <v>69</v>
      </c>
      <c r="AD104" s="710" t="s">
        <v>70</v>
      </c>
      <c r="AE104" s="2261" t="s">
        <v>5670</v>
      </c>
      <c r="AF104" s="717" t="s">
        <v>6833</v>
      </c>
      <c r="AG104" s="723" t="s">
        <v>285</v>
      </c>
      <c r="AH104" s="1376" t="str">
        <f t="shared" ca="1" si="9"/>
        <v>N/A</v>
      </c>
    </row>
    <row r="105" spans="1:34" s="901" customFormat="1" ht="65">
      <c r="A105" s="749">
        <v>44799</v>
      </c>
      <c r="B105" s="725" t="s">
        <v>56</v>
      </c>
      <c r="C105" s="726" t="s">
        <v>45</v>
      </c>
      <c r="D105" s="890" t="s">
        <v>57</v>
      </c>
      <c r="E105" s="794" t="s">
        <v>449</v>
      </c>
      <c r="F105" s="727" t="s">
        <v>630</v>
      </c>
      <c r="G105" s="2190" t="s">
        <v>362</v>
      </c>
      <c r="H105" s="730" t="s">
        <v>4946</v>
      </c>
      <c r="I105" s="726" t="s">
        <v>47</v>
      </c>
      <c r="J105" s="729" t="s">
        <v>6834</v>
      </c>
      <c r="K105" s="726"/>
      <c r="L105" s="730">
        <v>3</v>
      </c>
      <c r="M105" s="731">
        <v>45047</v>
      </c>
      <c r="N105" s="712"/>
      <c r="O105" s="759">
        <v>45170</v>
      </c>
      <c r="P105" s="760">
        <v>1</v>
      </c>
      <c r="Q105" s="761">
        <v>1</v>
      </c>
      <c r="R105" s="742">
        <v>75000</v>
      </c>
      <c r="S105" s="937">
        <f t="shared" si="10"/>
        <v>90000</v>
      </c>
      <c r="T105" s="2615"/>
      <c r="U105" s="2476" t="s">
        <v>6226</v>
      </c>
      <c r="V105" s="734" t="s">
        <v>61</v>
      </c>
      <c r="W105" s="711" t="s">
        <v>589</v>
      </c>
      <c r="X105" s="711" t="s">
        <v>589</v>
      </c>
      <c r="Y105" s="711"/>
      <c r="Z105" s="726" t="s">
        <v>350</v>
      </c>
      <c r="AA105" s="730" t="s">
        <v>5039</v>
      </c>
      <c r="AB105" s="762" t="s">
        <v>40</v>
      </c>
      <c r="AC105" s="762"/>
      <c r="AD105" s="695" t="s">
        <v>70</v>
      </c>
      <c r="AE105" s="2261" t="s">
        <v>5670</v>
      </c>
      <c r="AF105" s="2536" t="s">
        <v>6835</v>
      </c>
      <c r="AG105" s="1273"/>
      <c r="AH105" s="1376" t="str">
        <f t="shared" ca="1" si="9"/>
        <v>N/A</v>
      </c>
    </row>
    <row r="106" spans="1:34" s="2705" customFormat="1" ht="78">
      <c r="A106" s="749">
        <v>44938</v>
      </c>
      <c r="B106" s="737" t="s">
        <v>100</v>
      </c>
      <c r="C106" s="707" t="s">
        <v>101</v>
      </c>
      <c r="D106" s="739" t="s">
        <v>122</v>
      </c>
      <c r="E106" s="794" t="s">
        <v>449</v>
      </c>
      <c r="F106" s="739" t="s">
        <v>122</v>
      </c>
      <c r="G106" s="2192" t="s">
        <v>1163</v>
      </c>
      <c r="H106" s="1369" t="s">
        <v>5060</v>
      </c>
      <c r="I106" s="710" t="s">
        <v>268</v>
      </c>
      <c r="J106" s="709" t="s">
        <v>6836</v>
      </c>
      <c r="K106" s="710" t="s">
        <v>6837</v>
      </c>
      <c r="L106" s="710">
        <v>12</v>
      </c>
      <c r="M106" s="711">
        <f>IFERROR(EDATE(N106,-3),"Invalid procurement method or date entered")</f>
        <v>44562</v>
      </c>
      <c r="N106" s="712">
        <f>IFERROR(EDATE(O106,-L106),"Invalid procurement method or date entered")</f>
        <v>44652</v>
      </c>
      <c r="O106" s="947">
        <v>45017</v>
      </c>
      <c r="P106" s="740">
        <v>84</v>
      </c>
      <c r="Q106" s="715" t="s">
        <v>1455</v>
      </c>
      <c r="R106" s="742">
        <v>476000</v>
      </c>
      <c r="S106" s="937">
        <f t="shared" si="10"/>
        <v>571200</v>
      </c>
      <c r="T106" s="793">
        <v>68000</v>
      </c>
      <c r="U106" s="1287" t="s">
        <v>268</v>
      </c>
      <c r="V106" s="708" t="s">
        <v>270</v>
      </c>
      <c r="W106" s="710" t="s">
        <v>70</v>
      </c>
      <c r="X106" s="710" t="s">
        <v>106</v>
      </c>
      <c r="Y106" s="710"/>
      <c r="Z106" s="710" t="s">
        <v>6838</v>
      </c>
      <c r="AA106" s="710" t="s">
        <v>357</v>
      </c>
      <c r="AB106" s="710" t="s">
        <v>40</v>
      </c>
      <c r="AC106" s="710" t="s">
        <v>87</v>
      </c>
      <c r="AD106" s="710"/>
      <c r="AE106" s="2261" t="s">
        <v>5670</v>
      </c>
      <c r="AF106" s="717" t="s">
        <v>6839</v>
      </c>
      <c r="AG106" s="723"/>
      <c r="AH106" s="1376" t="str">
        <f t="shared" ca="1" si="9"/>
        <v>N/A</v>
      </c>
    </row>
    <row r="107" spans="1:34" s="2677" customFormat="1" ht="26">
      <c r="A107" s="749">
        <v>44816</v>
      </c>
      <c r="B107" s="737" t="s">
        <v>44</v>
      </c>
      <c r="C107" s="738">
        <v>75329</v>
      </c>
      <c r="D107" s="739" t="s">
        <v>32</v>
      </c>
      <c r="E107" s="794" t="s">
        <v>449</v>
      </c>
      <c r="F107" s="739" t="s">
        <v>1067</v>
      </c>
      <c r="G107" s="2192" t="s">
        <v>569</v>
      </c>
      <c r="H107" s="710" t="s">
        <v>33</v>
      </c>
      <c r="I107" s="710" t="s">
        <v>47</v>
      </c>
      <c r="J107" s="709" t="s">
        <v>1029</v>
      </c>
      <c r="K107" s="710" t="s">
        <v>1030</v>
      </c>
      <c r="L107" s="710">
        <v>3</v>
      </c>
      <c r="M107" s="1499">
        <f>IFERROR(EDATE($N107,-3),"Invalid procurement method or date entered")</f>
        <v>45020</v>
      </c>
      <c r="N107" s="712">
        <f>IF(O107="tbc","",(IFERROR(EDATE(O107,-L107),"Invalid procurement method or date entered")))</f>
        <v>45111</v>
      </c>
      <c r="O107" s="947">
        <v>45203</v>
      </c>
      <c r="P107" s="750">
        <v>12</v>
      </c>
      <c r="Q107" s="723">
        <v>12</v>
      </c>
      <c r="R107" s="937">
        <v>99921.03</v>
      </c>
      <c r="S107" s="937">
        <f t="shared" si="10"/>
        <v>119905.236</v>
      </c>
      <c r="T107" s="2529">
        <v>99921.03</v>
      </c>
      <c r="U107" s="2476" t="s">
        <v>6226</v>
      </c>
      <c r="V107" s="1324" t="s">
        <v>84</v>
      </c>
      <c r="W107" s="711" t="s">
        <v>71</v>
      </c>
      <c r="X107" s="711" t="s">
        <v>589</v>
      </c>
      <c r="Y107" s="711"/>
      <c r="Z107" s="710" t="s">
        <v>1290</v>
      </c>
      <c r="AA107" s="915" t="s">
        <v>5005</v>
      </c>
      <c r="AB107" s="710" t="s">
        <v>40</v>
      </c>
      <c r="AC107" s="710"/>
      <c r="AD107" s="710" t="s">
        <v>38</v>
      </c>
      <c r="AE107" s="2222">
        <v>45124</v>
      </c>
      <c r="AF107" s="717" t="s">
        <v>6781</v>
      </c>
      <c r="AG107" s="723" t="s">
        <v>806</v>
      </c>
      <c r="AH107" s="1376">
        <f t="shared" ca="1" si="9"/>
        <v>184</v>
      </c>
    </row>
    <row r="108" spans="1:34" s="2677" customFormat="1" ht="65">
      <c r="A108" s="2281"/>
      <c r="B108" s="147" t="s">
        <v>44</v>
      </c>
      <c r="C108" s="2281"/>
      <c r="D108" s="2281" t="s">
        <v>4780</v>
      </c>
      <c r="E108" s="2285" t="s">
        <v>1341</v>
      </c>
      <c r="F108" s="2171" t="s">
        <v>1270</v>
      </c>
      <c r="G108" s="2736" t="s">
        <v>4994</v>
      </c>
      <c r="H108" s="1617" t="s">
        <v>4622</v>
      </c>
      <c r="I108" s="2172" t="s">
        <v>34</v>
      </c>
      <c r="J108" s="2281" t="s">
        <v>6840</v>
      </c>
      <c r="K108" s="2172" t="s">
        <v>5374</v>
      </c>
      <c r="L108" s="2281" t="s">
        <v>1170</v>
      </c>
      <c r="M108" s="2485">
        <v>45078</v>
      </c>
      <c r="N108" s="2281" t="s">
        <v>1170</v>
      </c>
      <c r="O108" s="2174">
        <v>45200</v>
      </c>
      <c r="P108" s="2172">
        <v>48</v>
      </c>
      <c r="Q108" s="2172" t="s">
        <v>1427</v>
      </c>
      <c r="R108" s="2387">
        <v>171508</v>
      </c>
      <c r="S108" s="2387">
        <v>205810</v>
      </c>
      <c r="T108" s="2637">
        <v>42877</v>
      </c>
      <c r="U108" s="703" t="s">
        <v>34</v>
      </c>
      <c r="V108" s="2171" t="s">
        <v>130</v>
      </c>
      <c r="W108" s="710" t="s">
        <v>62</v>
      </c>
      <c r="X108" s="2172" t="s">
        <v>71</v>
      </c>
      <c r="Y108" s="2281" t="s">
        <v>1170</v>
      </c>
      <c r="Z108" s="2172" t="s">
        <v>5375</v>
      </c>
      <c r="AA108" s="2172" t="s">
        <v>1445</v>
      </c>
      <c r="AB108" s="2172" t="s">
        <v>40</v>
      </c>
      <c r="AC108" s="750" t="s">
        <v>69</v>
      </c>
      <c r="AD108" s="2172" t="s">
        <v>1170</v>
      </c>
      <c r="AE108" s="2174">
        <v>45124</v>
      </c>
      <c r="AF108" s="2463" t="s">
        <v>6841</v>
      </c>
      <c r="AG108" s="2285" t="s">
        <v>1170</v>
      </c>
      <c r="AH108" s="1376">
        <f t="shared" ca="1" si="9"/>
        <v>184</v>
      </c>
    </row>
    <row r="109" spans="1:34" s="901" customFormat="1" ht="78">
      <c r="A109" s="749">
        <v>45063</v>
      </c>
      <c r="B109" s="755" t="s">
        <v>56</v>
      </c>
      <c r="C109" s="707" t="s">
        <v>45</v>
      </c>
      <c r="D109" s="710" t="s">
        <v>630</v>
      </c>
      <c r="E109" s="794" t="s">
        <v>6768</v>
      </c>
      <c r="F109" s="708" t="s">
        <v>630</v>
      </c>
      <c r="G109" s="1449" t="s">
        <v>1121</v>
      </c>
      <c r="H109" s="710" t="s">
        <v>4950</v>
      </c>
      <c r="I109" s="710" t="s">
        <v>34</v>
      </c>
      <c r="J109" s="709" t="s">
        <v>6842</v>
      </c>
      <c r="K109" s="710" t="s">
        <v>6843</v>
      </c>
      <c r="L109" s="710"/>
      <c r="M109" s="711">
        <v>45078</v>
      </c>
      <c r="N109" s="712" t="s">
        <v>60</v>
      </c>
      <c r="O109" s="713">
        <v>45108</v>
      </c>
      <c r="P109" s="777">
        <v>48</v>
      </c>
      <c r="Q109" s="777" t="s">
        <v>82</v>
      </c>
      <c r="R109" s="742">
        <f>(8199.47*12)*4</f>
        <v>393574.55999999994</v>
      </c>
      <c r="S109" s="937">
        <f>IF(ISNUMBER(R109),SUM(R109*20%)+R109,"")</f>
        <v>472289.47199999995</v>
      </c>
      <c r="T109" s="2529">
        <f>R109/4</f>
        <v>98393.639999999985</v>
      </c>
      <c r="U109" s="888" t="s">
        <v>34</v>
      </c>
      <c r="V109" s="708" t="s">
        <v>130</v>
      </c>
      <c r="W109" s="710" t="s">
        <v>60</v>
      </c>
      <c r="X109" s="710" t="s">
        <v>60</v>
      </c>
      <c r="Y109" s="710"/>
      <c r="Z109" s="710" t="s">
        <v>6844</v>
      </c>
      <c r="AA109" s="710" t="s">
        <v>920</v>
      </c>
      <c r="AB109" s="710" t="s">
        <v>40</v>
      </c>
      <c r="AC109" s="710" t="s">
        <v>45</v>
      </c>
      <c r="AD109" s="724" t="s">
        <v>70</v>
      </c>
      <c r="AE109" s="2261" t="s">
        <v>5670</v>
      </c>
      <c r="AF109" s="2584" t="s">
        <v>6845</v>
      </c>
      <c r="AG109" s="723"/>
      <c r="AH109" s="1376" t="str">
        <f t="shared" ca="1" si="9"/>
        <v>N/A</v>
      </c>
    </row>
    <row r="110" spans="1:34" s="901" customFormat="1" ht="40.5" customHeight="1">
      <c r="A110" s="2314">
        <v>45050</v>
      </c>
      <c r="B110" s="719" t="s">
        <v>100</v>
      </c>
      <c r="C110" s="722" t="s">
        <v>45</v>
      </c>
      <c r="D110" s="1271" t="s">
        <v>110</v>
      </c>
      <c r="E110" s="794" t="s">
        <v>6768</v>
      </c>
      <c r="F110" s="1271" t="s">
        <v>110</v>
      </c>
      <c r="G110" s="1452" t="s">
        <v>1146</v>
      </c>
      <c r="H110" s="723" t="s">
        <v>4995</v>
      </c>
      <c r="I110" s="708" t="s">
        <v>34</v>
      </c>
      <c r="J110" s="709" t="s">
        <v>5421</v>
      </c>
      <c r="K110" s="710" t="s">
        <v>5422</v>
      </c>
      <c r="L110" s="710">
        <v>12</v>
      </c>
      <c r="M110" s="769">
        <f>IFERROR(EDATE($N110,-3),"Invalid procurement method or date entered")</f>
        <v>44805</v>
      </c>
      <c r="N110" s="769">
        <f>IFERROR(EDATE(O110,-L110),"Invalid procurement method or date entered")</f>
        <v>44896</v>
      </c>
      <c r="O110" s="2500">
        <v>45261</v>
      </c>
      <c r="P110" s="741">
        <v>84</v>
      </c>
      <c r="Q110" s="741" t="s">
        <v>112</v>
      </c>
      <c r="R110" s="807">
        <v>47713000</v>
      </c>
      <c r="S110" s="937">
        <f>R110*1.2</f>
        <v>57255600</v>
      </c>
      <c r="T110" s="793">
        <v>5964125</v>
      </c>
      <c r="U110" s="2476" t="s">
        <v>34</v>
      </c>
      <c r="V110" s="708" t="s">
        <v>130</v>
      </c>
      <c r="W110" s="710" t="s">
        <v>200</v>
      </c>
      <c r="X110" s="707" t="s">
        <v>45</v>
      </c>
      <c r="Y110" s="738"/>
      <c r="Z110" s="710" t="s">
        <v>5423</v>
      </c>
      <c r="AA110" s="915" t="s">
        <v>1445</v>
      </c>
      <c r="AB110" s="710" t="s">
        <v>40</v>
      </c>
      <c r="AC110" s="710" t="s">
        <v>87</v>
      </c>
      <c r="AD110" s="710" t="s">
        <v>70</v>
      </c>
      <c r="AE110" s="2261" t="s">
        <v>5670</v>
      </c>
      <c r="AF110" s="717" t="s">
        <v>6846</v>
      </c>
      <c r="AG110" s="798"/>
      <c r="AH110" s="1376" t="str">
        <f t="shared" ca="1" si="9"/>
        <v>N/A</v>
      </c>
    </row>
    <row r="111" spans="1:34" s="901" customFormat="1" ht="40.5" customHeight="1">
      <c r="A111" s="2281" t="s">
        <v>1170</v>
      </c>
      <c r="B111" s="2171" t="s">
        <v>56</v>
      </c>
      <c r="C111" s="2172" t="s">
        <v>1170</v>
      </c>
      <c r="D111" s="2172" t="s">
        <v>4780</v>
      </c>
      <c r="E111" s="2280" t="s">
        <v>1341</v>
      </c>
      <c r="F111" s="2171" t="s">
        <v>361</v>
      </c>
      <c r="G111" s="2189" t="s">
        <v>4943</v>
      </c>
      <c r="H111" s="710" t="s">
        <v>4622</v>
      </c>
      <c r="I111" s="2172" t="s">
        <v>246</v>
      </c>
      <c r="J111" s="2281" t="s">
        <v>6847</v>
      </c>
      <c r="K111" s="2172" t="s">
        <v>1170</v>
      </c>
      <c r="L111" s="2281" t="s">
        <v>1170</v>
      </c>
      <c r="M111" s="2485">
        <v>45108</v>
      </c>
      <c r="N111" s="2281" t="s">
        <v>1170</v>
      </c>
      <c r="O111" s="2174">
        <v>45359</v>
      </c>
      <c r="P111" s="2172" t="s">
        <v>1170</v>
      </c>
      <c r="Q111" s="2172" t="s">
        <v>1170</v>
      </c>
      <c r="R111" s="2282">
        <v>56000</v>
      </c>
      <c r="S111" s="937">
        <f t="shared" ref="S111:S134" si="11">IF(ISNUMBER(R111),SUM(R111*20%)+R111,"")</f>
        <v>67200</v>
      </c>
      <c r="T111" s="2476">
        <v>14000</v>
      </c>
      <c r="U111" s="2471" t="s">
        <v>176</v>
      </c>
      <c r="V111" s="2172" t="s">
        <v>3325</v>
      </c>
      <c r="W111" s="2172" t="s">
        <v>62</v>
      </c>
      <c r="X111" s="2172" t="s">
        <v>1170</v>
      </c>
      <c r="Y111" s="2172"/>
      <c r="Z111" s="2172" t="s">
        <v>4977</v>
      </c>
      <c r="AA111" s="2286" t="s">
        <v>5066</v>
      </c>
      <c r="AB111" s="2172" t="s">
        <v>40</v>
      </c>
      <c r="AC111" s="2283" t="s">
        <v>1170</v>
      </c>
      <c r="AD111" s="2172" t="s">
        <v>70</v>
      </c>
      <c r="AE111" s="2261" t="s">
        <v>5670</v>
      </c>
      <c r="AF111" s="2379" t="s">
        <v>6848</v>
      </c>
      <c r="AG111" s="2285" t="s">
        <v>1170</v>
      </c>
      <c r="AH111" s="1376" t="str">
        <f t="shared" ca="1" si="9"/>
        <v>N/A</v>
      </c>
    </row>
    <row r="112" spans="1:34" s="906" customFormat="1" ht="39">
      <c r="A112" s="749">
        <v>45071</v>
      </c>
      <c r="B112" s="890" t="s">
        <v>56</v>
      </c>
      <c r="C112" s="726" t="s">
        <v>45</v>
      </c>
      <c r="D112" s="730" t="s">
        <v>1270</v>
      </c>
      <c r="E112" s="794" t="s">
        <v>4993</v>
      </c>
      <c r="F112" s="727" t="s">
        <v>1270</v>
      </c>
      <c r="G112" s="727" t="s">
        <v>4994</v>
      </c>
      <c r="H112" s="730" t="s">
        <v>4956</v>
      </c>
      <c r="I112" s="726" t="s">
        <v>47</v>
      </c>
      <c r="J112" s="729" t="s">
        <v>6849</v>
      </c>
      <c r="K112" s="726"/>
      <c r="L112" s="730"/>
      <c r="M112" s="731">
        <v>45078</v>
      </c>
      <c r="N112" s="712" t="s">
        <v>60</v>
      </c>
      <c r="O112" s="759" t="s">
        <v>60</v>
      </c>
      <c r="P112" s="2418">
        <v>48</v>
      </c>
      <c r="Q112" s="759" t="s">
        <v>1578</v>
      </c>
      <c r="R112" s="937">
        <f>(3*40000)*4</f>
        <v>480000</v>
      </c>
      <c r="S112" s="937">
        <f t="shared" si="11"/>
        <v>576000</v>
      </c>
      <c r="T112" s="1289">
        <v>120000</v>
      </c>
      <c r="U112" s="2471"/>
      <c r="V112" s="711" t="s">
        <v>91</v>
      </c>
      <c r="W112" s="711" t="s">
        <v>62</v>
      </c>
      <c r="X112" s="711" t="s">
        <v>60</v>
      </c>
      <c r="Y112" s="711"/>
      <c r="Z112" s="726" t="s">
        <v>5294</v>
      </c>
      <c r="AA112" s="730" t="s">
        <v>5094</v>
      </c>
      <c r="AB112" s="762" t="s">
        <v>40</v>
      </c>
      <c r="AC112" s="1309" t="s">
        <v>5104</v>
      </c>
      <c r="AD112" s="695" t="s">
        <v>70</v>
      </c>
      <c r="AE112" s="2261" t="s">
        <v>5670</v>
      </c>
      <c r="AF112" s="2534" t="s">
        <v>6850</v>
      </c>
      <c r="AG112" s="1165"/>
      <c r="AH112" s="1376" t="str">
        <f t="shared" ca="1" si="9"/>
        <v>N/A</v>
      </c>
    </row>
    <row r="113" spans="1:36" s="906" customFormat="1" ht="40.5" customHeight="1">
      <c r="A113" s="2428">
        <v>45027</v>
      </c>
      <c r="B113" s="2438" t="s">
        <v>44</v>
      </c>
      <c r="C113" s="2418">
        <v>21564</v>
      </c>
      <c r="D113" s="2418" t="s">
        <v>1551</v>
      </c>
      <c r="E113" s="2416" t="s">
        <v>4704</v>
      </c>
      <c r="F113" s="1430" t="s">
        <v>1270</v>
      </c>
      <c r="G113" s="1430" t="s">
        <v>4981</v>
      </c>
      <c r="H113" s="710" t="s">
        <v>33</v>
      </c>
      <c r="I113" s="2418" t="s">
        <v>34</v>
      </c>
      <c r="J113" s="2406" t="s">
        <v>6851</v>
      </c>
      <c r="K113" s="2418" t="s">
        <v>5384</v>
      </c>
      <c r="L113" s="2418"/>
      <c r="M113" s="731">
        <v>45078</v>
      </c>
      <c r="N113" s="2418"/>
      <c r="O113" s="2421">
        <v>45118</v>
      </c>
      <c r="P113" s="2418">
        <v>48</v>
      </c>
      <c r="Q113" s="2415" t="s">
        <v>1075</v>
      </c>
      <c r="R113" s="807">
        <v>128000</v>
      </c>
      <c r="S113" s="1289">
        <f t="shared" si="11"/>
        <v>153600</v>
      </c>
      <c r="T113" s="1287">
        <v>32000</v>
      </c>
      <c r="U113" s="2476" t="s">
        <v>45</v>
      </c>
      <c r="V113" s="2171" t="s">
        <v>45</v>
      </c>
      <c r="W113" s="2418"/>
      <c r="X113" s="2418"/>
      <c r="Y113" s="2418"/>
      <c r="Z113" s="2418" t="s">
        <v>5279</v>
      </c>
      <c r="AA113" s="2439" t="s">
        <v>1334</v>
      </c>
      <c r="AB113" s="2418" t="s">
        <v>40</v>
      </c>
      <c r="AC113" s="2415"/>
      <c r="AD113" s="2418"/>
      <c r="AE113" s="2261" t="s">
        <v>5670</v>
      </c>
      <c r="AF113" s="2433" t="s">
        <v>6852</v>
      </c>
      <c r="AG113" s="2390"/>
      <c r="AH113" s="1376" t="str">
        <f t="shared" ca="1" si="9"/>
        <v>N/A</v>
      </c>
    </row>
    <row r="114" spans="1:36" s="906" customFormat="1" ht="40.5" customHeight="1">
      <c r="A114" s="1637">
        <v>44960</v>
      </c>
      <c r="B114" s="2198" t="s">
        <v>44</v>
      </c>
      <c r="C114" s="1632" t="s">
        <v>5390</v>
      </c>
      <c r="D114" s="1632" t="s">
        <v>1551</v>
      </c>
      <c r="E114" s="1631" t="s">
        <v>4961</v>
      </c>
      <c r="F114" s="1632" t="s">
        <v>630</v>
      </c>
      <c r="G114" s="1632" t="s">
        <v>4964</v>
      </c>
      <c r="H114" s="1632" t="s">
        <v>4622</v>
      </c>
      <c r="I114" s="2418" t="s">
        <v>34</v>
      </c>
      <c r="J114" s="2281" t="s">
        <v>5391</v>
      </c>
      <c r="K114" s="1632" t="s">
        <v>4983</v>
      </c>
      <c r="L114" s="1632"/>
      <c r="M114" s="1637">
        <v>45108</v>
      </c>
      <c r="N114" s="1632"/>
      <c r="O114" s="2174">
        <v>45234</v>
      </c>
      <c r="P114" s="2613">
        <v>48</v>
      </c>
      <c r="Q114" s="2613" t="s">
        <v>982</v>
      </c>
      <c r="R114" s="2664">
        <v>45610</v>
      </c>
      <c r="S114" s="937">
        <f t="shared" si="11"/>
        <v>54732</v>
      </c>
      <c r="T114" s="2476">
        <f>SUM(R114/4)</f>
        <v>11402.5</v>
      </c>
      <c r="U114" s="2471" t="s">
        <v>34</v>
      </c>
      <c r="V114" s="2172" t="s">
        <v>130</v>
      </c>
      <c r="W114" s="1632"/>
      <c r="X114" s="1632"/>
      <c r="Y114" s="1632"/>
      <c r="Z114" s="1632" t="s">
        <v>5392</v>
      </c>
      <c r="AA114" s="2439" t="s">
        <v>1445</v>
      </c>
      <c r="AB114" s="710" t="s">
        <v>40</v>
      </c>
      <c r="AC114" s="1634"/>
      <c r="AD114" s="1632"/>
      <c r="AE114" s="2261" t="s">
        <v>5670</v>
      </c>
      <c r="AF114" s="2419" t="s">
        <v>6853</v>
      </c>
      <c r="AG114" s="2420"/>
      <c r="AH114" s="1376" t="str">
        <f t="shared" ca="1" si="9"/>
        <v>N/A</v>
      </c>
      <c r="AI114" s="1395"/>
      <c r="AJ114" s="906">
        <v>1</v>
      </c>
    </row>
    <row r="115" spans="1:36" s="906" customFormat="1" ht="40.5" customHeight="1">
      <c r="A115" s="749"/>
      <c r="B115" s="725" t="s">
        <v>56</v>
      </c>
      <c r="C115" s="726" t="s">
        <v>60</v>
      </c>
      <c r="D115" s="727" t="s">
        <v>122</v>
      </c>
      <c r="E115" s="794" t="s">
        <v>449</v>
      </c>
      <c r="F115" s="727" t="s">
        <v>122</v>
      </c>
      <c r="G115" s="727" t="s">
        <v>362</v>
      </c>
      <c r="H115" s="730" t="s">
        <v>4946</v>
      </c>
      <c r="I115" s="726" t="s">
        <v>47</v>
      </c>
      <c r="J115" s="729" t="s">
        <v>6854</v>
      </c>
      <c r="K115" s="726" t="s">
        <v>71</v>
      </c>
      <c r="L115" s="730">
        <v>12</v>
      </c>
      <c r="M115" s="731">
        <v>44958</v>
      </c>
      <c r="N115" s="712">
        <f>IF(O115="tbc","",(IFERROR(EDATE(O115,-L115),"Invalid procurement method or date entered")))</f>
        <v>44743</v>
      </c>
      <c r="O115" s="759">
        <v>45108</v>
      </c>
      <c r="P115" s="760">
        <v>3</v>
      </c>
      <c r="Q115" s="761">
        <v>3</v>
      </c>
      <c r="R115" s="742">
        <f>520000*0.8</f>
        <v>416000</v>
      </c>
      <c r="S115" s="937">
        <f t="shared" si="11"/>
        <v>499200</v>
      </c>
      <c r="T115" s="2528">
        <v>255552</v>
      </c>
      <c r="U115" s="2475" t="s">
        <v>6226</v>
      </c>
      <c r="V115" s="734" t="s">
        <v>75</v>
      </c>
      <c r="W115" s="711" t="s">
        <v>62</v>
      </c>
      <c r="X115" s="711" t="s">
        <v>71</v>
      </c>
      <c r="Y115" s="711"/>
      <c r="Z115" s="730" t="s">
        <v>714</v>
      </c>
      <c r="AA115" s="710" t="s">
        <v>312</v>
      </c>
      <c r="AB115" s="710" t="s">
        <v>40</v>
      </c>
      <c r="AC115" s="1308" t="s">
        <v>69</v>
      </c>
      <c r="AD115" s="695" t="s">
        <v>70</v>
      </c>
      <c r="AE115" s="2261" t="s">
        <v>5670</v>
      </c>
      <c r="AF115" s="2534" t="s">
        <v>6855</v>
      </c>
      <c r="AG115" s="924"/>
      <c r="AH115" s="1376" t="str">
        <f t="shared" ca="1" si="9"/>
        <v>N/A</v>
      </c>
    </row>
    <row r="116" spans="1:36" s="906" customFormat="1" ht="40.5" customHeight="1">
      <c r="A116" s="749">
        <v>44904</v>
      </c>
      <c r="B116" s="706" t="s">
        <v>56</v>
      </c>
      <c r="C116" s="707" t="s">
        <v>45</v>
      </c>
      <c r="D116" s="708" t="s">
        <v>847</v>
      </c>
      <c r="E116" s="794" t="s">
        <v>449</v>
      </c>
      <c r="F116" s="1385" t="s">
        <v>630</v>
      </c>
      <c r="G116" s="1311" t="s">
        <v>1360</v>
      </c>
      <c r="H116" s="710" t="s">
        <v>4946</v>
      </c>
      <c r="I116" s="710" t="s">
        <v>47</v>
      </c>
      <c r="J116" s="709" t="s">
        <v>6856</v>
      </c>
      <c r="K116" s="710" t="s">
        <v>71</v>
      </c>
      <c r="L116" s="710">
        <v>3</v>
      </c>
      <c r="M116" s="711">
        <v>44986</v>
      </c>
      <c r="N116" s="712" t="s">
        <v>60</v>
      </c>
      <c r="O116" s="713">
        <v>45078</v>
      </c>
      <c r="P116" s="714">
        <v>4</v>
      </c>
      <c r="Q116" s="715" t="s">
        <v>60</v>
      </c>
      <c r="R116" s="742">
        <v>777000</v>
      </c>
      <c r="S116" s="937">
        <f t="shared" si="11"/>
        <v>932400</v>
      </c>
      <c r="T116" s="2528">
        <v>981030.97</v>
      </c>
      <c r="U116" s="2475" t="s">
        <v>6226</v>
      </c>
      <c r="V116" s="708" t="s">
        <v>61</v>
      </c>
      <c r="W116" s="710" t="s">
        <v>38</v>
      </c>
      <c r="X116" s="710" t="s">
        <v>71</v>
      </c>
      <c r="Y116" s="710"/>
      <c r="Z116" s="710" t="s">
        <v>5140</v>
      </c>
      <c r="AA116" s="710" t="s">
        <v>312</v>
      </c>
      <c r="AB116" s="710" t="s">
        <v>40</v>
      </c>
      <c r="AC116" s="710" t="s">
        <v>45</v>
      </c>
      <c r="AD116" s="724" t="s">
        <v>70</v>
      </c>
      <c r="AE116" s="2261" t="s">
        <v>5670</v>
      </c>
      <c r="AF116" s="2534" t="s">
        <v>6855</v>
      </c>
      <c r="AG116" s="723"/>
      <c r="AH116" s="1376" t="str">
        <f t="shared" ca="1" si="9"/>
        <v>N/A</v>
      </c>
    </row>
    <row r="117" spans="1:36" s="906" customFormat="1" ht="40.5" customHeight="1">
      <c r="A117" s="749"/>
      <c r="B117" s="725" t="s">
        <v>56</v>
      </c>
      <c r="C117" s="726" t="s">
        <v>60</v>
      </c>
      <c r="D117" s="2400" t="s">
        <v>348</v>
      </c>
      <c r="E117" s="794" t="s">
        <v>449</v>
      </c>
      <c r="F117" s="739" t="s">
        <v>361</v>
      </c>
      <c r="G117" s="739" t="s">
        <v>362</v>
      </c>
      <c r="H117" s="730" t="s">
        <v>4950</v>
      </c>
      <c r="I117" s="726" t="s">
        <v>34</v>
      </c>
      <c r="J117" s="729" t="s">
        <v>5602</v>
      </c>
      <c r="K117" s="726" t="s">
        <v>365</v>
      </c>
      <c r="L117" s="730">
        <v>12</v>
      </c>
      <c r="M117" s="731">
        <v>44687</v>
      </c>
      <c r="N117" s="712">
        <f>IF(O117="tbc","",(IFERROR(EDATE(O117,-L117),"Invalid procurement method or date entered")))</f>
        <v>44701</v>
      </c>
      <c r="O117" s="759">
        <v>45066</v>
      </c>
      <c r="P117" s="760">
        <v>24</v>
      </c>
      <c r="Q117" s="761">
        <v>24</v>
      </c>
      <c r="R117" s="742">
        <v>930000</v>
      </c>
      <c r="S117" s="937">
        <f t="shared" si="11"/>
        <v>1116000</v>
      </c>
      <c r="T117" s="937">
        <v>465000</v>
      </c>
      <c r="U117" s="793" t="s">
        <v>34</v>
      </c>
      <c r="V117" s="734" t="s">
        <v>130</v>
      </c>
      <c r="W117" s="711" t="s">
        <v>589</v>
      </c>
      <c r="X117" s="711" t="s">
        <v>589</v>
      </c>
      <c r="Y117" s="711"/>
      <c r="Z117" s="730" t="s">
        <v>4979</v>
      </c>
      <c r="AA117" s="730" t="s">
        <v>561</v>
      </c>
      <c r="AB117" s="762" t="s">
        <v>40</v>
      </c>
      <c r="AC117" s="1308" t="s">
        <v>154</v>
      </c>
      <c r="AD117" s="695" t="s">
        <v>70</v>
      </c>
      <c r="AE117" s="2261" t="s">
        <v>5670</v>
      </c>
      <c r="AF117" s="2534" t="s">
        <v>6857</v>
      </c>
      <c r="AG117" s="924"/>
      <c r="AH117" s="1376" t="str">
        <f t="shared" ca="1" si="9"/>
        <v>N/A</v>
      </c>
    </row>
    <row r="118" spans="1:36" s="906" customFormat="1" ht="40.5" customHeight="1">
      <c r="A118" s="749" t="s">
        <v>71</v>
      </c>
      <c r="B118" s="737" t="s">
        <v>56</v>
      </c>
      <c r="C118" s="738"/>
      <c r="D118" s="808" t="s">
        <v>57</v>
      </c>
      <c r="E118" s="794" t="s">
        <v>449</v>
      </c>
      <c r="F118" s="808" t="s">
        <v>630</v>
      </c>
      <c r="G118" s="1311" t="s">
        <v>1121</v>
      </c>
      <c r="H118" s="710" t="s">
        <v>1486</v>
      </c>
      <c r="I118" s="707" t="s">
        <v>34</v>
      </c>
      <c r="J118" s="709" t="s">
        <v>6858</v>
      </c>
      <c r="K118" s="710" t="s">
        <v>793</v>
      </c>
      <c r="L118" s="710">
        <v>9</v>
      </c>
      <c r="M118" s="769">
        <f>IFERROR(EDATE($N118,-3),"Invalid procurement method or date entered")</f>
        <v>44743</v>
      </c>
      <c r="N118" s="769">
        <f>IFERROR(EDATE(O118,-L118),"Invalid procurement method or date entered")</f>
        <v>44835</v>
      </c>
      <c r="O118" s="947">
        <v>45108</v>
      </c>
      <c r="P118" s="740"/>
      <c r="Q118" s="741"/>
      <c r="R118" s="742"/>
      <c r="S118" s="937" t="str">
        <f t="shared" si="11"/>
        <v/>
      </c>
      <c r="T118" s="2528" t="s">
        <v>45</v>
      </c>
      <c r="U118" s="793" t="s">
        <v>34</v>
      </c>
      <c r="V118" s="727" t="s">
        <v>130</v>
      </c>
      <c r="W118" s="840" t="s">
        <v>70</v>
      </c>
      <c r="X118" s="840">
        <v>44281</v>
      </c>
      <c r="Y118" s="840"/>
      <c r="Z118" s="730" t="s">
        <v>167</v>
      </c>
      <c r="AA118" s="710" t="s">
        <v>283</v>
      </c>
      <c r="AB118" s="710" t="s">
        <v>40</v>
      </c>
      <c r="AC118" s="710" t="s">
        <v>69</v>
      </c>
      <c r="AD118" s="710" t="s">
        <v>70</v>
      </c>
      <c r="AE118" s="2261" t="s">
        <v>5670</v>
      </c>
      <c r="AF118" s="2735" t="s">
        <v>6859</v>
      </c>
      <c r="AG118" s="741" t="s">
        <v>165</v>
      </c>
      <c r="AH118" s="1376" t="str">
        <f t="shared" ca="1" si="9"/>
        <v>N/A</v>
      </c>
    </row>
    <row r="119" spans="1:36" s="906" customFormat="1" ht="40.5" customHeight="1">
      <c r="A119" s="2428">
        <v>45027</v>
      </c>
      <c r="B119" s="2437" t="s">
        <v>56</v>
      </c>
      <c r="C119" s="695" t="s">
        <v>6860</v>
      </c>
      <c r="D119" s="2422" t="s">
        <v>1551</v>
      </c>
      <c r="E119" s="2416" t="s">
        <v>4704</v>
      </c>
      <c r="F119" s="1326" t="s">
        <v>630</v>
      </c>
      <c r="G119" s="1311" t="s">
        <v>1360</v>
      </c>
      <c r="H119" s="710" t="s">
        <v>4959</v>
      </c>
      <c r="I119" s="2418" t="s">
        <v>34</v>
      </c>
      <c r="J119" s="2406" t="s">
        <v>5336</v>
      </c>
      <c r="K119" s="2418" t="s">
        <v>6861</v>
      </c>
      <c r="L119" s="2418"/>
      <c r="M119" s="2421">
        <v>45047</v>
      </c>
      <c r="N119" s="2418"/>
      <c r="O119" s="2421">
        <v>45135</v>
      </c>
      <c r="P119" s="2415">
        <v>48</v>
      </c>
      <c r="Q119" s="2416" t="s">
        <v>1075</v>
      </c>
      <c r="R119" s="2486">
        <v>324000</v>
      </c>
      <c r="S119" s="937">
        <f t="shared" si="11"/>
        <v>388800</v>
      </c>
      <c r="T119" s="937">
        <v>81000</v>
      </c>
      <c r="U119" s="2476" t="s">
        <v>34</v>
      </c>
      <c r="V119" s="2282" t="s">
        <v>34</v>
      </c>
      <c r="W119" s="2418"/>
      <c r="X119" s="2418" t="s">
        <v>71</v>
      </c>
      <c r="Y119" s="2410"/>
      <c r="Z119" s="2418" t="s">
        <v>6862</v>
      </c>
      <c r="AA119" s="2418" t="s">
        <v>561</v>
      </c>
      <c r="AB119" s="2441" t="s">
        <v>40</v>
      </c>
      <c r="AC119" s="2418" t="s">
        <v>69</v>
      </c>
      <c r="AD119" s="695" t="s">
        <v>70</v>
      </c>
      <c r="AE119" s="2261" t="s">
        <v>5670</v>
      </c>
      <c r="AF119" s="2433" t="s">
        <v>6863</v>
      </c>
      <c r="AG119" s="2390"/>
      <c r="AH119" s="1376" t="str">
        <f t="shared" ca="1" si="9"/>
        <v>N/A</v>
      </c>
    </row>
    <row r="120" spans="1:36" s="901" customFormat="1" ht="40.5" customHeight="1">
      <c r="A120" s="2281" t="s">
        <v>1170</v>
      </c>
      <c r="B120" s="2381" t="s">
        <v>56</v>
      </c>
      <c r="C120" s="2172" t="s">
        <v>6864</v>
      </c>
      <c r="D120" s="2171" t="s">
        <v>1390</v>
      </c>
      <c r="E120" s="2280" t="s">
        <v>1341</v>
      </c>
      <c r="F120" s="2171" t="s">
        <v>1270</v>
      </c>
      <c r="G120" s="2286" t="s">
        <v>1366</v>
      </c>
      <c r="H120" s="2172" t="s">
        <v>4622</v>
      </c>
      <c r="I120" s="2172" t="s">
        <v>34</v>
      </c>
      <c r="J120" s="2281" t="s">
        <v>6865</v>
      </c>
      <c r="K120" s="2172" t="s">
        <v>6866</v>
      </c>
      <c r="L120" s="2281" t="s">
        <v>1170</v>
      </c>
      <c r="M120" s="2485" t="s">
        <v>1170</v>
      </c>
      <c r="N120" s="2485" t="s">
        <v>1170</v>
      </c>
      <c r="O120" s="2174">
        <v>45155</v>
      </c>
      <c r="P120" s="2283">
        <v>48</v>
      </c>
      <c r="Q120" s="2280" t="s">
        <v>1427</v>
      </c>
      <c r="R120" s="2282">
        <v>91000</v>
      </c>
      <c r="S120" s="937">
        <f t="shared" si="11"/>
        <v>109200</v>
      </c>
      <c r="T120" s="2476">
        <v>22750</v>
      </c>
      <c r="U120" s="744" t="s">
        <v>34</v>
      </c>
      <c r="V120" s="2171" t="s">
        <v>130</v>
      </c>
      <c r="W120" s="2172" t="s">
        <v>1170</v>
      </c>
      <c r="X120" s="2172" t="s">
        <v>1170</v>
      </c>
      <c r="Y120" s="2172"/>
      <c r="Z120" s="2172" t="s">
        <v>6867</v>
      </c>
      <c r="AA120" s="2172" t="s">
        <v>561</v>
      </c>
      <c r="AB120" s="2172" t="s">
        <v>40</v>
      </c>
      <c r="AC120" s="2172" t="s">
        <v>1170</v>
      </c>
      <c r="AD120" s="2172" t="s">
        <v>1170</v>
      </c>
      <c r="AE120" s="2261" t="s">
        <v>5670</v>
      </c>
      <c r="AF120" s="2379" t="s">
        <v>6868</v>
      </c>
      <c r="AG120" s="2285" t="s">
        <v>1170</v>
      </c>
      <c r="AH120" s="1376" t="str">
        <f t="shared" ca="1" si="9"/>
        <v>N/A</v>
      </c>
    </row>
    <row r="121" spans="1:36" s="908" customFormat="1" ht="40.5" customHeight="1">
      <c r="A121" s="749">
        <v>44855</v>
      </c>
      <c r="B121" s="725" t="s">
        <v>56</v>
      </c>
      <c r="C121" s="726">
        <v>72831</v>
      </c>
      <c r="D121" s="727" t="s">
        <v>122</v>
      </c>
      <c r="E121" s="794" t="s">
        <v>449</v>
      </c>
      <c r="F121" s="727" t="s">
        <v>122</v>
      </c>
      <c r="G121" s="727" t="s">
        <v>362</v>
      </c>
      <c r="H121" s="730" t="s">
        <v>4946</v>
      </c>
      <c r="I121" s="726" t="s">
        <v>47</v>
      </c>
      <c r="J121" s="729" t="s">
        <v>6869</v>
      </c>
      <c r="K121" s="726" t="s">
        <v>6870</v>
      </c>
      <c r="L121" s="730">
        <v>3</v>
      </c>
      <c r="M121" s="731">
        <v>44986</v>
      </c>
      <c r="N121" s="712" t="s">
        <v>60</v>
      </c>
      <c r="O121" s="759" t="s">
        <v>60</v>
      </c>
      <c r="P121" s="2557" t="s">
        <v>60</v>
      </c>
      <c r="Q121" s="1273" t="s">
        <v>60</v>
      </c>
      <c r="R121" s="742">
        <v>275000</v>
      </c>
      <c r="S121" s="937">
        <f t="shared" si="11"/>
        <v>330000</v>
      </c>
      <c r="T121" s="2724">
        <v>290361.81</v>
      </c>
      <c r="U121" s="2475" t="s">
        <v>6226</v>
      </c>
      <c r="V121" s="711" t="s">
        <v>75</v>
      </c>
      <c r="W121" s="711" t="s">
        <v>62</v>
      </c>
      <c r="X121" s="711" t="s">
        <v>589</v>
      </c>
      <c r="Y121" s="711"/>
      <c r="Z121" s="726" t="s">
        <v>714</v>
      </c>
      <c r="AA121" s="730" t="s">
        <v>5138</v>
      </c>
      <c r="AB121" s="762" t="s">
        <v>40</v>
      </c>
      <c r="AC121" s="762" t="s">
        <v>154</v>
      </c>
      <c r="AD121" s="749"/>
      <c r="AE121" s="2261" t="s">
        <v>5670</v>
      </c>
      <c r="AF121" s="2534" t="s">
        <v>6871</v>
      </c>
      <c r="AG121" s="1165"/>
      <c r="AH121" s="1376" t="str">
        <f t="shared" ca="1" si="9"/>
        <v>N/A</v>
      </c>
      <c r="AI121" s="906"/>
      <c r="AJ121" s="906"/>
    </row>
    <row r="122" spans="1:36" s="906" customFormat="1" ht="40.5" customHeight="1">
      <c r="A122" s="749"/>
      <c r="B122" s="725" t="s">
        <v>56</v>
      </c>
      <c r="C122" s="726">
        <v>73244</v>
      </c>
      <c r="D122" s="727" t="s">
        <v>57</v>
      </c>
      <c r="E122" s="794" t="s">
        <v>449</v>
      </c>
      <c r="F122" s="1311" t="s">
        <v>630</v>
      </c>
      <c r="G122" s="1385" t="s">
        <v>1319</v>
      </c>
      <c r="H122" s="730" t="s">
        <v>4946</v>
      </c>
      <c r="I122" s="726" t="s">
        <v>47</v>
      </c>
      <c r="J122" s="729" t="s">
        <v>6872</v>
      </c>
      <c r="K122" s="726"/>
      <c r="L122" s="730">
        <v>1</v>
      </c>
      <c r="M122" s="731">
        <v>45383</v>
      </c>
      <c r="N122" s="712">
        <v>45383</v>
      </c>
      <c r="O122" s="759" t="s">
        <v>60</v>
      </c>
      <c r="P122" s="760" t="s">
        <v>60</v>
      </c>
      <c r="Q122" s="761" t="s">
        <v>60</v>
      </c>
      <c r="R122" s="742">
        <v>75000</v>
      </c>
      <c r="S122" s="937">
        <f t="shared" si="11"/>
        <v>90000</v>
      </c>
      <c r="T122" s="2528"/>
      <c r="U122" s="2475" t="s">
        <v>6226</v>
      </c>
      <c r="V122" s="734" t="s">
        <v>176</v>
      </c>
      <c r="W122" s="711" t="s">
        <v>62</v>
      </c>
      <c r="X122" s="711" t="s">
        <v>60</v>
      </c>
      <c r="Y122" s="711"/>
      <c r="Z122" s="726" t="s">
        <v>6873</v>
      </c>
      <c r="AA122" s="730" t="s">
        <v>60</v>
      </c>
      <c r="AB122" s="762" t="s">
        <v>40</v>
      </c>
      <c r="AC122" s="762" t="s">
        <v>60</v>
      </c>
      <c r="AD122" s="695" t="s">
        <v>70</v>
      </c>
      <c r="AE122" s="2261" t="s">
        <v>5670</v>
      </c>
      <c r="AF122" s="2534" t="s">
        <v>6874</v>
      </c>
      <c r="AG122" s="924"/>
      <c r="AH122" s="1376" t="str">
        <f t="shared" ca="1" si="9"/>
        <v>N/A</v>
      </c>
    </row>
    <row r="123" spans="1:36" s="906" customFormat="1" ht="40.5" customHeight="1">
      <c r="A123" s="749">
        <v>45034</v>
      </c>
      <c r="B123" s="706" t="s">
        <v>100</v>
      </c>
      <c r="C123" s="707">
        <v>54565</v>
      </c>
      <c r="D123" s="708" t="s">
        <v>110</v>
      </c>
      <c r="E123" s="794" t="s">
        <v>449</v>
      </c>
      <c r="F123" s="708" t="s">
        <v>110</v>
      </c>
      <c r="G123" s="708" t="s">
        <v>5377</v>
      </c>
      <c r="H123" s="710" t="s">
        <v>5058</v>
      </c>
      <c r="I123" s="710" t="s">
        <v>47</v>
      </c>
      <c r="J123" s="709" t="s">
        <v>6875</v>
      </c>
      <c r="K123" s="710" t="s">
        <v>365</v>
      </c>
      <c r="L123" s="710">
        <v>3</v>
      </c>
      <c r="M123" s="711">
        <f>IFERROR(EDATE(N123,-3),"Invalid procurement method or date entered")</f>
        <v>44958</v>
      </c>
      <c r="N123" s="712">
        <f>IFERROR(EDATE(O123,-L123),"Invalid procurement method or date entered")</f>
        <v>45047</v>
      </c>
      <c r="O123" s="713">
        <v>45139</v>
      </c>
      <c r="P123" s="721" t="s">
        <v>45</v>
      </c>
      <c r="Q123" s="722" t="s">
        <v>45</v>
      </c>
      <c r="R123" s="742">
        <v>1200000000</v>
      </c>
      <c r="S123" s="937">
        <f t="shared" si="11"/>
        <v>1440000000</v>
      </c>
      <c r="T123" s="2528">
        <v>171428571</v>
      </c>
      <c r="U123" s="849" t="s">
        <v>268</v>
      </c>
      <c r="V123" s="708" t="s">
        <v>270</v>
      </c>
      <c r="W123" s="710" t="s">
        <v>38</v>
      </c>
      <c r="X123" s="710" t="s">
        <v>67</v>
      </c>
      <c r="Y123" s="710"/>
      <c r="Z123" s="710" t="s">
        <v>4648</v>
      </c>
      <c r="AA123" s="710" t="s">
        <v>120</v>
      </c>
      <c r="AB123" s="710" t="s">
        <v>40</v>
      </c>
      <c r="AC123" s="710" t="s">
        <v>87</v>
      </c>
      <c r="AD123" s="724" t="s">
        <v>38</v>
      </c>
      <c r="AE123" s="2261" t="s">
        <v>5670</v>
      </c>
      <c r="AF123" s="717" t="s">
        <v>6876</v>
      </c>
      <c r="AG123" s="723"/>
      <c r="AH123" s="1376" t="str">
        <f t="shared" ca="1" si="9"/>
        <v>N/A</v>
      </c>
    </row>
    <row r="124" spans="1:36" s="2466" customFormat="1" ht="40.5" customHeight="1">
      <c r="A124" s="749">
        <v>44609</v>
      </c>
      <c r="B124" s="706" t="s">
        <v>100</v>
      </c>
      <c r="C124" s="707">
        <v>73111</v>
      </c>
      <c r="D124" s="708" t="s">
        <v>110</v>
      </c>
      <c r="E124" s="794" t="s">
        <v>449</v>
      </c>
      <c r="F124" s="698" t="s">
        <v>1270</v>
      </c>
      <c r="G124" s="727" t="s">
        <v>4981</v>
      </c>
      <c r="H124" s="710" t="s">
        <v>46</v>
      </c>
      <c r="I124" s="710" t="s">
        <v>47</v>
      </c>
      <c r="J124" s="709" t="s">
        <v>6877</v>
      </c>
      <c r="K124" s="710" t="s">
        <v>71</v>
      </c>
      <c r="L124" s="710">
        <v>9</v>
      </c>
      <c r="M124" s="711">
        <f>IFERROR(EDATE(N124,-3),"Invalid procurement method or date entered")</f>
        <v>44700</v>
      </c>
      <c r="N124" s="712">
        <f>IFERROR(EDATE(O124,-L124),"Invalid procurement method or date entered")</f>
        <v>44792</v>
      </c>
      <c r="O124" s="713">
        <v>45065</v>
      </c>
      <c r="P124" s="721">
        <v>4</v>
      </c>
      <c r="Q124" s="722">
        <v>4</v>
      </c>
      <c r="R124" s="742">
        <v>31250</v>
      </c>
      <c r="S124" s="937">
        <f t="shared" si="11"/>
        <v>37500</v>
      </c>
      <c r="T124" s="793">
        <v>31250</v>
      </c>
      <c r="U124" s="2476" t="s">
        <v>6226</v>
      </c>
      <c r="V124" s="716" t="s">
        <v>75</v>
      </c>
      <c r="W124" s="710" t="s">
        <v>38</v>
      </c>
      <c r="X124" s="710" t="s">
        <v>71</v>
      </c>
      <c r="Y124" s="710"/>
      <c r="Z124" s="710" t="s">
        <v>5041</v>
      </c>
      <c r="AA124" s="710" t="s">
        <v>254</v>
      </c>
      <c r="AB124" s="710" t="s">
        <v>40</v>
      </c>
      <c r="AC124" s="710" t="s">
        <v>69</v>
      </c>
      <c r="AD124" s="724" t="s">
        <v>70</v>
      </c>
      <c r="AE124" s="2261" t="s">
        <v>5670</v>
      </c>
      <c r="AF124" s="717" t="s">
        <v>6878</v>
      </c>
      <c r="AG124" s="723"/>
      <c r="AH124" s="1376" t="str">
        <f t="shared" ca="1" si="9"/>
        <v>N/A</v>
      </c>
      <c r="AI124" s="906"/>
      <c r="AJ124" s="906"/>
    </row>
    <row r="125" spans="1:36" s="906" customFormat="1" ht="40.5" customHeight="1">
      <c r="A125" s="749" t="s">
        <v>71</v>
      </c>
      <c r="B125" s="706" t="s">
        <v>100</v>
      </c>
      <c r="C125" s="707" t="s">
        <v>45</v>
      </c>
      <c r="D125" s="708" t="s">
        <v>122</v>
      </c>
      <c r="E125" s="794" t="s">
        <v>449</v>
      </c>
      <c r="F125" s="708" t="s">
        <v>122</v>
      </c>
      <c r="G125" s="708" t="s">
        <v>6816</v>
      </c>
      <c r="H125" s="710" t="s">
        <v>3410</v>
      </c>
      <c r="I125" s="710" t="s">
        <v>47</v>
      </c>
      <c r="J125" s="709" t="s">
        <v>698</v>
      </c>
      <c r="K125" s="710" t="s">
        <v>5325</v>
      </c>
      <c r="L125" s="710">
        <v>3</v>
      </c>
      <c r="M125" s="769">
        <f>IFERROR(EDATE($N125,-3),"Invalid procurement method or date entered")</f>
        <v>44562</v>
      </c>
      <c r="N125" s="712">
        <f>IFERROR(EDATE(O125,-L125),"Invalid procurement method or date entered")</f>
        <v>44652</v>
      </c>
      <c r="O125" s="713">
        <v>44743</v>
      </c>
      <c r="P125" s="714">
        <v>36</v>
      </c>
      <c r="Q125" s="1442" t="s">
        <v>1538</v>
      </c>
      <c r="R125" s="2580">
        <v>96000</v>
      </c>
      <c r="S125" s="937">
        <f t="shared" si="11"/>
        <v>115200</v>
      </c>
      <c r="T125" s="2529">
        <v>32000</v>
      </c>
      <c r="U125" s="794" t="s">
        <v>51</v>
      </c>
      <c r="V125" s="708" t="s">
        <v>51</v>
      </c>
      <c r="W125" s="710" t="s">
        <v>38</v>
      </c>
      <c r="X125" s="710" t="s">
        <v>62</v>
      </c>
      <c r="Y125" s="710"/>
      <c r="Z125" s="750" t="s">
        <v>5327</v>
      </c>
      <c r="AA125" s="888" t="s">
        <v>254</v>
      </c>
      <c r="AB125" s="708" t="s">
        <v>40</v>
      </c>
      <c r="AC125" s="710" t="s">
        <v>69</v>
      </c>
      <c r="AD125" s="724" t="s">
        <v>70</v>
      </c>
      <c r="AE125" s="2261" t="s">
        <v>5670</v>
      </c>
      <c r="AF125" s="916" t="s">
        <v>6879</v>
      </c>
      <c r="AG125" s="794"/>
      <c r="AH125" s="1376" t="str">
        <f t="shared" ref="AH125:AH161" ca="1" si="12">IFERROR(TODAY()-AE125,"N/A")</f>
        <v>N/A</v>
      </c>
    </row>
    <row r="126" spans="1:36" s="906" customFormat="1" ht="40.5" customHeight="1">
      <c r="A126" s="749"/>
      <c r="B126" s="782" t="s">
        <v>44</v>
      </c>
      <c r="C126" s="738">
        <v>77758</v>
      </c>
      <c r="D126" s="771" t="s">
        <v>32</v>
      </c>
      <c r="E126" s="794" t="s">
        <v>449</v>
      </c>
      <c r="F126" s="1311" t="s">
        <v>361</v>
      </c>
      <c r="G126" s="1311" t="s">
        <v>1440</v>
      </c>
      <c r="H126" s="710" t="s">
        <v>127</v>
      </c>
      <c r="I126" s="710" t="s">
        <v>47</v>
      </c>
      <c r="J126" s="709" t="s">
        <v>5013</v>
      </c>
      <c r="K126" s="710" t="s">
        <v>6880</v>
      </c>
      <c r="L126" s="710">
        <v>10</v>
      </c>
      <c r="M126" s="769">
        <f>IFERROR(EDATE($N126,-3),"Invalid procurement method or date entered")</f>
        <v>44621</v>
      </c>
      <c r="N126" s="769">
        <f>IFERROR(EDATE(O126,-L126),"Invalid procurement method or date entered")</f>
        <v>44713</v>
      </c>
      <c r="O126" s="769">
        <v>45017</v>
      </c>
      <c r="P126" s="710">
        <v>60</v>
      </c>
      <c r="Q126" s="884" t="s">
        <v>187</v>
      </c>
      <c r="R126" s="742">
        <v>109665</v>
      </c>
      <c r="S126" s="937">
        <f t="shared" si="11"/>
        <v>131598</v>
      </c>
      <c r="T126" s="793">
        <v>30000</v>
      </c>
      <c r="U126" s="793" t="s">
        <v>4593</v>
      </c>
      <c r="V126" s="710" t="s">
        <v>84</v>
      </c>
      <c r="W126" s="905" t="s">
        <v>62</v>
      </c>
      <c r="X126" s="905" t="s">
        <v>67</v>
      </c>
      <c r="Y126" s="905"/>
      <c r="Z126" s="730" t="s">
        <v>808</v>
      </c>
      <c r="AA126" s="2172" t="s">
        <v>254</v>
      </c>
      <c r="AB126" s="710" t="s">
        <v>40</v>
      </c>
      <c r="AC126" s="750" t="s">
        <v>69</v>
      </c>
      <c r="AD126" s="710" t="s">
        <v>38</v>
      </c>
      <c r="AE126" s="2261" t="s">
        <v>5670</v>
      </c>
      <c r="AF126" s="717" t="s">
        <v>6881</v>
      </c>
      <c r="AG126" s="741" t="s">
        <v>46</v>
      </c>
      <c r="AH126" s="1376" t="str">
        <f t="shared" ca="1" si="12"/>
        <v>N/A</v>
      </c>
    </row>
    <row r="127" spans="1:36" s="2323" customFormat="1" ht="40.5" customHeight="1">
      <c r="A127" s="749">
        <v>45071</v>
      </c>
      <c r="B127" s="695" t="s">
        <v>44</v>
      </c>
      <c r="C127" s="738"/>
      <c r="D127" s="808" t="s">
        <v>32</v>
      </c>
      <c r="E127" s="730" t="s">
        <v>449</v>
      </c>
      <c r="F127" s="808" t="s">
        <v>361</v>
      </c>
      <c r="G127" s="801" t="s">
        <v>362</v>
      </c>
      <c r="H127" s="710" t="s">
        <v>4622</v>
      </c>
      <c r="I127" s="710" t="s">
        <v>34</v>
      </c>
      <c r="J127" s="709" t="s">
        <v>5145</v>
      </c>
      <c r="K127" s="710" t="s">
        <v>5146</v>
      </c>
      <c r="L127" s="710">
        <v>12</v>
      </c>
      <c r="M127" s="769">
        <v>44805</v>
      </c>
      <c r="N127" s="769">
        <v>44805</v>
      </c>
      <c r="O127" s="769">
        <v>45139</v>
      </c>
      <c r="P127" s="710"/>
      <c r="Q127" s="710" t="s">
        <v>6882</v>
      </c>
      <c r="R127" s="772">
        <v>790000</v>
      </c>
      <c r="S127" s="937">
        <f t="shared" si="11"/>
        <v>948000</v>
      </c>
      <c r="T127" s="783">
        <v>197500</v>
      </c>
      <c r="U127" s="2475" t="s">
        <v>4957</v>
      </c>
      <c r="V127" s="710" t="s">
        <v>130</v>
      </c>
      <c r="W127" s="710" t="s">
        <v>38</v>
      </c>
      <c r="X127" s="2731" t="s">
        <v>67</v>
      </c>
      <c r="Y127" s="2731"/>
      <c r="Z127" s="710" t="s">
        <v>5147</v>
      </c>
      <c r="AA127" s="2172" t="s">
        <v>283</v>
      </c>
      <c r="AB127" s="710" t="s">
        <v>40</v>
      </c>
      <c r="AC127" s="710" t="s">
        <v>154</v>
      </c>
      <c r="AD127" s="710" t="s">
        <v>38</v>
      </c>
      <c r="AE127" s="2261" t="s">
        <v>5670</v>
      </c>
      <c r="AF127" s="917" t="s">
        <v>6883</v>
      </c>
      <c r="AG127" s="710" t="s">
        <v>285</v>
      </c>
      <c r="AH127" s="1376" t="str">
        <f t="shared" ca="1" si="12"/>
        <v>N/A</v>
      </c>
    </row>
    <row r="128" spans="1:36" s="906" customFormat="1" ht="40.5" customHeight="1">
      <c r="A128" s="749"/>
      <c r="B128" s="737" t="s">
        <v>44</v>
      </c>
      <c r="C128" s="738">
        <v>48830</v>
      </c>
      <c r="D128" s="739" t="s">
        <v>32</v>
      </c>
      <c r="E128" s="794" t="s">
        <v>449</v>
      </c>
      <c r="F128" s="1311" t="s">
        <v>361</v>
      </c>
      <c r="G128" s="1311" t="s">
        <v>569</v>
      </c>
      <c r="H128" s="710" t="s">
        <v>33</v>
      </c>
      <c r="I128" s="710" t="s">
        <v>47</v>
      </c>
      <c r="J128" s="709" t="s">
        <v>5534</v>
      </c>
      <c r="K128" s="710" t="s">
        <v>5535</v>
      </c>
      <c r="L128" s="710" t="e">
        <f>IF(OR(V128=#REF!,V128=#REF!,V128=#REF!,V128=#REF!,V128=#REF!,V128=#REF!,V128=#REF!,V128=#REF!),12,IF(OR(V128=#REF!,V128=#REF!,V128=#REF!,V128=#REF!,V128=#REF!,V128=#REF!,V128=#REF!),3,IF(V128=#REF!,1,IF(V128=#REF!,18,IF(OR(V128=#REF!,V128=#REF!,V128=#REF!,V128=#REF!,V128=#REF!),14,"Invalid proposed procurement method")))))</f>
        <v>#REF!</v>
      </c>
      <c r="M128" s="769" t="str">
        <f>IFERROR(EDATE($N128,-3),"Invalid procurement method or date entered")</f>
        <v>Invalid procurement method or date entered</v>
      </c>
      <c r="N128" s="769" t="str">
        <f>IFERROR(EDATE(O128,-L128),"Invalid procurement method or date entered")</f>
        <v>Invalid procurement method or date entered</v>
      </c>
      <c r="O128" s="769">
        <v>45255</v>
      </c>
      <c r="P128" s="750">
        <v>48</v>
      </c>
      <c r="Q128" s="723" t="s">
        <v>258</v>
      </c>
      <c r="R128" s="742">
        <v>87536</v>
      </c>
      <c r="S128" s="937">
        <f t="shared" si="11"/>
        <v>105043.2</v>
      </c>
      <c r="T128" s="793">
        <v>21750</v>
      </c>
      <c r="U128" s="793" t="s">
        <v>4593</v>
      </c>
      <c r="V128" s="708" t="s">
        <v>84</v>
      </c>
      <c r="W128" s="796" t="s">
        <v>62</v>
      </c>
      <c r="X128" s="838" t="s">
        <v>67</v>
      </c>
      <c r="Y128" s="838"/>
      <c r="Z128" s="710" t="s">
        <v>5536</v>
      </c>
      <c r="AA128" s="2275" t="s">
        <v>94</v>
      </c>
      <c r="AB128" s="700" t="s">
        <v>40</v>
      </c>
      <c r="AC128" s="710" t="s">
        <v>69</v>
      </c>
      <c r="AD128" s="750" t="s">
        <v>70</v>
      </c>
      <c r="AE128" s="2261" t="s">
        <v>5670</v>
      </c>
      <c r="AF128" s="2666" t="s">
        <v>442</v>
      </c>
      <c r="AG128" s="723" t="s">
        <v>220</v>
      </c>
      <c r="AH128" s="1376" t="str">
        <f t="shared" ca="1" si="12"/>
        <v>N/A</v>
      </c>
      <c r="AI128" s="2323"/>
      <c r="AJ128" s="2323"/>
    </row>
    <row r="129" spans="1:36" s="906" customFormat="1" ht="40.5" customHeight="1">
      <c r="A129" s="749"/>
      <c r="B129" s="737" t="s">
        <v>44</v>
      </c>
      <c r="C129" s="738" t="s">
        <v>45</v>
      </c>
      <c r="D129" s="739" t="s">
        <v>32</v>
      </c>
      <c r="E129" s="794" t="s">
        <v>449</v>
      </c>
      <c r="F129" s="1311" t="s">
        <v>361</v>
      </c>
      <c r="G129" s="1311" t="s">
        <v>1440</v>
      </c>
      <c r="H129" s="710" t="s">
        <v>127</v>
      </c>
      <c r="I129" s="710" t="s">
        <v>34</v>
      </c>
      <c r="J129" s="709" t="s">
        <v>481</v>
      </c>
      <c r="K129" s="710" t="s">
        <v>5396</v>
      </c>
      <c r="L129" s="710">
        <v>8</v>
      </c>
      <c r="M129" s="769">
        <f>IFERROR(EDATE($N129,-3),"Invalid procurement method or date entered")</f>
        <v>44956</v>
      </c>
      <c r="N129" s="769">
        <f>IFERROR(EDATE(O129,-L129),"Invalid procurement method or date entered")</f>
        <v>45046</v>
      </c>
      <c r="O129" s="769">
        <v>45291</v>
      </c>
      <c r="P129" s="750">
        <v>60</v>
      </c>
      <c r="Q129" s="766" t="s">
        <v>6884</v>
      </c>
      <c r="R129" s="742">
        <v>130000</v>
      </c>
      <c r="S129" s="937">
        <f t="shared" si="11"/>
        <v>156000</v>
      </c>
      <c r="T129" s="1255">
        <v>26000</v>
      </c>
      <c r="U129" s="744" t="s">
        <v>34</v>
      </c>
      <c r="V129" s="801" t="s">
        <v>130</v>
      </c>
      <c r="W129" s="731" t="s">
        <v>62</v>
      </c>
      <c r="X129" s="731" t="s">
        <v>67</v>
      </c>
      <c r="Y129" s="731"/>
      <c r="Z129" s="710" t="s">
        <v>483</v>
      </c>
      <c r="AA129" s="915" t="s">
        <v>561</v>
      </c>
      <c r="AB129" s="710" t="s">
        <v>40</v>
      </c>
      <c r="AC129" s="762" t="s">
        <v>69</v>
      </c>
      <c r="AD129" s="710" t="s">
        <v>38</v>
      </c>
      <c r="AE129" s="2261" t="s">
        <v>5670</v>
      </c>
      <c r="AF129" s="1301" t="s">
        <v>6885</v>
      </c>
      <c r="AG129" s="741" t="s">
        <v>127</v>
      </c>
      <c r="AH129" s="1376" t="str">
        <f t="shared" ca="1" si="12"/>
        <v>N/A</v>
      </c>
      <c r="AI129" s="908"/>
      <c r="AJ129" s="908"/>
    </row>
    <row r="130" spans="1:36" s="906" customFormat="1" ht="40.5" customHeight="1">
      <c r="A130" s="749"/>
      <c r="B130" s="782" t="s">
        <v>44</v>
      </c>
      <c r="C130" s="738" t="s">
        <v>4224</v>
      </c>
      <c r="D130" s="710" t="s">
        <v>32</v>
      </c>
      <c r="E130" s="794" t="s">
        <v>449</v>
      </c>
      <c r="F130" s="710" t="s">
        <v>1067</v>
      </c>
      <c r="G130" s="710" t="s">
        <v>862</v>
      </c>
      <c r="H130" s="710" t="s">
        <v>710</v>
      </c>
      <c r="I130" s="710" t="s">
        <v>34</v>
      </c>
      <c r="J130" s="709" t="s">
        <v>4225</v>
      </c>
      <c r="K130" s="710" t="s">
        <v>4291</v>
      </c>
      <c r="L130" s="710">
        <v>6</v>
      </c>
      <c r="M130" s="769">
        <f>IFERROR(EDATE($N130,-3),"Invalid procurement method or date entered")</f>
        <v>44874</v>
      </c>
      <c r="N130" s="769">
        <f>IFERROR(EDATE(O130,-L130),"Invalid procurement method or date entered")</f>
        <v>44966</v>
      </c>
      <c r="O130" s="847">
        <v>45147</v>
      </c>
      <c r="P130" s="700">
        <v>48</v>
      </c>
      <c r="Q130" s="700" t="s">
        <v>626</v>
      </c>
      <c r="R130" s="930">
        <v>700000</v>
      </c>
      <c r="S130" s="1471">
        <f t="shared" si="11"/>
        <v>840000</v>
      </c>
      <c r="T130" s="1362">
        <v>145000</v>
      </c>
      <c r="U130" s="1477" t="s">
        <v>34</v>
      </c>
      <c r="V130" s="700" t="s">
        <v>130</v>
      </c>
      <c r="W130" s="796" t="s">
        <v>310</v>
      </c>
      <c r="X130" s="738">
        <v>44406</v>
      </c>
      <c r="Y130" s="738"/>
      <c r="Z130" s="710" t="s">
        <v>1076</v>
      </c>
      <c r="AA130" s="915" t="s">
        <v>1334</v>
      </c>
      <c r="AB130" s="710" t="s">
        <v>40</v>
      </c>
      <c r="AC130" s="750"/>
      <c r="AD130" s="710" t="s">
        <v>38</v>
      </c>
      <c r="AE130" s="2261" t="s">
        <v>5670</v>
      </c>
      <c r="AF130" s="1291" t="s">
        <v>6886</v>
      </c>
      <c r="AG130" s="723" t="s">
        <v>710</v>
      </c>
      <c r="AH130" s="1376" t="str">
        <f t="shared" ca="1" si="12"/>
        <v>N/A</v>
      </c>
      <c r="AI130" s="1395"/>
      <c r="AJ130" s="906">
        <v>1</v>
      </c>
    </row>
    <row r="131" spans="1:36" s="2742" customFormat="1" ht="15" customHeight="1">
      <c r="A131" s="749">
        <v>44799</v>
      </c>
      <c r="B131" s="725" t="s">
        <v>56</v>
      </c>
      <c r="C131" s="726" t="s">
        <v>67</v>
      </c>
      <c r="D131" s="730" t="s">
        <v>32</v>
      </c>
      <c r="E131" s="794" t="s">
        <v>449</v>
      </c>
      <c r="F131" s="808" t="s">
        <v>361</v>
      </c>
      <c r="G131" s="1311" t="s">
        <v>362</v>
      </c>
      <c r="H131" s="730" t="s">
        <v>4946</v>
      </c>
      <c r="I131" s="710" t="s">
        <v>268</v>
      </c>
      <c r="J131" s="709" t="s">
        <v>6887</v>
      </c>
      <c r="K131" s="710" t="s">
        <v>365</v>
      </c>
      <c r="L131" s="730">
        <v>1</v>
      </c>
      <c r="M131" s="731">
        <v>44743</v>
      </c>
      <c r="N131" s="712">
        <f>IF(O131="tbc","",(IFERROR(EDATE(O131,-L131),"Invalid procurement method or date entered")))</f>
        <v>45292</v>
      </c>
      <c r="O131" s="711">
        <v>45323</v>
      </c>
      <c r="P131" s="732" t="s">
        <v>67</v>
      </c>
      <c r="Q131" s="733" t="s">
        <v>67</v>
      </c>
      <c r="R131" s="937"/>
      <c r="S131" s="937" t="str">
        <f t="shared" si="11"/>
        <v/>
      </c>
      <c r="T131" s="937" t="s">
        <v>45</v>
      </c>
      <c r="U131" s="849" t="s">
        <v>268</v>
      </c>
      <c r="V131" s="858" t="s">
        <v>270</v>
      </c>
      <c r="W131" s="711" t="s">
        <v>38</v>
      </c>
      <c r="X131" s="711" t="s">
        <v>67</v>
      </c>
      <c r="Y131" s="711"/>
      <c r="Z131" s="710" t="s">
        <v>961</v>
      </c>
      <c r="AA131" s="730" t="s">
        <v>561</v>
      </c>
      <c r="AB131" s="762" t="s">
        <v>40</v>
      </c>
      <c r="AC131" s="762" t="s">
        <v>69</v>
      </c>
      <c r="AD131" s="695" t="s">
        <v>38</v>
      </c>
      <c r="AE131" s="2261" t="s">
        <v>5670</v>
      </c>
      <c r="AF131" s="2379" t="s">
        <v>6888</v>
      </c>
      <c r="AG131" s="1286"/>
      <c r="AH131" s="1376" t="str">
        <f t="shared" ca="1" si="12"/>
        <v>N/A</v>
      </c>
      <c r="AI131" s="906"/>
      <c r="AJ131" s="906"/>
    </row>
    <row r="132" spans="1:36" s="906" customFormat="1" ht="40.5" customHeight="1">
      <c r="A132" s="2673">
        <v>44804</v>
      </c>
      <c r="B132" s="2614" t="s">
        <v>100</v>
      </c>
      <c r="C132" s="2614" t="s">
        <v>45</v>
      </c>
      <c r="D132" s="1261" t="s">
        <v>110</v>
      </c>
      <c r="E132" s="2581" t="s">
        <v>449</v>
      </c>
      <c r="F132" s="2728" t="s">
        <v>110</v>
      </c>
      <c r="G132" s="2581" t="s">
        <v>1311</v>
      </c>
      <c r="H132" s="1261" t="s">
        <v>5058</v>
      </c>
      <c r="I132" s="1261" t="s">
        <v>34</v>
      </c>
      <c r="J132" s="2669" t="s">
        <v>190</v>
      </c>
      <c r="K132" s="708" t="s">
        <v>5246</v>
      </c>
      <c r="L132" s="710">
        <v>12</v>
      </c>
      <c r="M132" s="711">
        <f>IFERROR(EDATE(N132,-3),"Invalid procurement method or date entered")</f>
        <v>44743</v>
      </c>
      <c r="N132" s="712">
        <f t="shared" ref="N132:N138" si="13">IFERROR(EDATE(O132,-L132),"Invalid procurement method or date entered")</f>
        <v>44835</v>
      </c>
      <c r="O132" s="2720">
        <v>45200</v>
      </c>
      <c r="P132" s="2721">
        <v>84</v>
      </c>
      <c r="Q132" s="1349" t="s">
        <v>6889</v>
      </c>
      <c r="R132" s="929">
        <f>SUM(470575-38897)*5</f>
        <v>2158390</v>
      </c>
      <c r="S132" s="2510">
        <f t="shared" si="11"/>
        <v>2590068</v>
      </c>
      <c r="T132" s="2722">
        <v>370000</v>
      </c>
      <c r="U132" s="793" t="s">
        <v>34</v>
      </c>
      <c r="V132" s="716" t="s">
        <v>130</v>
      </c>
      <c r="W132" s="710" t="s">
        <v>70</v>
      </c>
      <c r="X132" s="584" t="s">
        <v>191</v>
      </c>
      <c r="Y132" s="199"/>
      <c r="Z132" s="710" t="s">
        <v>192</v>
      </c>
      <c r="AA132" s="700" t="s">
        <v>120</v>
      </c>
      <c r="AB132" s="710" t="s">
        <v>40</v>
      </c>
      <c r="AC132" s="710" t="s">
        <v>87</v>
      </c>
      <c r="AD132" s="754" t="s">
        <v>70</v>
      </c>
      <c r="AE132" s="2261" t="s">
        <v>5670</v>
      </c>
      <c r="AF132" s="2611" t="s">
        <v>225</v>
      </c>
      <c r="AG132" s="723"/>
      <c r="AH132" s="1376" t="str">
        <f t="shared" ca="1" si="12"/>
        <v>N/A</v>
      </c>
    </row>
    <row r="133" spans="1:36" s="906" customFormat="1" ht="40.5" customHeight="1">
      <c r="A133" s="749">
        <v>45043</v>
      </c>
      <c r="B133" s="737" t="s">
        <v>100</v>
      </c>
      <c r="C133" s="707" t="s">
        <v>45</v>
      </c>
      <c r="D133" s="710" t="s">
        <v>32</v>
      </c>
      <c r="E133" s="794" t="s">
        <v>449</v>
      </c>
      <c r="F133" s="710" t="s">
        <v>1373</v>
      </c>
      <c r="G133" s="1385" t="s">
        <v>1374</v>
      </c>
      <c r="H133" s="710" t="s">
        <v>5058</v>
      </c>
      <c r="I133" s="710" t="s">
        <v>268</v>
      </c>
      <c r="J133" s="709" t="s">
        <v>1306</v>
      </c>
      <c r="K133" s="710" t="s">
        <v>1322</v>
      </c>
      <c r="L133" s="710">
        <v>9</v>
      </c>
      <c r="M133" s="711">
        <f>IFERROR(EDATE(N133,-3),"Invalid procurement method or date entered")</f>
        <v>44743</v>
      </c>
      <c r="N133" s="712">
        <f t="shared" si="13"/>
        <v>44835</v>
      </c>
      <c r="O133" s="769">
        <v>45108</v>
      </c>
      <c r="P133" s="740">
        <v>46</v>
      </c>
      <c r="Q133" s="719" t="s">
        <v>1563</v>
      </c>
      <c r="R133" s="742">
        <v>2019095</v>
      </c>
      <c r="S133" s="937">
        <f t="shared" si="11"/>
        <v>2422914</v>
      </c>
      <c r="T133" s="793">
        <v>504773</v>
      </c>
      <c r="U133" s="1287" t="s">
        <v>268</v>
      </c>
      <c r="V133" s="734" t="s">
        <v>270</v>
      </c>
      <c r="W133" s="710" t="s">
        <v>38</v>
      </c>
      <c r="X133" s="711" t="s">
        <v>62</v>
      </c>
      <c r="Y133" s="915"/>
      <c r="Z133" s="710" t="s">
        <v>360</v>
      </c>
      <c r="AA133" s="710" t="s">
        <v>357</v>
      </c>
      <c r="AB133" s="710" t="s">
        <v>40</v>
      </c>
      <c r="AC133" s="710" t="s">
        <v>87</v>
      </c>
      <c r="AD133" s="724" t="s">
        <v>70</v>
      </c>
      <c r="AE133" s="2261" t="s">
        <v>5670</v>
      </c>
      <c r="AF133" s="717"/>
      <c r="AG133" s="723"/>
      <c r="AH133" s="1376" t="str">
        <f t="shared" ca="1" si="12"/>
        <v>N/A</v>
      </c>
      <c r="AI133" s="2323"/>
      <c r="AJ133" s="2323"/>
    </row>
    <row r="134" spans="1:36" s="906" customFormat="1" ht="40.5" customHeight="1">
      <c r="A134" s="749" t="s">
        <v>71</v>
      </c>
      <c r="B134" s="706" t="s">
        <v>100</v>
      </c>
      <c r="C134" s="2302" t="s">
        <v>5416</v>
      </c>
      <c r="D134" s="808" t="s">
        <v>122</v>
      </c>
      <c r="E134" s="899" t="s">
        <v>449</v>
      </c>
      <c r="F134" s="708" t="s">
        <v>122</v>
      </c>
      <c r="G134" s="708" t="s">
        <v>1163</v>
      </c>
      <c r="H134" s="808" t="s">
        <v>5060</v>
      </c>
      <c r="I134" s="2609" t="s">
        <v>34</v>
      </c>
      <c r="J134" s="709" t="s">
        <v>5417</v>
      </c>
      <c r="K134" s="710" t="s">
        <v>452</v>
      </c>
      <c r="L134" s="710">
        <v>9</v>
      </c>
      <c r="M134" s="711">
        <f>IFERROR(EDATE(N134,-3),"Invalid procurement method or date entered")</f>
        <v>44652</v>
      </c>
      <c r="N134" s="712">
        <f t="shared" si="13"/>
        <v>44743</v>
      </c>
      <c r="O134" s="839">
        <v>45017</v>
      </c>
      <c r="P134" s="2663">
        <v>84</v>
      </c>
      <c r="Q134" s="2303" t="s">
        <v>6890</v>
      </c>
      <c r="R134" s="742">
        <v>350000</v>
      </c>
      <c r="S134" s="937">
        <f t="shared" si="11"/>
        <v>420000</v>
      </c>
      <c r="T134" s="793">
        <v>50000</v>
      </c>
      <c r="U134" s="793" t="s">
        <v>34</v>
      </c>
      <c r="V134" s="758" t="s">
        <v>130</v>
      </c>
      <c r="W134" s="710" t="s">
        <v>38</v>
      </c>
      <c r="X134" s="710" t="s">
        <v>71</v>
      </c>
      <c r="Y134" s="710"/>
      <c r="Z134" s="808" t="s">
        <v>3173</v>
      </c>
      <c r="AA134" s="808" t="s">
        <v>120</v>
      </c>
      <c r="AB134" s="808" t="s">
        <v>40</v>
      </c>
      <c r="AC134" s="710" t="s">
        <v>69</v>
      </c>
      <c r="AD134" s="2296" t="s">
        <v>70</v>
      </c>
      <c r="AE134" s="2261" t="s">
        <v>5670</v>
      </c>
      <c r="AF134" s="916"/>
      <c r="AG134" s="794"/>
      <c r="AH134" s="1376" t="str">
        <f t="shared" ca="1" si="12"/>
        <v>N/A</v>
      </c>
    </row>
    <row r="135" spans="1:36" s="901" customFormat="1" ht="26">
      <c r="A135" s="749" t="s">
        <v>71</v>
      </c>
      <c r="B135" s="841" t="s">
        <v>44</v>
      </c>
      <c r="C135" s="2287">
        <v>52307</v>
      </c>
      <c r="D135" s="1407" t="s">
        <v>32</v>
      </c>
      <c r="E135" s="794" t="s">
        <v>449</v>
      </c>
      <c r="F135" s="1311" t="s">
        <v>361</v>
      </c>
      <c r="G135" s="1311" t="s">
        <v>569</v>
      </c>
      <c r="H135" s="2668" t="s">
        <v>33</v>
      </c>
      <c r="I135" s="719" t="s">
        <v>47</v>
      </c>
      <c r="J135" s="1377" t="s">
        <v>4988</v>
      </c>
      <c r="K135" s="2453" t="s">
        <v>4989</v>
      </c>
      <c r="L135" s="719">
        <v>12</v>
      </c>
      <c r="M135" s="1457">
        <f>IFERROR(EDATE($N135,-3),"Invalid procurement method or date entered")</f>
        <v>44666</v>
      </c>
      <c r="N135" s="1457">
        <f t="shared" si="13"/>
        <v>44757</v>
      </c>
      <c r="O135" s="1239">
        <v>45122</v>
      </c>
      <c r="P135" s="719">
        <v>48</v>
      </c>
      <c r="Q135" s="719" t="s">
        <v>258</v>
      </c>
      <c r="R135" s="807">
        <v>13056</v>
      </c>
      <c r="S135" s="742">
        <f>SUM(R135*20%)+R135</f>
        <v>15667.2</v>
      </c>
      <c r="T135" s="2467">
        <v>3264</v>
      </c>
      <c r="U135" s="719" t="s">
        <v>4593</v>
      </c>
      <c r="V135" s="794" t="s">
        <v>84</v>
      </c>
      <c r="W135" s="2671" t="s">
        <v>38</v>
      </c>
      <c r="X135" s="2671" t="s">
        <v>67</v>
      </c>
      <c r="Y135" s="2672"/>
      <c r="Z135" s="723" t="s">
        <v>392</v>
      </c>
      <c r="AA135" s="710" t="s">
        <v>94</v>
      </c>
      <c r="AB135" s="723" t="s">
        <v>40</v>
      </c>
      <c r="AC135" s="719" t="s">
        <v>154</v>
      </c>
      <c r="AD135" s="719" t="s">
        <v>70</v>
      </c>
      <c r="AE135" s="2222" t="s">
        <v>5670</v>
      </c>
      <c r="AF135" s="2719" t="s">
        <v>4990</v>
      </c>
      <c r="AG135" s="737"/>
      <c r="AH135" s="1376" t="str">
        <f t="shared" ca="1" si="12"/>
        <v>N/A</v>
      </c>
    </row>
    <row r="136" spans="1:36" s="906" customFormat="1" ht="40.5" customHeight="1">
      <c r="A136" s="749">
        <v>45057</v>
      </c>
      <c r="B136" s="782" t="s">
        <v>44</v>
      </c>
      <c r="C136" s="738">
        <v>76298</v>
      </c>
      <c r="D136" s="808" t="s">
        <v>1551</v>
      </c>
      <c r="E136" s="794" t="s">
        <v>4704</v>
      </c>
      <c r="F136" s="710" t="s">
        <v>1270</v>
      </c>
      <c r="G136" s="730" t="s">
        <v>4981</v>
      </c>
      <c r="H136" s="710" t="s">
        <v>33</v>
      </c>
      <c r="I136" s="710" t="s">
        <v>47</v>
      </c>
      <c r="J136" s="709" t="s">
        <v>6891</v>
      </c>
      <c r="K136" s="710" t="s">
        <v>6892</v>
      </c>
      <c r="L136" s="710"/>
      <c r="M136" s="947">
        <v>45108</v>
      </c>
      <c r="N136" s="769">
        <f t="shared" si="13"/>
        <v>45161</v>
      </c>
      <c r="O136" s="947">
        <v>45161</v>
      </c>
      <c r="P136" s="738">
        <v>12</v>
      </c>
      <c r="Q136" s="884" t="s">
        <v>50</v>
      </c>
      <c r="R136" s="742">
        <v>56823</v>
      </c>
      <c r="S136" s="937">
        <f t="shared" ref="S136:S144" si="14">IF(ISNUMBER(R136),SUM(R136*20%)+R136,"")</f>
        <v>68187.600000000006</v>
      </c>
      <c r="T136" s="1303">
        <v>80000</v>
      </c>
      <c r="U136" s="2749" t="s">
        <v>6226</v>
      </c>
      <c r="V136" s="1312" t="s">
        <v>75</v>
      </c>
      <c r="W136" s="710" t="s">
        <v>38</v>
      </c>
      <c r="X136" s="738"/>
      <c r="Y136" s="738"/>
      <c r="Z136" s="710" t="s">
        <v>6893</v>
      </c>
      <c r="AA136" s="2542" t="s">
        <v>780</v>
      </c>
      <c r="AB136" s="710" t="s">
        <v>40</v>
      </c>
      <c r="AC136" s="750"/>
      <c r="AD136" s="710" t="s">
        <v>70</v>
      </c>
      <c r="AE136" s="2222" t="s">
        <v>5670</v>
      </c>
      <c r="AF136" s="1283" t="s">
        <v>6894</v>
      </c>
      <c r="AG136" s="723"/>
      <c r="AH136" s="1376" t="str">
        <f t="shared" ca="1" si="12"/>
        <v>N/A</v>
      </c>
    </row>
    <row r="137" spans="1:36" s="906" customFormat="1" ht="40.5" customHeight="1">
      <c r="A137" s="2314">
        <v>45125</v>
      </c>
      <c r="B137" s="722" t="s">
        <v>100</v>
      </c>
      <c r="C137" s="722">
        <v>29768</v>
      </c>
      <c r="D137" s="723" t="s">
        <v>122</v>
      </c>
      <c r="E137" s="794" t="s">
        <v>449</v>
      </c>
      <c r="F137" s="723" t="s">
        <v>122</v>
      </c>
      <c r="G137" s="723" t="s">
        <v>5217</v>
      </c>
      <c r="H137" s="723" t="s">
        <v>5060</v>
      </c>
      <c r="I137" s="708" t="s">
        <v>34</v>
      </c>
      <c r="J137" s="709" t="s">
        <v>467</v>
      </c>
      <c r="K137" s="710" t="s">
        <v>468</v>
      </c>
      <c r="L137" s="710">
        <v>6</v>
      </c>
      <c r="M137" s="711">
        <f>IFERROR(EDATE(N137,-3),"Invalid procurement method or date entered")</f>
        <v>44896</v>
      </c>
      <c r="N137" s="712">
        <f t="shared" si="13"/>
        <v>44986</v>
      </c>
      <c r="O137" s="1352">
        <v>45170</v>
      </c>
      <c r="P137" s="776">
        <v>6</v>
      </c>
      <c r="Q137" s="2676">
        <v>6</v>
      </c>
      <c r="R137" s="807">
        <v>108000</v>
      </c>
      <c r="S137" s="937">
        <f t="shared" si="14"/>
        <v>129600</v>
      </c>
      <c r="T137" s="2528">
        <v>36255</v>
      </c>
      <c r="U137" s="793" t="s">
        <v>4957</v>
      </c>
      <c r="V137" s="716" t="s">
        <v>130</v>
      </c>
      <c r="W137" s="710" t="s">
        <v>38</v>
      </c>
      <c r="X137" s="710" t="s">
        <v>71</v>
      </c>
      <c r="Y137" s="710"/>
      <c r="Z137" s="710" t="s">
        <v>6895</v>
      </c>
      <c r="AA137" s="710" t="s">
        <v>120</v>
      </c>
      <c r="AB137" s="710" t="s">
        <v>40</v>
      </c>
      <c r="AC137" s="710" t="s">
        <v>69</v>
      </c>
      <c r="AD137" s="724" t="s">
        <v>70</v>
      </c>
      <c r="AE137" s="2222" t="s">
        <v>5670</v>
      </c>
      <c r="AF137" s="2611" t="s">
        <v>225</v>
      </c>
      <c r="AG137" s="794"/>
      <c r="AH137" s="1376" t="str">
        <f t="shared" ca="1" si="12"/>
        <v>N/A</v>
      </c>
      <c r="AI137" s="2323"/>
      <c r="AJ137" s="2323"/>
    </row>
    <row r="138" spans="1:36" s="950" customFormat="1" ht="40.5" customHeight="1">
      <c r="A138" s="749" t="s">
        <v>71</v>
      </c>
      <c r="B138" s="706" t="s">
        <v>100</v>
      </c>
      <c r="C138" s="707" t="s">
        <v>45</v>
      </c>
      <c r="D138" s="708" t="s">
        <v>122</v>
      </c>
      <c r="E138" s="794" t="s">
        <v>449</v>
      </c>
      <c r="F138" s="698" t="s">
        <v>122</v>
      </c>
      <c r="G138" s="698" t="s">
        <v>1163</v>
      </c>
      <c r="H138" s="710" t="s">
        <v>5060</v>
      </c>
      <c r="I138" s="710" t="s">
        <v>34</v>
      </c>
      <c r="J138" s="709" t="s">
        <v>3172</v>
      </c>
      <c r="K138" s="710" t="s">
        <v>5230</v>
      </c>
      <c r="L138" s="710">
        <v>12</v>
      </c>
      <c r="M138" s="711">
        <f>IFERROR(EDATE(N138,-3),"Invalid procurement method or date entered")</f>
        <v>44562</v>
      </c>
      <c r="N138" s="712">
        <f t="shared" si="13"/>
        <v>44652</v>
      </c>
      <c r="O138" s="713">
        <v>45017</v>
      </c>
      <c r="P138" s="2655">
        <v>60</v>
      </c>
      <c r="Q138" s="2614" t="s">
        <v>434</v>
      </c>
      <c r="R138" s="2492">
        <v>3861540</v>
      </c>
      <c r="S138" s="937">
        <f t="shared" si="14"/>
        <v>4633848</v>
      </c>
      <c r="T138" s="2528">
        <v>772308</v>
      </c>
      <c r="U138" s="794" t="s">
        <v>34</v>
      </c>
      <c r="V138" s="716" t="s">
        <v>130</v>
      </c>
      <c r="W138" s="710" t="s">
        <v>38</v>
      </c>
      <c r="X138" s="713" t="s">
        <v>5231</v>
      </c>
      <c r="Y138" s="713"/>
      <c r="Z138" s="710" t="s">
        <v>3173</v>
      </c>
      <c r="AA138" s="700" t="s">
        <v>120</v>
      </c>
      <c r="AB138" s="695" t="s">
        <v>40</v>
      </c>
      <c r="AC138" s="710" t="s">
        <v>87</v>
      </c>
      <c r="AD138" s="724" t="s">
        <v>70</v>
      </c>
      <c r="AE138" s="2222" t="s">
        <v>5670</v>
      </c>
      <c r="AF138" s="1293" t="s">
        <v>225</v>
      </c>
      <c r="AG138" s="794"/>
      <c r="AH138" s="1376" t="str">
        <f t="shared" ca="1" si="12"/>
        <v>N/A</v>
      </c>
      <c r="AI138" s="906"/>
      <c r="AJ138" s="906"/>
    </row>
    <row r="139" spans="1:36" s="1217" customFormat="1" ht="40.5" customHeight="1">
      <c r="A139" s="749" t="s">
        <v>1170</v>
      </c>
      <c r="B139" s="737" t="s">
        <v>44</v>
      </c>
      <c r="C139" s="738" t="s">
        <v>6896</v>
      </c>
      <c r="D139" s="739" t="s">
        <v>6897</v>
      </c>
      <c r="E139" s="794" t="s">
        <v>1341</v>
      </c>
      <c r="F139" s="1311" t="s">
        <v>361</v>
      </c>
      <c r="G139" s="1311" t="s">
        <v>4955</v>
      </c>
      <c r="H139" s="710" t="s">
        <v>127</v>
      </c>
      <c r="I139" s="1271" t="s">
        <v>34</v>
      </c>
      <c r="J139" s="709" t="s">
        <v>6898</v>
      </c>
      <c r="K139" s="710" t="s">
        <v>6899</v>
      </c>
      <c r="L139" s="710" t="s">
        <v>1170</v>
      </c>
      <c r="M139" s="769">
        <v>45108</v>
      </c>
      <c r="N139" s="769" t="s">
        <v>1170</v>
      </c>
      <c r="O139" s="947">
        <v>45236</v>
      </c>
      <c r="P139" s="830">
        <v>36</v>
      </c>
      <c r="Q139" s="1331" t="s">
        <v>5004</v>
      </c>
      <c r="R139" s="742">
        <v>55700</v>
      </c>
      <c r="S139" s="2239">
        <f t="shared" si="14"/>
        <v>66840</v>
      </c>
      <c r="T139" s="1255">
        <v>15866</v>
      </c>
      <c r="U139" s="768" t="s">
        <v>34</v>
      </c>
      <c r="V139" s="708" t="s">
        <v>130</v>
      </c>
      <c r="W139" s="885" t="s">
        <v>1170</v>
      </c>
      <c r="X139" s="886" t="s">
        <v>1170</v>
      </c>
      <c r="Y139" s="886"/>
      <c r="Z139" s="808" t="s">
        <v>6900</v>
      </c>
      <c r="AA139" s="2410" t="s">
        <v>1334</v>
      </c>
      <c r="AB139" s="710" t="s">
        <v>40</v>
      </c>
      <c r="AC139" s="710" t="s">
        <v>1170</v>
      </c>
      <c r="AD139" s="808" t="s">
        <v>1170</v>
      </c>
      <c r="AE139" s="2222" t="s">
        <v>5670</v>
      </c>
      <c r="AF139" s="1298" t="s">
        <v>6901</v>
      </c>
      <c r="AG139" s="741" t="s">
        <v>1170</v>
      </c>
      <c r="AH139" s="1376" t="str">
        <f t="shared" ca="1" si="12"/>
        <v>N/A</v>
      </c>
      <c r="AI139" s="906"/>
      <c r="AJ139" s="906"/>
    </row>
    <row r="140" spans="1:36" s="906" customFormat="1" ht="40.5" customHeight="1">
      <c r="A140" s="749">
        <v>44949</v>
      </c>
      <c r="B140" s="737" t="s">
        <v>44</v>
      </c>
      <c r="C140" s="738" t="s">
        <v>45</v>
      </c>
      <c r="D140" s="739" t="s">
        <v>32</v>
      </c>
      <c r="E140" s="794" t="s">
        <v>449</v>
      </c>
      <c r="F140" s="1311" t="s">
        <v>361</v>
      </c>
      <c r="G140" s="1311" t="s">
        <v>6616</v>
      </c>
      <c r="H140" s="808" t="s">
        <v>46</v>
      </c>
      <c r="I140" s="2729" t="s">
        <v>34</v>
      </c>
      <c r="J140" s="709" t="s">
        <v>48</v>
      </c>
      <c r="K140" s="710" t="s">
        <v>49</v>
      </c>
      <c r="L140" s="710">
        <v>2</v>
      </c>
      <c r="M140" s="769">
        <f>IFERROR(EDATE($N140,-3),"Invalid procurement method or date entered")</f>
        <v>45139</v>
      </c>
      <c r="N140" s="769">
        <f>IFERROR(EDATE(O140,-L140),"Invalid procurement method or date entered")</f>
        <v>45231</v>
      </c>
      <c r="O140" s="1237">
        <v>45292</v>
      </c>
      <c r="P140" s="1367" t="s">
        <v>50</v>
      </c>
      <c r="Q140" s="831" t="s">
        <v>50</v>
      </c>
      <c r="R140" s="742"/>
      <c r="S140" s="937" t="str">
        <f t="shared" si="14"/>
        <v/>
      </c>
      <c r="T140" s="2528"/>
      <c r="U140" s="730" t="s">
        <v>51</v>
      </c>
      <c r="V140" s="708" t="s">
        <v>51</v>
      </c>
      <c r="W140" s="710" t="s">
        <v>38</v>
      </c>
      <c r="X140" s="738" t="s">
        <v>67</v>
      </c>
      <c r="Y140" s="738"/>
      <c r="Z140" s="710" t="s">
        <v>53</v>
      </c>
      <c r="AA140" s="2410" t="s">
        <v>1334</v>
      </c>
      <c r="AB140" s="710" t="s">
        <v>40</v>
      </c>
      <c r="AC140" s="710"/>
      <c r="AD140" s="838" t="s">
        <v>38</v>
      </c>
      <c r="AE140" s="2222" t="s">
        <v>5670</v>
      </c>
      <c r="AF140" s="1283" t="s">
        <v>6902</v>
      </c>
      <c r="AG140" s="723" t="s">
        <v>46</v>
      </c>
      <c r="AH140" s="1376" t="str">
        <f t="shared" ca="1" si="12"/>
        <v>N/A</v>
      </c>
    </row>
    <row r="141" spans="1:36" s="906" customFormat="1" ht="40.5" customHeight="1">
      <c r="A141" s="749" t="s">
        <v>71</v>
      </c>
      <c r="B141" s="737" t="s">
        <v>44</v>
      </c>
      <c r="C141" s="738">
        <v>53857</v>
      </c>
      <c r="D141" s="739" t="s">
        <v>32</v>
      </c>
      <c r="E141" s="794" t="s">
        <v>449</v>
      </c>
      <c r="F141" s="1311" t="s">
        <v>361</v>
      </c>
      <c r="G141" s="1311" t="s">
        <v>569</v>
      </c>
      <c r="H141" s="710" t="s">
        <v>33</v>
      </c>
      <c r="I141" s="710" t="s">
        <v>47</v>
      </c>
      <c r="J141" s="709" t="s">
        <v>5518</v>
      </c>
      <c r="K141" s="710" t="s">
        <v>5519</v>
      </c>
      <c r="L141" s="710">
        <v>10</v>
      </c>
      <c r="M141" s="769">
        <f>IFERROR(EDATE($N141,-3),"Invalid procurement method or date entered")</f>
        <v>44805</v>
      </c>
      <c r="N141" s="769">
        <f>IFERROR(EDATE(O141,-L141),"Invalid procurement method or date entered")</f>
        <v>44896</v>
      </c>
      <c r="O141" s="769">
        <v>45200</v>
      </c>
      <c r="P141" s="750">
        <v>33</v>
      </c>
      <c r="Q141" s="766" t="s">
        <v>6903</v>
      </c>
      <c r="R141" s="937">
        <v>8960</v>
      </c>
      <c r="S141" s="937">
        <f t="shared" si="14"/>
        <v>10752</v>
      </c>
      <c r="T141" s="793">
        <v>4480</v>
      </c>
      <c r="U141" s="2475" t="s">
        <v>37</v>
      </c>
      <c r="V141" s="708" t="s">
        <v>37</v>
      </c>
      <c r="W141" s="885" t="s">
        <v>38</v>
      </c>
      <c r="X141" s="886" t="s">
        <v>67</v>
      </c>
      <c r="Y141" s="2460"/>
      <c r="Z141" s="710" t="s">
        <v>392</v>
      </c>
      <c r="AA141" s="915" t="s">
        <v>94</v>
      </c>
      <c r="AB141" s="710" t="s">
        <v>40</v>
      </c>
      <c r="AC141" s="710" t="s">
        <v>154</v>
      </c>
      <c r="AD141" s="710" t="s">
        <v>70</v>
      </c>
      <c r="AE141" s="2222" t="s">
        <v>5670</v>
      </c>
      <c r="AF141" s="2213" t="s">
        <v>6904</v>
      </c>
      <c r="AG141" s="723" t="s">
        <v>164</v>
      </c>
      <c r="AH141" s="1376" t="str">
        <f t="shared" ca="1" si="12"/>
        <v>N/A</v>
      </c>
    </row>
    <row r="142" spans="1:36" s="906" customFormat="1" ht="86.9" customHeight="1">
      <c r="A142" s="749">
        <v>45041</v>
      </c>
      <c r="B142" s="725" t="s">
        <v>56</v>
      </c>
      <c r="C142" s="898" t="s">
        <v>60</v>
      </c>
      <c r="D142" s="727" t="s">
        <v>647</v>
      </c>
      <c r="E142" s="794" t="s">
        <v>647</v>
      </c>
      <c r="F142" s="1385" t="s">
        <v>630</v>
      </c>
      <c r="G142" s="1311" t="s">
        <v>1360</v>
      </c>
      <c r="H142" s="730" t="s">
        <v>4946</v>
      </c>
      <c r="I142" s="726" t="s">
        <v>47</v>
      </c>
      <c r="J142" s="2395" t="s">
        <v>6905</v>
      </c>
      <c r="K142" s="802"/>
      <c r="L142" s="794">
        <v>3</v>
      </c>
      <c r="M142" s="1180">
        <v>45047</v>
      </c>
      <c r="N142" s="1360" t="s">
        <v>60</v>
      </c>
      <c r="O142" s="1463">
        <v>45170</v>
      </c>
      <c r="P142" s="761">
        <v>2</v>
      </c>
      <c r="Q142" s="1469">
        <v>2</v>
      </c>
      <c r="R142" s="742">
        <v>600000</v>
      </c>
      <c r="S142" s="937">
        <f t="shared" si="14"/>
        <v>720000</v>
      </c>
      <c r="T142" s="923"/>
      <c r="U142" s="2586" t="s">
        <v>6226</v>
      </c>
      <c r="V142" s="1498" t="s">
        <v>4486</v>
      </c>
      <c r="W142" s="792" t="s">
        <v>5669</v>
      </c>
      <c r="X142" s="2503" t="s">
        <v>589</v>
      </c>
      <c r="Y142" s="2564"/>
      <c r="Z142" s="730" t="s">
        <v>6906</v>
      </c>
      <c r="AA142" s="730" t="s">
        <v>5066</v>
      </c>
      <c r="AB142" s="812" t="s">
        <v>40</v>
      </c>
      <c r="AC142" s="812" t="s">
        <v>60</v>
      </c>
      <c r="AD142" s="790" t="s">
        <v>70</v>
      </c>
      <c r="AE142" s="2222" t="s">
        <v>5670</v>
      </c>
      <c r="AF142" s="2745" t="s">
        <v>6907</v>
      </c>
      <c r="AG142" s="924"/>
      <c r="AH142" s="1376" t="str">
        <f t="shared" ca="1" si="12"/>
        <v>N/A</v>
      </c>
    </row>
    <row r="143" spans="1:36" s="906" customFormat="1" ht="40.5" customHeight="1">
      <c r="A143" s="1444" t="s">
        <v>1170</v>
      </c>
      <c r="B143" s="2171" t="s">
        <v>56</v>
      </c>
      <c r="C143" s="2172" t="s">
        <v>6908</v>
      </c>
      <c r="D143" s="2172" t="s">
        <v>4973</v>
      </c>
      <c r="E143" s="2280" t="s">
        <v>1341</v>
      </c>
      <c r="F143" s="2172" t="s">
        <v>630</v>
      </c>
      <c r="G143" s="2171" t="s">
        <v>1319</v>
      </c>
      <c r="H143" s="2172" t="s">
        <v>4959</v>
      </c>
      <c r="I143" s="2172" t="s">
        <v>34</v>
      </c>
      <c r="J143" s="2474" t="s">
        <v>5226</v>
      </c>
      <c r="K143" s="2172" t="s">
        <v>5227</v>
      </c>
      <c r="L143" s="2281" t="s">
        <v>1170</v>
      </c>
      <c r="M143" s="731">
        <v>45047</v>
      </c>
      <c r="N143" s="2281" t="s">
        <v>1170</v>
      </c>
      <c r="O143" s="2174">
        <v>45078</v>
      </c>
      <c r="P143" s="2172">
        <v>84</v>
      </c>
      <c r="Q143" s="2172" t="s">
        <v>6909</v>
      </c>
      <c r="R143" s="742">
        <v>504000</v>
      </c>
      <c r="S143" s="937">
        <f t="shared" si="14"/>
        <v>604800</v>
      </c>
      <c r="T143" s="2476">
        <v>72000</v>
      </c>
      <c r="U143" s="1477" t="s">
        <v>34</v>
      </c>
      <c r="V143" s="2172" t="s">
        <v>130</v>
      </c>
      <c r="W143" s="2172" t="s">
        <v>1170</v>
      </c>
      <c r="X143" s="2172" t="s">
        <v>1170</v>
      </c>
      <c r="Y143" s="2172"/>
      <c r="Z143" s="2172" t="s">
        <v>6910</v>
      </c>
      <c r="AA143" s="2172" t="s">
        <v>1334</v>
      </c>
      <c r="AB143" s="2172" t="s">
        <v>40</v>
      </c>
      <c r="AC143" s="1634" t="s">
        <v>1170</v>
      </c>
      <c r="AD143" s="1632" t="s">
        <v>1170</v>
      </c>
      <c r="AE143" s="2222" t="s">
        <v>5670</v>
      </c>
      <c r="AF143" s="2212" t="s">
        <v>6911</v>
      </c>
      <c r="AG143" s="1447" t="s">
        <v>1170</v>
      </c>
      <c r="AH143" s="1376" t="str">
        <f t="shared" ca="1" si="12"/>
        <v>N/A</v>
      </c>
    </row>
    <row r="144" spans="1:36" s="906" customFormat="1" ht="40.5" customHeight="1">
      <c r="A144" s="749">
        <v>45057</v>
      </c>
      <c r="B144" s="890" t="s">
        <v>56</v>
      </c>
      <c r="C144" s="726" t="s">
        <v>45</v>
      </c>
      <c r="D144" s="730" t="s">
        <v>1551</v>
      </c>
      <c r="E144" s="794" t="s">
        <v>4704</v>
      </c>
      <c r="F144" s="730" t="s">
        <v>1270</v>
      </c>
      <c r="G144" s="1311" t="s">
        <v>4994</v>
      </c>
      <c r="H144" s="730" t="s">
        <v>4946</v>
      </c>
      <c r="I144" s="726" t="s">
        <v>47</v>
      </c>
      <c r="J144" s="811" t="s">
        <v>6912</v>
      </c>
      <c r="K144" s="726"/>
      <c r="L144" s="730">
        <v>3</v>
      </c>
      <c r="M144" s="731">
        <v>45047</v>
      </c>
      <c r="N144" s="712" t="s">
        <v>60</v>
      </c>
      <c r="O144" s="759" t="s">
        <v>837</v>
      </c>
      <c r="P144" s="891">
        <v>2</v>
      </c>
      <c r="Q144" s="891">
        <v>2</v>
      </c>
      <c r="R144" s="742">
        <v>59000</v>
      </c>
      <c r="S144" s="937">
        <f t="shared" si="14"/>
        <v>70800</v>
      </c>
      <c r="T144" s="2530"/>
      <c r="U144" s="794" t="s">
        <v>176</v>
      </c>
      <c r="V144" s="711" t="s">
        <v>176</v>
      </c>
      <c r="W144" s="711" t="s">
        <v>60</v>
      </c>
      <c r="X144" s="711" t="s">
        <v>60</v>
      </c>
      <c r="Y144" s="701"/>
      <c r="Z144" s="730" t="s">
        <v>6311</v>
      </c>
      <c r="AA144" s="2172" t="s">
        <v>413</v>
      </c>
      <c r="AB144" s="762" t="s">
        <v>727</v>
      </c>
      <c r="AC144" s="762" t="s">
        <v>60</v>
      </c>
      <c r="AD144" s="695" t="s">
        <v>38</v>
      </c>
      <c r="AE144" s="2222" t="s">
        <v>5670</v>
      </c>
      <c r="AF144" s="1908" t="s">
        <v>6913</v>
      </c>
      <c r="AG144" s="924"/>
      <c r="AH144" s="1376" t="str">
        <f t="shared" ca="1" si="12"/>
        <v>N/A</v>
      </c>
      <c r="AI144" s="1395"/>
      <c r="AJ144" s="906">
        <v>1</v>
      </c>
    </row>
    <row r="145" spans="1:34" s="2323" customFormat="1" ht="40.5" customHeight="1">
      <c r="A145" s="749">
        <v>45107</v>
      </c>
      <c r="B145" s="695" t="s">
        <v>56</v>
      </c>
      <c r="C145" s="695"/>
      <c r="D145" s="801"/>
      <c r="E145" s="695" t="s">
        <v>6914</v>
      </c>
      <c r="F145" s="695" t="s">
        <v>630</v>
      </c>
      <c r="G145" s="801" t="s">
        <v>1366</v>
      </c>
      <c r="H145" s="801"/>
      <c r="I145" s="695" t="s">
        <v>34</v>
      </c>
      <c r="J145" s="747" t="s">
        <v>5323</v>
      </c>
      <c r="K145" s="710" t="s">
        <v>5324</v>
      </c>
      <c r="L145" s="695"/>
      <c r="M145" s="1235"/>
      <c r="N145" s="749"/>
      <c r="O145" s="1235">
        <v>45108</v>
      </c>
      <c r="P145" s="695">
        <v>72</v>
      </c>
      <c r="Q145" s="695" t="s">
        <v>6915</v>
      </c>
      <c r="R145" s="2660">
        <v>145000</v>
      </c>
      <c r="S145" s="2661">
        <f>SUM(R145*1.2)</f>
        <v>174000</v>
      </c>
      <c r="T145" s="2660">
        <f>SUM(R145)/6</f>
        <v>24166.666666666668</v>
      </c>
      <c r="U145" s="695" t="s">
        <v>34</v>
      </c>
      <c r="V145" s="801" t="s">
        <v>130</v>
      </c>
      <c r="W145" s="695" t="s">
        <v>62</v>
      </c>
      <c r="X145" s="695" t="s">
        <v>67</v>
      </c>
      <c r="Y145" s="695"/>
      <c r="Z145" s="801" t="s">
        <v>5093</v>
      </c>
      <c r="AA145" s="876" t="s">
        <v>1445</v>
      </c>
      <c r="AB145" s="710" t="s">
        <v>40</v>
      </c>
      <c r="AC145" s="1332"/>
      <c r="AD145" s="1332"/>
      <c r="AE145" s="2222" t="s">
        <v>5670</v>
      </c>
      <c r="AF145" s="2748" t="s">
        <v>6916</v>
      </c>
      <c r="AG145" s="1332"/>
      <c r="AH145" s="1376" t="str">
        <f t="shared" ca="1" si="12"/>
        <v>N/A</v>
      </c>
    </row>
    <row r="146" spans="1:34" s="906" customFormat="1" ht="40.5" customHeight="1">
      <c r="A146" s="1166"/>
      <c r="B146" s="1406" t="s">
        <v>56</v>
      </c>
      <c r="C146" s="1406" t="s">
        <v>60</v>
      </c>
      <c r="D146" s="2654" t="s">
        <v>348</v>
      </c>
      <c r="E146" s="1385" t="s">
        <v>449</v>
      </c>
      <c r="F146" s="1311" t="s">
        <v>361</v>
      </c>
      <c r="G146" s="1311" t="s">
        <v>362</v>
      </c>
      <c r="H146" s="1385" t="s">
        <v>5077</v>
      </c>
      <c r="I146" s="1406" t="s">
        <v>34</v>
      </c>
      <c r="J146" s="2744" t="s">
        <v>6917</v>
      </c>
      <c r="K146" s="1406" t="s">
        <v>6918</v>
      </c>
      <c r="L146" s="1385">
        <v>12</v>
      </c>
      <c r="M146" s="1458">
        <v>45051</v>
      </c>
      <c r="N146" s="1461">
        <f>IF(O146="tbc","",(IFERROR(EDATE(O146,-L146),"Invalid procurement method or date entered")))</f>
        <v>45428</v>
      </c>
      <c r="O146" s="1464">
        <v>45793</v>
      </c>
      <c r="P146" s="1465">
        <v>48</v>
      </c>
      <c r="Q146" s="1465">
        <v>48</v>
      </c>
      <c r="R146" s="930">
        <v>1000000</v>
      </c>
      <c r="S146" s="937">
        <f t="shared" ref="S146:S153" si="15">IF(ISNUMBER(R146),SUM(R146*20%)+R146,"")</f>
        <v>1200000</v>
      </c>
      <c r="T146" s="937">
        <v>250000</v>
      </c>
      <c r="U146" s="850" t="s">
        <v>1488</v>
      </c>
      <c r="V146" s="1158" t="s">
        <v>91</v>
      </c>
      <c r="W146" s="1158" t="s">
        <v>589</v>
      </c>
      <c r="X146" s="1158" t="s">
        <v>589</v>
      </c>
      <c r="Y146" s="1158"/>
      <c r="Z146" s="1385" t="s">
        <v>4979</v>
      </c>
      <c r="AA146" s="2286" t="s">
        <v>561</v>
      </c>
      <c r="AB146" s="1443" t="s">
        <v>40</v>
      </c>
      <c r="AC146" s="1484" t="s">
        <v>69</v>
      </c>
      <c r="AD146" s="1407" t="s">
        <v>70</v>
      </c>
      <c r="AE146" s="2222" t="s">
        <v>5670</v>
      </c>
      <c r="AF146" s="1488" t="s">
        <v>6919</v>
      </c>
      <c r="AG146" s="1492"/>
      <c r="AH146" s="1376" t="str">
        <f t="shared" ca="1" si="12"/>
        <v>N/A</v>
      </c>
    </row>
    <row r="147" spans="1:34" s="906" customFormat="1" ht="78">
      <c r="A147" s="749">
        <v>44918</v>
      </c>
      <c r="B147" s="706" t="s">
        <v>100</v>
      </c>
      <c r="C147" s="707" t="s">
        <v>589</v>
      </c>
      <c r="D147" s="708" t="s">
        <v>6218</v>
      </c>
      <c r="E147" s="794" t="s">
        <v>449</v>
      </c>
      <c r="F147" s="708" t="s">
        <v>1373</v>
      </c>
      <c r="G147" s="914" t="s">
        <v>1374</v>
      </c>
      <c r="H147" s="710" t="s">
        <v>5058</v>
      </c>
      <c r="I147" s="710" t="s">
        <v>34</v>
      </c>
      <c r="J147" s="709" t="s">
        <v>6920</v>
      </c>
      <c r="K147" s="710" t="s">
        <v>6921</v>
      </c>
      <c r="L147" s="710">
        <v>12</v>
      </c>
      <c r="M147" s="711">
        <f>IFERROR(EDATE(N147,-3),"Invalid procurement method or date entered")</f>
        <v>44470</v>
      </c>
      <c r="N147" s="712">
        <f t="shared" ref="N147:N153" si="16">IFERROR(EDATE(O147,-L147),"Invalid procurement method or date entered")</f>
        <v>44562</v>
      </c>
      <c r="O147" s="713">
        <v>44927</v>
      </c>
      <c r="P147" s="2199">
        <v>8</v>
      </c>
      <c r="Q147" s="2750">
        <v>8</v>
      </c>
      <c r="R147" s="2492">
        <v>405768</v>
      </c>
      <c r="S147" s="742">
        <f t="shared" si="15"/>
        <v>486921.6</v>
      </c>
      <c r="T147" s="2675">
        <v>80691</v>
      </c>
      <c r="U147" s="793" t="s">
        <v>34</v>
      </c>
      <c r="V147" s="708" t="s">
        <v>130</v>
      </c>
      <c r="W147" s="710" t="s">
        <v>38</v>
      </c>
      <c r="X147" s="711">
        <v>44357</v>
      </c>
      <c r="Y147" s="710"/>
      <c r="Z147" s="710" t="s">
        <v>3312</v>
      </c>
      <c r="AA147" s="784" t="s">
        <v>470</v>
      </c>
      <c r="AB147" s="710" t="s">
        <v>40</v>
      </c>
      <c r="AC147" s="710" t="s">
        <v>87</v>
      </c>
      <c r="AD147" s="1371" t="s">
        <v>45</v>
      </c>
      <c r="AE147" s="2222" t="s">
        <v>5670</v>
      </c>
      <c r="AF147" s="1373" t="s">
        <v>6922</v>
      </c>
      <c r="AG147" s="723"/>
      <c r="AH147" s="1376" t="str">
        <f t="shared" ca="1" si="12"/>
        <v>N/A</v>
      </c>
    </row>
    <row r="148" spans="1:34" s="906" customFormat="1" ht="65">
      <c r="A148" s="749">
        <v>44981</v>
      </c>
      <c r="B148" s="737" t="s">
        <v>100</v>
      </c>
      <c r="C148" s="707" t="s">
        <v>45</v>
      </c>
      <c r="D148" s="739" t="s">
        <v>110</v>
      </c>
      <c r="E148" s="794" t="s">
        <v>449</v>
      </c>
      <c r="F148" s="1311" t="s">
        <v>110</v>
      </c>
      <c r="G148" s="739" t="s">
        <v>450</v>
      </c>
      <c r="H148" s="710" t="s">
        <v>4946</v>
      </c>
      <c r="I148" s="710" t="s">
        <v>34</v>
      </c>
      <c r="J148" s="709" t="s">
        <v>6923</v>
      </c>
      <c r="K148" s="710" t="s">
        <v>6924</v>
      </c>
      <c r="L148" s="710">
        <v>12</v>
      </c>
      <c r="M148" s="711">
        <f>IFERROR(EDATE(N148,-3),"Invalid procurement method or date entered")</f>
        <v>44562</v>
      </c>
      <c r="N148" s="712">
        <f t="shared" si="16"/>
        <v>44652</v>
      </c>
      <c r="O148" s="947">
        <v>45017</v>
      </c>
      <c r="P148" s="740">
        <v>18</v>
      </c>
      <c r="Q148" s="741" t="s">
        <v>6925</v>
      </c>
      <c r="R148" s="807">
        <v>8400000</v>
      </c>
      <c r="S148" s="937">
        <f t="shared" si="15"/>
        <v>10080000</v>
      </c>
      <c r="T148" s="2528">
        <v>4200000</v>
      </c>
      <c r="U148" s="2512" t="s">
        <v>34</v>
      </c>
      <c r="V148" s="708" t="s">
        <v>130</v>
      </c>
      <c r="W148" s="710" t="s">
        <v>38</v>
      </c>
      <c r="X148" s="710" t="s">
        <v>67</v>
      </c>
      <c r="Y148" s="710"/>
      <c r="Z148" s="750" t="s">
        <v>6926</v>
      </c>
      <c r="AA148" s="888" t="s">
        <v>413</v>
      </c>
      <c r="AB148" s="708" t="s">
        <v>40</v>
      </c>
      <c r="AC148" s="710" t="s">
        <v>87</v>
      </c>
      <c r="AD148" s="738" t="s">
        <v>70</v>
      </c>
      <c r="AE148" s="2222" t="s">
        <v>5670</v>
      </c>
      <c r="AF148" s="1373" t="s">
        <v>6927</v>
      </c>
      <c r="AG148" s="723"/>
      <c r="AH148" s="1376" t="str">
        <f t="shared" ca="1" si="12"/>
        <v>N/A</v>
      </c>
    </row>
    <row r="149" spans="1:34" s="906" customFormat="1" ht="78">
      <c r="A149" s="749">
        <v>45028</v>
      </c>
      <c r="B149" s="706" t="s">
        <v>100</v>
      </c>
      <c r="C149" s="707" t="s">
        <v>45</v>
      </c>
      <c r="D149" s="708" t="s">
        <v>415</v>
      </c>
      <c r="E149" s="794" t="s">
        <v>449</v>
      </c>
      <c r="F149" s="708" t="s">
        <v>1270</v>
      </c>
      <c r="G149" s="1385" t="s">
        <v>1271</v>
      </c>
      <c r="H149" s="710" t="s">
        <v>5058</v>
      </c>
      <c r="I149" s="710" t="s">
        <v>47</v>
      </c>
      <c r="J149" s="709" t="s">
        <v>6928</v>
      </c>
      <c r="K149" s="710" t="s">
        <v>365</v>
      </c>
      <c r="L149" s="710">
        <v>12</v>
      </c>
      <c r="M149" s="711">
        <f>IFERROR(EDATE(N149,-3),"Invalid procurement method or date entered")</f>
        <v>44682</v>
      </c>
      <c r="N149" s="712">
        <f t="shared" si="16"/>
        <v>44774</v>
      </c>
      <c r="O149" s="713">
        <v>45139</v>
      </c>
      <c r="P149" s="714">
        <v>12</v>
      </c>
      <c r="Q149" s="715">
        <v>12</v>
      </c>
      <c r="R149" s="742">
        <v>5000000</v>
      </c>
      <c r="S149" s="937">
        <f t="shared" si="15"/>
        <v>6000000</v>
      </c>
      <c r="T149" s="793">
        <v>5000000</v>
      </c>
      <c r="U149" s="2476" t="s">
        <v>6226</v>
      </c>
      <c r="V149" s="708" t="s">
        <v>158</v>
      </c>
      <c r="W149" s="710" t="s">
        <v>200</v>
      </c>
      <c r="X149" s="710" t="s">
        <v>45</v>
      </c>
      <c r="Y149" s="710"/>
      <c r="Z149" s="710" t="s">
        <v>419</v>
      </c>
      <c r="AA149" s="710" t="s">
        <v>413</v>
      </c>
      <c r="AB149" s="695" t="s">
        <v>40</v>
      </c>
      <c r="AC149" s="710" t="s">
        <v>87</v>
      </c>
      <c r="AD149" s="724" t="s">
        <v>70</v>
      </c>
      <c r="AE149" s="2222" t="s">
        <v>5670</v>
      </c>
      <c r="AF149" s="1373" t="s">
        <v>6929</v>
      </c>
      <c r="AG149" s="723"/>
      <c r="AH149" s="1376" t="str">
        <f t="shared" ca="1" si="12"/>
        <v>N/A</v>
      </c>
    </row>
    <row r="150" spans="1:34" s="906" customFormat="1" ht="39">
      <c r="A150" s="749"/>
      <c r="B150" s="889" t="s">
        <v>44</v>
      </c>
      <c r="C150" s="695">
        <v>77520</v>
      </c>
      <c r="D150" s="752" t="s">
        <v>32</v>
      </c>
      <c r="E150" s="794" t="s">
        <v>449</v>
      </c>
      <c r="F150" s="782" t="s">
        <v>361</v>
      </c>
      <c r="G150" s="743" t="s">
        <v>362</v>
      </c>
      <c r="H150" s="750" t="s">
        <v>4622</v>
      </c>
      <c r="I150" s="2195" t="s">
        <v>47</v>
      </c>
      <c r="J150" s="2953" t="s">
        <v>445</v>
      </c>
      <c r="K150" s="695" t="s">
        <v>4992</v>
      </c>
      <c r="L150" s="710">
        <v>12</v>
      </c>
      <c r="M150" s="1247">
        <f>IFERROR(EDATE($N150,-10),"Invalid procurement method or date entered")</f>
        <v>44440</v>
      </c>
      <c r="N150" s="1247">
        <f t="shared" si="16"/>
        <v>44743</v>
      </c>
      <c r="O150" s="2955">
        <v>45108</v>
      </c>
      <c r="P150" s="2195">
        <v>36</v>
      </c>
      <c r="Q150" s="2303">
        <v>36</v>
      </c>
      <c r="R150" s="929">
        <v>315000</v>
      </c>
      <c r="S150" s="937">
        <f t="shared" si="15"/>
        <v>378000</v>
      </c>
      <c r="T150" s="2528">
        <v>105000</v>
      </c>
      <c r="U150" s="2476" t="s">
        <v>4593</v>
      </c>
      <c r="V150" s="829" t="s">
        <v>84</v>
      </c>
      <c r="W150" s="710" t="s">
        <v>62</v>
      </c>
      <c r="X150" s="710" t="s">
        <v>67</v>
      </c>
      <c r="Y150" s="710"/>
      <c r="Z150" s="801" t="s">
        <v>447</v>
      </c>
      <c r="AA150" s="2172" t="s">
        <v>780</v>
      </c>
      <c r="AB150" s="695" t="s">
        <v>40</v>
      </c>
      <c r="AC150" s="771" t="s">
        <v>69</v>
      </c>
      <c r="AD150" s="710" t="s">
        <v>70</v>
      </c>
      <c r="AE150" s="2222" t="s">
        <v>5670</v>
      </c>
      <c r="AF150" s="2667" t="s">
        <v>6930</v>
      </c>
      <c r="AG150" s="723" t="s">
        <v>285</v>
      </c>
      <c r="AH150" s="1376" t="str">
        <f t="shared" ca="1" si="12"/>
        <v>N/A</v>
      </c>
    </row>
    <row r="151" spans="1:34" s="2413" customFormat="1" ht="39">
      <c r="A151" s="749"/>
      <c r="B151" s="695" t="s">
        <v>44</v>
      </c>
      <c r="C151" s="738">
        <v>74949</v>
      </c>
      <c r="D151" s="808" t="s">
        <v>32</v>
      </c>
      <c r="E151" s="794" t="s">
        <v>449</v>
      </c>
      <c r="F151" s="1326" t="s">
        <v>361</v>
      </c>
      <c r="G151" s="2952" t="s">
        <v>362</v>
      </c>
      <c r="H151" s="1279" t="s">
        <v>4622</v>
      </c>
      <c r="I151" s="2195" t="s">
        <v>47</v>
      </c>
      <c r="J151" s="787" t="s">
        <v>5145</v>
      </c>
      <c r="K151" s="784" t="s">
        <v>5146</v>
      </c>
      <c r="L151" s="710">
        <v>12</v>
      </c>
      <c r="M151" s="769">
        <f>IFERROR(EDATE($N151,-3),"Invalid procurement method or date entered")</f>
        <v>44730</v>
      </c>
      <c r="N151" s="711">
        <f t="shared" si="16"/>
        <v>44822</v>
      </c>
      <c r="O151" s="769">
        <v>45187</v>
      </c>
      <c r="P151" s="710">
        <v>48</v>
      </c>
      <c r="Q151" s="710" t="s">
        <v>215</v>
      </c>
      <c r="R151" s="772">
        <v>760000</v>
      </c>
      <c r="S151" s="937">
        <f t="shared" si="15"/>
        <v>912000</v>
      </c>
      <c r="T151" s="2662">
        <v>190000</v>
      </c>
      <c r="U151" s="2475" t="s">
        <v>1488</v>
      </c>
      <c r="V151" s="710" t="s">
        <v>6931</v>
      </c>
      <c r="W151" s="710" t="s">
        <v>92</v>
      </c>
      <c r="X151" s="2731">
        <v>45014</v>
      </c>
      <c r="Y151" s="2731"/>
      <c r="Z151" s="710" t="s">
        <v>5147</v>
      </c>
      <c r="AA151" s="2172" t="s">
        <v>780</v>
      </c>
      <c r="AB151" s="695" t="s">
        <v>40</v>
      </c>
      <c r="AC151" s="710" t="s">
        <v>154</v>
      </c>
      <c r="AD151" s="710" t="s">
        <v>70</v>
      </c>
      <c r="AE151" s="2222" t="s">
        <v>5670</v>
      </c>
      <c r="AF151" s="2961" t="s">
        <v>5148</v>
      </c>
      <c r="AG151" s="710" t="s">
        <v>285</v>
      </c>
      <c r="AH151" s="1376" t="str">
        <f t="shared" ca="1" si="12"/>
        <v>N/A</v>
      </c>
    </row>
    <row r="152" spans="1:34" s="906" customFormat="1" ht="104">
      <c r="A152" s="749">
        <v>44848</v>
      </c>
      <c r="B152" s="737" t="s">
        <v>44</v>
      </c>
      <c r="C152" s="738"/>
      <c r="D152" s="708" t="s">
        <v>32</v>
      </c>
      <c r="E152" s="794" t="s">
        <v>449</v>
      </c>
      <c r="F152" s="739" t="s">
        <v>361</v>
      </c>
      <c r="G152" s="739" t="s">
        <v>569</v>
      </c>
      <c r="H152" s="710" t="s">
        <v>33</v>
      </c>
      <c r="I152" s="915" t="s">
        <v>47</v>
      </c>
      <c r="J152" s="709" t="s">
        <v>775</v>
      </c>
      <c r="K152" s="710" t="s">
        <v>778</v>
      </c>
      <c r="L152" s="710">
        <v>5</v>
      </c>
      <c r="M152" s="769">
        <f>IFERROR(EDATE($N152,-3),"Invalid procurement method or date entered")</f>
        <v>44958</v>
      </c>
      <c r="N152" s="847">
        <f t="shared" si="16"/>
        <v>45047</v>
      </c>
      <c r="O152" s="769">
        <v>45200</v>
      </c>
      <c r="P152" s="750">
        <v>36</v>
      </c>
      <c r="Q152" s="766" t="s">
        <v>1538</v>
      </c>
      <c r="R152" s="742">
        <v>37044</v>
      </c>
      <c r="S152" s="937">
        <f t="shared" si="15"/>
        <v>44452.800000000003</v>
      </c>
      <c r="T152" s="793">
        <v>12348</v>
      </c>
      <c r="U152" s="2475" t="s">
        <v>37</v>
      </c>
      <c r="V152" s="708" t="s">
        <v>84</v>
      </c>
      <c r="W152" s="710" t="s">
        <v>38</v>
      </c>
      <c r="X152" s="738" t="s">
        <v>67</v>
      </c>
      <c r="Y152" s="738"/>
      <c r="Z152" s="710" t="s">
        <v>5165</v>
      </c>
      <c r="AA152" s="915" t="s">
        <v>780</v>
      </c>
      <c r="AB152" s="710" t="s">
        <v>727</v>
      </c>
      <c r="AC152" s="710" t="s">
        <v>154</v>
      </c>
      <c r="AD152" s="710" t="s">
        <v>70</v>
      </c>
      <c r="AE152" s="2222" t="s">
        <v>5670</v>
      </c>
      <c r="AF152" s="2213" t="s">
        <v>6932</v>
      </c>
      <c r="AG152" s="723" t="s">
        <v>96</v>
      </c>
      <c r="AH152" s="1376" t="str">
        <f t="shared" ca="1" si="12"/>
        <v>N/A</v>
      </c>
    </row>
    <row r="153" spans="1:34" s="2962" customFormat="1" ht="65">
      <c r="A153" s="749">
        <v>44866</v>
      </c>
      <c r="B153" s="737" t="s">
        <v>44</v>
      </c>
      <c r="C153" s="738" t="s">
        <v>45</v>
      </c>
      <c r="D153" s="739" t="s">
        <v>32</v>
      </c>
      <c r="E153" s="794" t="s">
        <v>449</v>
      </c>
      <c r="F153" s="1311" t="s">
        <v>122</v>
      </c>
      <c r="G153" s="1311" t="s">
        <v>569</v>
      </c>
      <c r="H153" s="808" t="s">
        <v>33</v>
      </c>
      <c r="I153" s="710" t="s">
        <v>47</v>
      </c>
      <c r="J153" s="709" t="s">
        <v>966</v>
      </c>
      <c r="K153" s="710" t="s">
        <v>967</v>
      </c>
      <c r="L153" s="710">
        <v>6</v>
      </c>
      <c r="M153" s="769">
        <f>IFERROR(EDATE($N153,-3),"Invalid procurement method or date entered")</f>
        <v>44958</v>
      </c>
      <c r="N153" s="769">
        <f t="shared" si="16"/>
        <v>45047</v>
      </c>
      <c r="O153" s="1237">
        <v>45231</v>
      </c>
      <c r="P153" s="830" t="s">
        <v>45</v>
      </c>
      <c r="Q153" s="719" t="s">
        <v>45</v>
      </c>
      <c r="R153" s="937"/>
      <c r="S153" s="937" t="str">
        <f t="shared" si="15"/>
        <v/>
      </c>
      <c r="T153" s="2662">
        <v>10000</v>
      </c>
      <c r="U153" s="2475" t="s">
        <v>37</v>
      </c>
      <c r="V153" s="708" t="s">
        <v>37</v>
      </c>
      <c r="W153" s="767" t="s">
        <v>38</v>
      </c>
      <c r="X153" s="738" t="s">
        <v>67</v>
      </c>
      <c r="Y153" s="738"/>
      <c r="Z153" s="710" t="s">
        <v>5045</v>
      </c>
      <c r="AA153" s="915" t="s">
        <v>780</v>
      </c>
      <c r="AB153" s="710" t="s">
        <v>727</v>
      </c>
      <c r="AC153" s="710"/>
      <c r="AD153" s="808" t="s">
        <v>38</v>
      </c>
      <c r="AE153" s="2222" t="s">
        <v>5670</v>
      </c>
      <c r="AF153" s="2984" t="s">
        <v>6933</v>
      </c>
      <c r="AG153" s="723" t="s">
        <v>145</v>
      </c>
      <c r="AH153" s="1376" t="str">
        <f t="shared" ca="1" si="12"/>
        <v>N/A</v>
      </c>
    </row>
    <row r="154" spans="1:34" s="906" customFormat="1" ht="65">
      <c r="A154" s="749">
        <v>45110</v>
      </c>
      <c r="B154" s="725" t="s">
        <v>44</v>
      </c>
      <c r="C154" s="726"/>
      <c r="D154" s="727" t="s">
        <v>57</v>
      </c>
      <c r="E154" s="794" t="s">
        <v>4947</v>
      </c>
      <c r="F154" s="1311" t="s">
        <v>630</v>
      </c>
      <c r="G154" s="1311" t="s">
        <v>1315</v>
      </c>
      <c r="H154" s="730" t="s">
        <v>33</v>
      </c>
      <c r="I154" s="710" t="s">
        <v>47</v>
      </c>
      <c r="J154" s="709" t="s">
        <v>6934</v>
      </c>
      <c r="K154" s="710" t="s">
        <v>6935</v>
      </c>
      <c r="L154" s="730"/>
      <c r="M154" s="1272">
        <v>45110</v>
      </c>
      <c r="N154" s="791"/>
      <c r="O154" s="711">
        <v>45119</v>
      </c>
      <c r="P154" s="2956"/>
      <c r="Q154" s="2957"/>
      <c r="R154" s="807"/>
      <c r="S154" s="937"/>
      <c r="T154" s="2528"/>
      <c r="U154" s="2476"/>
      <c r="V154" s="2725"/>
      <c r="W154" s="1158"/>
      <c r="X154" s="711"/>
      <c r="Y154" s="711"/>
      <c r="Z154" s="710" t="s">
        <v>6936</v>
      </c>
      <c r="AA154" s="730" t="s">
        <v>5071</v>
      </c>
      <c r="AB154" s="762"/>
      <c r="AC154" s="1309"/>
      <c r="AD154" s="695" t="s">
        <v>38</v>
      </c>
      <c r="AE154" s="2222" t="s">
        <v>5670</v>
      </c>
      <c r="AF154" s="1293" t="s">
        <v>6937</v>
      </c>
      <c r="AG154" s="1286"/>
      <c r="AH154" s="1376" t="str">
        <f t="shared" ca="1" si="12"/>
        <v>N/A</v>
      </c>
    </row>
    <row r="155" spans="1:34" s="906" customFormat="1" ht="65">
      <c r="A155" s="2128">
        <v>45036</v>
      </c>
      <c r="B155" s="719" t="s">
        <v>44</v>
      </c>
      <c r="C155" s="782"/>
      <c r="D155" s="2451" t="s">
        <v>32</v>
      </c>
      <c r="E155" s="719" t="s">
        <v>449</v>
      </c>
      <c r="F155" s="1311" t="s">
        <v>361</v>
      </c>
      <c r="G155" s="2417" t="s">
        <v>1406</v>
      </c>
      <c r="H155" s="750" t="s">
        <v>33</v>
      </c>
      <c r="I155" s="719" t="s">
        <v>47</v>
      </c>
      <c r="J155" s="2953" t="s">
        <v>6938</v>
      </c>
      <c r="K155" s="710"/>
      <c r="L155" s="750" t="e">
        <f>IF(OR(V155=#REF!,V155=#REF!,V155=#REF!,V155=#REF!,V155=#REF!,V155=#REF!,V155=#REF!,V155=#REF!),12,IF(OR(V155=#REF!,V155=#REF!,V155=#REF!,V155=#REF!,V155=#REF!,V155=#REF!,V155=#REF!),3,IF(V155=#REF!,1,IF(V155=#REF!,18,IF(OR(V155=#REF!,V155=#REF!,V155=#REF!,V155=#REF!,V155=#REF!),14,"Invalid proposed procurement method")))))</f>
        <v>#REF!</v>
      </c>
      <c r="M155" s="792" t="str">
        <f>IFERROR(EDATE(N155,-3),"Invalid procurement method or date entered")</f>
        <v>Invalid procurement method or date entered</v>
      </c>
      <c r="N155" s="2657" t="str">
        <f>IFERROR(EDATE(O155,-L155),"Invalid procurement method or date entered")</f>
        <v>Invalid procurement method or date entered</v>
      </c>
      <c r="O155" s="1239">
        <v>45108</v>
      </c>
      <c r="P155" s="741">
        <v>12</v>
      </c>
      <c r="Q155" s="719">
        <v>12</v>
      </c>
      <c r="R155" s="1289">
        <v>80000</v>
      </c>
      <c r="S155" s="937">
        <f>IF(ISNUMBER(R155),SUM(R155*20%)+R155,"")</f>
        <v>96000</v>
      </c>
      <c r="T155" s="850">
        <v>80000</v>
      </c>
      <c r="U155" s="793" t="s">
        <v>6632</v>
      </c>
      <c r="V155" s="710" t="s">
        <v>366</v>
      </c>
      <c r="W155" s="744" t="s">
        <v>38</v>
      </c>
      <c r="X155" s="711" t="s">
        <v>71</v>
      </c>
      <c r="Y155" s="711"/>
      <c r="Z155" s="710" t="s">
        <v>5076</v>
      </c>
      <c r="AA155" s="2172" t="s">
        <v>5071</v>
      </c>
      <c r="AB155" s="710" t="s">
        <v>727</v>
      </c>
      <c r="AC155" s="750"/>
      <c r="AD155" s="710"/>
      <c r="AE155" s="2222" t="s">
        <v>5670</v>
      </c>
      <c r="AF155" s="1305" t="s">
        <v>6939</v>
      </c>
      <c r="AG155" s="723"/>
      <c r="AH155" s="1376" t="str">
        <f t="shared" ca="1" si="12"/>
        <v>N/A</v>
      </c>
    </row>
    <row r="156" spans="1:34" s="906" customFormat="1" ht="52">
      <c r="A156" s="2428" t="s">
        <v>4941</v>
      </c>
      <c r="B156" s="2437" t="s">
        <v>44</v>
      </c>
      <c r="C156" s="2410">
        <v>48604</v>
      </c>
      <c r="D156" s="2409" t="s">
        <v>1551</v>
      </c>
      <c r="E156" s="2416" t="s">
        <v>4947</v>
      </c>
      <c r="F156" s="2409" t="s">
        <v>361</v>
      </c>
      <c r="G156" s="2409" t="s">
        <v>4943</v>
      </c>
      <c r="H156" s="2410" t="s">
        <v>4978</v>
      </c>
      <c r="I156" s="2410" t="s">
        <v>47</v>
      </c>
      <c r="J156" s="2404" t="s">
        <v>5404</v>
      </c>
      <c r="K156" s="2410"/>
      <c r="L156" s="2410">
        <v>12</v>
      </c>
      <c r="M156" s="711">
        <f>IFERROR(EDATE(N156,-3),"Invalid procurement method or date entered")</f>
        <v>44896</v>
      </c>
      <c r="N156" s="712">
        <f>IFERROR(EDATE(O156,-L156),"Invalid procurement method or date entered")</f>
        <v>44986</v>
      </c>
      <c r="O156" s="2411">
        <v>45352</v>
      </c>
      <c r="P156" s="2423"/>
      <c r="Q156" s="2407"/>
      <c r="R156" s="2558" t="s">
        <v>5406</v>
      </c>
      <c r="S156" s="937" t="str">
        <f>IF(ISNUMBER(R156),SUM(R156*20%)+R156,"")</f>
        <v/>
      </c>
      <c r="T156" s="1287"/>
      <c r="U156" s="2431" t="s">
        <v>34</v>
      </c>
      <c r="V156" s="2410" t="s">
        <v>130</v>
      </c>
      <c r="W156" s="2410"/>
      <c r="X156" s="2410"/>
      <c r="Y156" s="2410"/>
      <c r="Z156" s="2410" t="s">
        <v>5407</v>
      </c>
      <c r="AA156" s="2410" t="s">
        <v>5071</v>
      </c>
      <c r="AB156" s="2410" t="s">
        <v>727</v>
      </c>
      <c r="AC156" s="2410"/>
      <c r="AD156" s="2423"/>
      <c r="AE156" s="2222" t="s">
        <v>5670</v>
      </c>
      <c r="AF156" s="2747" t="s">
        <v>6940</v>
      </c>
      <c r="AG156" s="2426"/>
      <c r="AH156" s="1376" t="str">
        <f t="shared" ca="1" si="12"/>
        <v>N/A</v>
      </c>
    </row>
    <row r="157" spans="1:34" s="901" customFormat="1" ht="286">
      <c r="A157" s="749" t="s">
        <v>71</v>
      </c>
      <c r="B157" s="695" t="s">
        <v>44</v>
      </c>
      <c r="C157" s="738" t="s">
        <v>45</v>
      </c>
      <c r="D157" s="808" t="s">
        <v>32</v>
      </c>
      <c r="E157" s="730" t="s">
        <v>449</v>
      </c>
      <c r="F157" s="1311" t="s">
        <v>630</v>
      </c>
      <c r="G157" s="1311" t="s">
        <v>1406</v>
      </c>
      <c r="H157" s="698" t="s">
        <v>33</v>
      </c>
      <c r="I157" s="700" t="s">
        <v>47</v>
      </c>
      <c r="J157" s="1608" t="s">
        <v>5777</v>
      </c>
      <c r="K157" s="710"/>
      <c r="L157" s="710">
        <v>8</v>
      </c>
      <c r="M157" s="1315">
        <f>IFERROR(EDATE($N157,-3),"Invalid procurement method or date entered")</f>
        <v>44409</v>
      </c>
      <c r="N157" s="769">
        <f>IFERROR(EDATE(O157,-L157),"Invalid procurement method or date entered")</f>
        <v>44501</v>
      </c>
      <c r="O157" s="769">
        <v>44743</v>
      </c>
      <c r="P157" s="710">
        <v>24</v>
      </c>
      <c r="Q157" s="708" t="s">
        <v>1345</v>
      </c>
      <c r="R157" s="2560" t="s">
        <v>45</v>
      </c>
      <c r="S157" s="1030" t="str">
        <f>IF(ISNUMBER(R157),SUM(R157*20%)+R157,"")</f>
        <v/>
      </c>
      <c r="T157" s="744" t="s">
        <v>45</v>
      </c>
      <c r="U157" s="783" t="s">
        <v>4593</v>
      </c>
      <c r="V157" s="710" t="s">
        <v>84</v>
      </c>
      <c r="W157" s="710" t="s">
        <v>45</v>
      </c>
      <c r="X157" s="738" t="s">
        <v>45</v>
      </c>
      <c r="Y157" s="738"/>
      <c r="Z157" s="710" t="s">
        <v>5779</v>
      </c>
      <c r="AA157" s="915" t="s">
        <v>77</v>
      </c>
      <c r="AB157" s="710" t="s">
        <v>40</v>
      </c>
      <c r="AC157" s="710" t="s">
        <v>154</v>
      </c>
      <c r="AD157" s="710" t="s">
        <v>38</v>
      </c>
      <c r="AE157" s="2222" t="s">
        <v>5670</v>
      </c>
      <c r="AF157" s="2140" t="s">
        <v>6941</v>
      </c>
      <c r="AG157" s="798" t="s">
        <v>165</v>
      </c>
      <c r="AH157" s="1376" t="str">
        <f t="shared" ca="1" si="12"/>
        <v>N/A</v>
      </c>
    </row>
    <row r="158" spans="1:34" s="906" customFormat="1" ht="325">
      <c r="A158" s="749" t="s">
        <v>71</v>
      </c>
      <c r="B158" s="782" t="s">
        <v>44</v>
      </c>
      <c r="C158" s="738" t="s">
        <v>45</v>
      </c>
      <c r="D158" s="771" t="s">
        <v>709</v>
      </c>
      <c r="E158" s="794" t="s">
        <v>449</v>
      </c>
      <c r="F158" s="1311" t="s">
        <v>361</v>
      </c>
      <c r="G158" s="1311" t="s">
        <v>6616</v>
      </c>
      <c r="H158" s="710" t="s">
        <v>46</v>
      </c>
      <c r="I158" s="710" t="s">
        <v>47</v>
      </c>
      <c r="J158" s="709" t="s">
        <v>850</v>
      </c>
      <c r="K158" s="710" t="s">
        <v>851</v>
      </c>
      <c r="L158" s="710">
        <v>3</v>
      </c>
      <c r="M158" s="769">
        <f>IFERROR(EDATE(N158,-3),"Invalid procurement method or date entered")</f>
        <v>44927</v>
      </c>
      <c r="N158" s="769">
        <f>IFERROR(EDATE(O158,-L158),"Invalid procurement method or date entered")</f>
        <v>45017</v>
      </c>
      <c r="O158" s="947">
        <v>45108</v>
      </c>
      <c r="P158" s="738" t="s">
        <v>45</v>
      </c>
      <c r="Q158" s="884" t="s">
        <v>45</v>
      </c>
      <c r="R158" s="742" t="s">
        <v>45</v>
      </c>
      <c r="S158" s="937" t="str">
        <f>IF(ISNUMBER(R158),SUM(R158*20%)+R158,"")</f>
        <v/>
      </c>
      <c r="T158" s="1288">
        <v>29700</v>
      </c>
      <c r="U158" s="2476" t="s">
        <v>6226</v>
      </c>
      <c r="V158" s="710" t="s">
        <v>75</v>
      </c>
      <c r="W158" s="836" t="s">
        <v>38</v>
      </c>
      <c r="X158" s="856" t="s">
        <v>67</v>
      </c>
      <c r="Y158" s="856"/>
      <c r="Z158" s="710" t="s">
        <v>852</v>
      </c>
      <c r="AA158" s="2275" t="s">
        <v>77</v>
      </c>
      <c r="AB158" s="710" t="s">
        <v>40</v>
      </c>
      <c r="AC158" s="750" t="s">
        <v>154</v>
      </c>
      <c r="AD158" s="710" t="s">
        <v>38</v>
      </c>
      <c r="AE158" s="2222" t="s">
        <v>5670</v>
      </c>
      <c r="AF158" s="2746" t="s">
        <v>6942</v>
      </c>
      <c r="AG158" s="723" t="s">
        <v>46</v>
      </c>
      <c r="AH158" s="1376" t="str">
        <f t="shared" ca="1" si="12"/>
        <v>N/A</v>
      </c>
    </row>
    <row r="159" spans="1:34" s="2962" customFormat="1" ht="182">
      <c r="A159" s="749"/>
      <c r="B159" s="737" t="s">
        <v>56</v>
      </c>
      <c r="C159" s="738" t="s">
        <v>45</v>
      </c>
      <c r="D159" s="708" t="s">
        <v>57</v>
      </c>
      <c r="E159" s="794" t="s">
        <v>449</v>
      </c>
      <c r="F159" s="739" t="s">
        <v>630</v>
      </c>
      <c r="G159" s="1412" t="s">
        <v>1121</v>
      </c>
      <c r="H159" s="730" t="s">
        <v>1486</v>
      </c>
      <c r="I159" s="707" t="s">
        <v>47</v>
      </c>
      <c r="J159" s="709" t="s">
        <v>6943</v>
      </c>
      <c r="K159" s="2980" t="s">
        <v>1551</v>
      </c>
      <c r="L159" s="700"/>
      <c r="M159" s="847">
        <v>44951</v>
      </c>
      <c r="N159" s="847">
        <v>44951</v>
      </c>
      <c r="O159" s="2985">
        <v>45017</v>
      </c>
      <c r="P159" s="741">
        <v>12</v>
      </c>
      <c r="Q159" s="723"/>
      <c r="R159" s="1289">
        <v>280000</v>
      </c>
      <c r="S159" s="1471">
        <f>IF(ISNUMBER(R159),SUM(R159*20%)+R159,"")</f>
        <v>336000</v>
      </c>
      <c r="T159" s="2528"/>
      <c r="U159" s="850" t="s">
        <v>1488</v>
      </c>
      <c r="V159" s="708" t="s">
        <v>91</v>
      </c>
      <c r="W159" s="769" t="s">
        <v>38</v>
      </c>
      <c r="X159" s="769" t="s">
        <v>67</v>
      </c>
      <c r="Y159" s="769"/>
      <c r="Z159" s="730" t="s">
        <v>167</v>
      </c>
      <c r="AA159" s="921" t="s">
        <v>77</v>
      </c>
      <c r="AB159" s="710" t="s">
        <v>115</v>
      </c>
      <c r="AC159" s="710"/>
      <c r="AD159" s="695"/>
      <c r="AE159" s="2222" t="s">
        <v>5670</v>
      </c>
      <c r="AF159" s="2213" t="s">
        <v>6944</v>
      </c>
      <c r="AG159" s="741" t="s">
        <v>165</v>
      </c>
      <c r="AH159" s="1376" t="str">
        <f t="shared" ca="1" si="12"/>
        <v>N/A</v>
      </c>
    </row>
    <row r="160" spans="1:34" s="906" customFormat="1" ht="169">
      <c r="A160" s="1166">
        <v>45030</v>
      </c>
      <c r="B160" s="1406" t="s">
        <v>56</v>
      </c>
      <c r="C160" s="1406" t="s">
        <v>45</v>
      </c>
      <c r="D160" s="1385" t="s">
        <v>1551</v>
      </c>
      <c r="E160" s="1385" t="s">
        <v>4704</v>
      </c>
      <c r="F160" s="1385" t="s">
        <v>1270</v>
      </c>
      <c r="G160" s="1311" t="s">
        <v>4994</v>
      </c>
      <c r="H160" s="1385" t="s">
        <v>4956</v>
      </c>
      <c r="I160" s="1406" t="s">
        <v>47</v>
      </c>
      <c r="J160" s="2374" t="s">
        <v>6945</v>
      </c>
      <c r="K160" s="1406"/>
      <c r="L160" s="1385">
        <v>3</v>
      </c>
      <c r="M160" s="731">
        <v>45047</v>
      </c>
      <c r="N160" s="712" t="s">
        <v>60</v>
      </c>
      <c r="O160" s="1464">
        <v>45186</v>
      </c>
      <c r="P160" s="1465">
        <v>36</v>
      </c>
      <c r="Q160" s="1465" t="s">
        <v>5007</v>
      </c>
      <c r="R160" s="930" t="s">
        <v>60</v>
      </c>
      <c r="S160" s="937"/>
      <c r="T160" s="1492"/>
      <c r="U160" s="2476" t="s">
        <v>45</v>
      </c>
      <c r="V160" s="1158" t="s">
        <v>4486</v>
      </c>
      <c r="W160" s="1158" t="s">
        <v>60</v>
      </c>
      <c r="X160" s="1158" t="s">
        <v>60</v>
      </c>
      <c r="Y160" s="1158"/>
      <c r="Z160" s="1385" t="s">
        <v>5668</v>
      </c>
      <c r="AA160" s="730" t="s">
        <v>5221</v>
      </c>
      <c r="AB160" s="1443" t="s">
        <v>40</v>
      </c>
      <c r="AC160" s="1443" t="s">
        <v>60</v>
      </c>
      <c r="AD160" s="1407" t="s">
        <v>70</v>
      </c>
      <c r="AE160" s="2222" t="s">
        <v>5670</v>
      </c>
      <c r="AF160" s="2959" t="s">
        <v>6946</v>
      </c>
      <c r="AG160" s="1492"/>
      <c r="AH160" s="1376" t="str">
        <f t="shared" ca="1" si="12"/>
        <v>N/A</v>
      </c>
    </row>
    <row r="161" spans="1:34" s="906" customFormat="1" ht="65">
      <c r="A161" s="1403"/>
      <c r="B161" s="1349" t="s">
        <v>56</v>
      </c>
      <c r="C161" s="1349" t="s">
        <v>45</v>
      </c>
      <c r="D161" s="784" t="s">
        <v>847</v>
      </c>
      <c r="E161" s="794" t="s">
        <v>449</v>
      </c>
      <c r="F161" s="895" t="s">
        <v>630</v>
      </c>
      <c r="G161" s="1412" t="s">
        <v>1360</v>
      </c>
      <c r="H161" s="784" t="s">
        <v>4946</v>
      </c>
      <c r="I161" s="784" t="s">
        <v>47</v>
      </c>
      <c r="J161" s="787" t="s">
        <v>6947</v>
      </c>
      <c r="K161" s="784"/>
      <c r="L161" s="784"/>
      <c r="M161" s="788">
        <v>45139</v>
      </c>
      <c r="N161" s="788"/>
      <c r="O161" s="2954"/>
      <c r="P161" s="786"/>
      <c r="Q161" s="2480"/>
      <c r="R161" s="1393"/>
      <c r="S161" s="2743"/>
      <c r="T161" s="2527"/>
      <c r="U161" s="2958"/>
      <c r="V161" s="784"/>
      <c r="W161" s="2543"/>
      <c r="X161" s="2460"/>
      <c r="Y161" s="2460"/>
      <c r="Z161" s="784" t="s">
        <v>6948</v>
      </c>
      <c r="AA161" s="2572" t="s">
        <v>5221</v>
      </c>
      <c r="AB161" s="812" t="s">
        <v>251</v>
      </c>
      <c r="AC161" s="784"/>
      <c r="AD161" s="1371"/>
      <c r="AE161" s="2222" t="s">
        <v>5670</v>
      </c>
      <c r="AF161" s="2960" t="s">
        <v>6949</v>
      </c>
      <c r="AG161" s="710"/>
      <c r="AH161" s="1376" t="str">
        <f t="shared" ca="1" si="12"/>
        <v>N/A</v>
      </c>
    </row>
  </sheetData>
  <autoFilter ref="A1:AH162" xr:uid="{0B498AA5-5C98-413A-A878-66F24CA4F27C}"/>
  <conditionalFormatting sqref="AE2:AE3">
    <cfRule type="timePeriod" dxfId="23" priority="3634" timePeriod="last7Days">
      <formula>AND(TODAY()-FLOOR(AE2,1)&lt;=6,FLOOR(AE2,1)&lt;=TODAY())</formula>
    </cfRule>
  </conditionalFormatting>
  <conditionalFormatting sqref="AE2:AE3">
    <cfRule type="timePeriod" dxfId="22" priority="3633" timePeriod="last7Days">
      <formula>AND(TODAY()-FLOOR(AE2,1)&lt;=6,FLOOR(AE2,1)&lt;=TODAY())</formula>
    </cfRule>
  </conditionalFormatting>
  <conditionalFormatting sqref="AE4">
    <cfRule type="timePeriod" dxfId="21" priority="3630" timePeriod="last7Days">
      <formula>AND(TODAY()-FLOOR(AE4,1)&lt;=6,FLOOR(AE4,1)&lt;=TODAY())</formula>
    </cfRule>
  </conditionalFormatting>
  <conditionalFormatting sqref="AE4">
    <cfRule type="timePeriod" dxfId="20" priority="3629" timePeriod="last7Days">
      <formula>AND(TODAY()-FLOOR(AE4,1)&lt;=6,FLOOR(AE4,1)&lt;=TODAY())</formula>
    </cfRule>
  </conditionalFormatting>
  <conditionalFormatting sqref="AE5:AE37">
    <cfRule type="timePeriod" dxfId="19" priority="3625" timePeriod="last7Days">
      <formula>AND(TODAY()-FLOOR(AE5,1)&lt;=6,FLOOR(AE5,1)&lt;=TODAY())</formula>
    </cfRule>
  </conditionalFormatting>
  <conditionalFormatting sqref="AE5:AE37">
    <cfRule type="timePeriod" dxfId="18" priority="3624" timePeriod="last7Days">
      <formula>AND(TODAY()-FLOOR(AE5,1)&lt;=6,FLOOR(AE5,1)&lt;=TODAY())</formula>
    </cfRule>
  </conditionalFormatting>
  <conditionalFormatting sqref="AE38">
    <cfRule type="timePeriod" dxfId="17" priority="3564" timePeriod="last7Days">
      <formula>AND(TODAY()-FLOOR(AE38,1)&lt;=6,FLOOR(AE38,1)&lt;=TODAY())</formula>
    </cfRule>
  </conditionalFormatting>
  <conditionalFormatting sqref="AE39:AE43">
    <cfRule type="timePeriod" dxfId="16" priority="3561" timePeriod="last7Days">
      <formula>AND(TODAY()-FLOOR(AE39,1)&lt;=6,FLOOR(AE39,1)&lt;=TODAY())</formula>
    </cfRule>
  </conditionalFormatting>
  <conditionalFormatting sqref="AE39:AE43">
    <cfRule type="timePeriod" dxfId="15" priority="3560" timePeriod="last7Days">
      <formula>AND(TODAY()-FLOOR(AE39,1)&lt;=6,FLOOR(AE39,1)&lt;=TODAY())</formula>
    </cfRule>
  </conditionalFormatting>
  <conditionalFormatting sqref="AE55">
    <cfRule type="timePeriod" dxfId="14" priority="3543" timePeriod="last7Days">
      <formula>AND(TODAY()-FLOOR(AE55,1)&lt;=6,FLOOR(AE55,1)&lt;=TODAY())</formula>
    </cfRule>
  </conditionalFormatting>
  <conditionalFormatting sqref="AE107">
    <cfRule type="timePeriod" dxfId="13" priority="3442" timePeriod="last7Days">
      <formula>AND(TODAY()-FLOOR(AE107,1)&lt;=6,FLOOR(AE107,1)&lt;=TODAY())</formula>
    </cfRule>
  </conditionalFormatting>
  <conditionalFormatting sqref="AE108">
    <cfRule type="timePeriod" dxfId="12" priority="3441" timePeriod="last7Days">
      <formula>AND(TODAY()-FLOOR(AE108,1)&lt;=6,FLOOR(AE108,1)&lt;=TODAY())</formula>
    </cfRule>
  </conditionalFormatting>
  <conditionalFormatting sqref="AE135:AE136">
    <cfRule type="timePeriod" dxfId="11" priority="2443" timePeriod="last7Days">
      <formula>AND(TODAY()-FLOOR(AE135,1)&lt;=6,FLOOR(AE135,1)&lt;=TODAY())</formula>
    </cfRule>
  </conditionalFormatting>
  <conditionalFormatting sqref="AE137">
    <cfRule type="timePeriod" dxfId="10" priority="793" timePeriod="last7Days">
      <formula>AND(TODAY()-FLOOR(AE137,1)&lt;=6,FLOOR(AE137,1)&lt;=TODAY())</formula>
    </cfRule>
  </conditionalFormatting>
  <conditionalFormatting sqref="AE138:AE141">
    <cfRule type="timePeriod" dxfId="9" priority="161" timePeriod="last7Days">
      <formula>AND(TODAY()-FLOOR(AE138,1)&lt;=6,FLOOR(AE138,1)&lt;=TODAY())</formula>
    </cfRule>
  </conditionalFormatting>
  <conditionalFormatting sqref="AE142">
    <cfRule type="timePeriod" dxfId="8" priority="142" timePeriod="last7Days">
      <formula>AND(TODAY()-FLOOR(AE142,1)&lt;=6,FLOOR(AE142,1)&lt;=TODAY())</formula>
    </cfRule>
  </conditionalFormatting>
  <conditionalFormatting sqref="AE143">
    <cfRule type="timePeriod" dxfId="7" priority="135" timePeriod="last7Days">
      <formula>AND(TODAY()-FLOOR(AE143,1)&lt;=6,FLOOR(AE143,1)&lt;=TODAY())</formula>
    </cfRule>
  </conditionalFormatting>
  <conditionalFormatting sqref="AE144">
    <cfRule type="timePeriod" dxfId="6" priority="116" timePeriod="last7Days">
      <formula>AND(TODAY()-FLOOR(AE144,1)&lt;=6,FLOOR(AE144,1)&lt;=TODAY())</formula>
    </cfRule>
  </conditionalFormatting>
  <conditionalFormatting sqref="AE145">
    <cfRule type="timePeriod" dxfId="5" priority="109" timePeriod="last7Days">
      <formula>AND(TODAY()-FLOOR(AE145,1)&lt;=6,FLOOR(AE145,1)&lt;=TODAY())</formula>
    </cfRule>
  </conditionalFormatting>
  <conditionalFormatting sqref="AE146">
    <cfRule type="timePeriod" dxfId="4" priority="108" timePeriod="last7Days">
      <formula>AND(TODAY()-FLOOR(AE146,1)&lt;=6,FLOOR(AE146,1)&lt;=TODAY())</formula>
    </cfRule>
  </conditionalFormatting>
  <conditionalFormatting sqref="AC157">
    <cfRule type="timePeriod" dxfId="3" priority="52" timePeriod="last7Days">
      <formula>AND(TODAY()-FLOOR(AC157,1)&lt;=6,FLOOR(AC157,1)&lt;=TODAY())</formula>
    </cfRule>
  </conditionalFormatting>
  <conditionalFormatting sqref="AC157">
    <cfRule type="timePeriod" dxfId="2" priority="51" timePeriod="last7Days">
      <formula>AND(TODAY()-FLOOR(AC157,1)&lt;=6,FLOOR(AC157,1)&lt;=TODAY())</formula>
    </cfRule>
  </conditionalFormatting>
  <conditionalFormatting sqref="AE147:AE160">
    <cfRule type="timePeriod" dxfId="1" priority="10" timePeriod="last7Days">
      <formula>AND(TODAY()-FLOOR(AE147,1)&lt;=6,FLOOR(AE147,1)&lt;=TODAY())</formula>
    </cfRule>
  </conditionalFormatting>
  <conditionalFormatting sqref="AE161">
    <cfRule type="timePeriod" dxfId="0" priority="8" timePeriod="last7Days">
      <formula>AND(TODAY()-FLOOR(AE161,1)&lt;=6,FLOOR(AE161,1)&lt;=TODAY())</formula>
    </cfRule>
  </conditionalFormatting>
  <dataValidations count="7">
    <dataValidation type="list" allowBlank="1" showInputMessage="1" showErrorMessage="1" sqref="F1:F24 F26:F54 F56:F160" xr:uid="{7FDBBF86-9FD0-424F-9951-F51B6B473AA1}">
      <formula1>"CYPS,HAS,Resources,CD,Environment,HR_BS,LE,LDS"</formula1>
    </dataValidation>
    <dataValidation allowBlank="1" showInputMessage="1" showErrorMessage="1" sqref="E1 D2:D13 AA12 AA15:AA16 D15:D22 AA22 D24 D26:D27 D30:D42 AA34 AA37 D45:D48 AA46 AA48 D50:D54 AA51:AA53 D56:D72 AA59:AA60 AA63 AA65 AA67:AA68 AA70:AA72 D74:D78 E79 D80:D84 AA84 D86:D92 AA87:AA88 AA90 D94:D126 AA97 E109 D128:D144 D147:D150 D152:D156 D158:D159" xr:uid="{9EF64310-C5B2-475B-8C51-F99126AE03F1}"/>
    <dataValidation type="list" allowBlank="1" showInputMessage="1" showErrorMessage="1" sqref="E2:E24 E26:E27 E29:E54 E56:E78 E80:E84 E86:E92 E94:E108 E110:E149 E152:E154 E156 E158:E160" xr:uid="{D4A3AA36-0ABA-4436-8016-4A6FD109DE60}">
      <formula1>Original</formula1>
    </dataValidation>
    <dataValidation type="list" allowBlank="1" showInputMessage="1" showErrorMessage="1" sqref="AC2:AC6 AC8 AC12 AC22 AC35 AC37:AC38 AC60 AC65 AC68 AC71 AC90:AC92 AC97:AC98 AC103:AC104 AC108:AC109 AC111:AC114 AC130 AC136 AC144" xr:uid="{1AD9E895-D659-40D0-B3A9-782914A91F40}"/>
    <dataValidation type="list" allowBlank="1" showInputMessage="1" showErrorMessage="1" sqref="AC9:AC10 AC13 AC17:AC21 AC26:AC27 AC30:AC34 AC36 AC39:AC42 AC45:AC47 AC50:AC51 AC53:AC54 AC56:AC59 AC61:AC64 AC66:AC67 AC69:AC70 AC72 AC74:AC78 AC81:AC84 AC86:AC89 AC94:AC96 AC99:AC102 AC106:AC107 AC110 AC115:AC126 AC128 AC131:AC135 AC137:AC141 AC147:AC150 AC152:AC153 AC155:AC156 AC158:AC159" xr:uid="{4EDC0964-472C-4065-BB9F-7DAA1455B246}">
      <formula1>Tiering</formula1>
    </dataValidation>
    <dataValidation type="list" allowBlank="1" showInputMessage="1" showErrorMessage="1" sqref="AA13:AA14 AA23:AA24 AA26:AA27 AA29:AA33 AA47 AA49:AA50 AA54 AA56:AA58 AA61:AA62 AA64 AA66 AA69 AA73:AA83 AA86 AA89 AA91 AA158:AA161 AA2:AA11 AA38:AA45 AA35 AA98:AA156 AB9:AB10 AA94:AB96 AB86:AB89 AB81:AB84 AB74:AB78 AB72 AB69:AB70 AB66:AB67 AB56:AB64 AB50:AB54 AB45:AB48 AB38:AB42 AA36:AB36 AB30:AB34 AB25:AB28 AA17:AB21 AB13 AB99:AB102 AB105:AB107 AB110 AB116:AB125 AB128:AB129 AB131:AB142 AB145 AB147:AB159 U1:U156 B158:B160 V2:V13 V30:V42 V26:V27 V24 V15:V22 V45:V48 V50:V54 V56:V78 V80:V84 V86:V92 V94:V126 V128:V144 V147:V150 V152:V156 V158:V159 H2:H156 H158:H161 I2:I13 I15:I22 I24 I26:I27 I30:I42 I45:I48 I50:I54 I56:I72 I74:I78 I80:I84 I86:I91 I94:I101 I103:I126 I128:I144 I147:I156 I158:I159 AG2:AG13 AG15:AG22 AG24 AG26:AG27 AG30:AG42 AG45:AG48 AG50:AG54 AG56:AG72 AG74:AG78 AG80:AG84 AG86:AG91 AG94:AG126 AG128:AG144 AG147:AG150 AG152:AG156 AG158:AG159 B2:B24 B26:B27 B29:B54 B56:B84 B86:B92 B94:B150 B152:B156 U158:U161 U163:U1048576" xr:uid="{5F99512A-649B-4174-910E-98879CC13AA7}">
      <formula1>#REF!</formula1>
    </dataValidation>
    <dataValidation type="list" allowBlank="1" showInputMessage="1" showErrorMessage="1" sqref="G2:G24 G56:G161 G26:G54" xr:uid="{2EB1FDE3-E10B-4D52-821D-19A72FEFCCC5}">
      <formula1>INDIRECT($F2)</formula1>
    </dataValidation>
  </dataValidations>
  <hyperlinks>
    <hyperlink ref="Z68" r:id="rId1" display="mailto:alastair.taylor@nynet.co.uk" xr:uid="{0B618A2D-767E-4288-BF95-EB57F63FD17C}"/>
  </hyperlinks>
  <pageMargins left="0.7" right="0.7" top="0.75" bottom="0.75" header="0.3" footer="0.3"/>
  <pageSetup paperSize="9" orientation="portrait" r:id="rId2"/>
  <headerFooter>
    <oddFooter>&amp;C_x000D_&amp;1#&amp;"Calibri"&amp;10&amp;KFF0000 OFFICIAL - SENSITIVE</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ECBE25F-1D9F-42C4-B0C6-A89C4E058AEA}">
          <x14:formula1>
            <xm:f>INDIRECT('COMPLETE 22-23'!#REF!)</xm:f>
          </x14:formula1>
          <xm:sqref>G1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23E16-876B-471A-B500-F9C8145265AC}">
  <dimension ref="A1:AH380"/>
  <sheetViews>
    <sheetView topLeftCell="T1" workbookViewId="0">
      <selection activeCell="Y25" sqref="Y25"/>
    </sheetView>
  </sheetViews>
  <sheetFormatPr defaultRowHeight="15.5" outlineLevelCol="1"/>
  <cols>
    <col min="1" max="1" width="15.53515625" bestFit="1" customWidth="1"/>
    <col min="2" max="2" width="2.53515625" customWidth="1"/>
    <col min="3" max="3" width="25.69140625" bestFit="1" customWidth="1"/>
    <col min="5" max="5" width="34.69140625" bestFit="1" customWidth="1"/>
    <col min="13" max="13" width="21.07421875" customWidth="1" outlineLevel="1"/>
    <col min="14" max="14" width="2.4609375" customWidth="1" outlineLevel="1"/>
    <col min="15" max="15" width="14" customWidth="1" outlineLevel="1"/>
    <col min="16" max="16" width="2.53515625" customWidth="1" outlineLevel="1"/>
    <col min="17" max="17" width="25.4609375" customWidth="1" outlineLevel="1"/>
    <col min="18" max="18" width="47.84375" customWidth="1" outlineLevel="1"/>
    <col min="19" max="19" width="13" customWidth="1" outlineLevel="1"/>
    <col min="20" max="20" width="9.07421875" customWidth="1" outlineLevel="1"/>
    <col min="21" max="21" width="29.07421875" bestFit="1" customWidth="1"/>
    <col min="23" max="23" width="24.07421875" bestFit="1" customWidth="1"/>
    <col min="25" max="25" width="25.53515625" customWidth="1"/>
    <col min="26" max="29" width="23.84375" customWidth="1"/>
    <col min="30" max="30" width="18.07421875" customWidth="1"/>
    <col min="31" max="34" width="23.84375" customWidth="1"/>
  </cols>
  <sheetData>
    <row r="1" spans="1:34" s="38" customFormat="1" ht="62.5" thickBot="1">
      <c r="A1" s="2963" t="s">
        <v>4935</v>
      </c>
      <c r="C1" s="2963" t="s">
        <v>6603</v>
      </c>
      <c r="E1" s="2974" t="s">
        <v>6604</v>
      </c>
      <c r="F1" s="2975" t="s">
        <v>6605</v>
      </c>
      <c r="G1" s="2976" t="s">
        <v>6606</v>
      </c>
      <c r="H1" s="2976" t="s">
        <v>6607</v>
      </c>
      <c r="I1" s="2976" t="s">
        <v>6608</v>
      </c>
      <c r="J1" s="2976" t="s">
        <v>6609</v>
      </c>
      <c r="K1" s="2976" t="s">
        <v>1619</v>
      </c>
      <c r="M1" s="2963" t="s">
        <v>6610</v>
      </c>
      <c r="O1" s="38" t="s">
        <v>6611</v>
      </c>
      <c r="Q1" s="38" t="s">
        <v>6612</v>
      </c>
      <c r="R1" s="313"/>
      <c r="S1" s="313"/>
      <c r="T1" s="38" t="s">
        <v>25</v>
      </c>
      <c r="U1" s="38" t="s">
        <v>6613</v>
      </c>
      <c r="V1" s="38" t="s">
        <v>6605</v>
      </c>
      <c r="W1" s="38" t="s">
        <v>1</v>
      </c>
      <c r="Y1" s="38" t="s">
        <v>122</v>
      </c>
      <c r="Z1" s="38" t="s">
        <v>5158</v>
      </c>
      <c r="AA1" s="38" t="s">
        <v>5044</v>
      </c>
      <c r="AB1" s="38" t="s">
        <v>415</v>
      </c>
      <c r="AC1" s="38" t="s">
        <v>630</v>
      </c>
      <c r="AD1" s="38" t="s">
        <v>5123</v>
      </c>
      <c r="AE1" s="38" t="s">
        <v>5113</v>
      </c>
      <c r="AF1" s="38" t="s">
        <v>5219</v>
      </c>
      <c r="AG1" s="38" t="s">
        <v>647</v>
      </c>
      <c r="AH1" s="38" t="s">
        <v>6614</v>
      </c>
    </row>
    <row r="2" spans="1:34">
      <c r="A2" s="2964" t="s">
        <v>100</v>
      </c>
      <c r="C2" s="2964" t="s">
        <v>122</v>
      </c>
      <c r="E2" s="2969" t="s">
        <v>5125</v>
      </c>
      <c r="F2" s="2970">
        <v>14</v>
      </c>
      <c r="G2" s="2630">
        <v>85</v>
      </c>
      <c r="H2" s="2630">
        <v>85</v>
      </c>
      <c r="I2" s="2630">
        <v>22</v>
      </c>
      <c r="J2" s="2630">
        <v>44</v>
      </c>
      <c r="K2" s="2630">
        <v>22</v>
      </c>
      <c r="M2" s="2964" t="s">
        <v>413</v>
      </c>
      <c r="O2" t="s">
        <v>727</v>
      </c>
      <c r="Q2" t="s">
        <v>1645</v>
      </c>
      <c r="R2" t="s">
        <v>47</v>
      </c>
      <c r="S2" s="314"/>
      <c r="T2" t="s">
        <v>154</v>
      </c>
      <c r="U2" t="s">
        <v>1645</v>
      </c>
      <c r="V2">
        <v>14</v>
      </c>
      <c r="W2" t="s">
        <v>80</v>
      </c>
      <c r="Y2" s="2966" t="s">
        <v>1163</v>
      </c>
      <c r="Z2" s="2967" t="s">
        <v>1146</v>
      </c>
      <c r="AA2" s="2967" t="s">
        <v>1440</v>
      </c>
      <c r="AB2" s="2967" t="s">
        <v>5078</v>
      </c>
      <c r="AC2" s="2967" t="s">
        <v>1360</v>
      </c>
      <c r="AD2" s="2967" t="s">
        <v>502</v>
      </c>
      <c r="AE2" s="2967" t="s">
        <v>890</v>
      </c>
      <c r="AF2" s="2964" t="s">
        <v>4998</v>
      </c>
      <c r="AG2" s="2964" t="s">
        <v>647</v>
      </c>
      <c r="AH2" s="2970" t="s">
        <v>6614</v>
      </c>
    </row>
    <row r="3" spans="1:34">
      <c r="A3" s="2964" t="s">
        <v>56</v>
      </c>
      <c r="C3" s="2964" t="s">
        <v>110</v>
      </c>
      <c r="E3" s="2969" t="s">
        <v>176</v>
      </c>
      <c r="F3" s="2970">
        <f>IF(E3=U4,V4,"Q")</f>
        <v>12</v>
      </c>
      <c r="G3" s="2630">
        <v>44</v>
      </c>
      <c r="H3" s="2630">
        <v>44</v>
      </c>
      <c r="I3" s="2630">
        <v>22</v>
      </c>
      <c r="J3" s="2630">
        <v>22</v>
      </c>
      <c r="K3" s="2630">
        <v>22</v>
      </c>
      <c r="M3" s="2964" t="s">
        <v>283</v>
      </c>
      <c r="O3" t="s">
        <v>40</v>
      </c>
      <c r="Q3" t="s">
        <v>37</v>
      </c>
      <c r="R3" t="s">
        <v>268</v>
      </c>
      <c r="S3" s="314"/>
      <c r="T3" t="s">
        <v>69</v>
      </c>
      <c r="U3" t="s">
        <v>37</v>
      </c>
      <c r="V3">
        <v>1</v>
      </c>
      <c r="W3" t="s">
        <v>46</v>
      </c>
      <c r="Y3" s="2969" t="s">
        <v>5217</v>
      </c>
      <c r="Z3" s="2630" t="s">
        <v>5377</v>
      </c>
      <c r="AA3" s="2630" t="s">
        <v>4955</v>
      </c>
      <c r="AB3" s="2630" t="s">
        <v>1271</v>
      </c>
      <c r="AC3" s="2630" t="s">
        <v>1315</v>
      </c>
      <c r="AD3" s="2630" t="s">
        <v>862</v>
      </c>
      <c r="AE3" s="2630" t="s">
        <v>5001</v>
      </c>
      <c r="AF3" s="2964" t="s">
        <v>1342</v>
      </c>
      <c r="AG3" s="2964"/>
      <c r="AH3" s="2970"/>
    </row>
    <row r="4" spans="1:34" ht="16" thickBot="1">
      <c r="A4" s="2965" t="s">
        <v>44</v>
      </c>
      <c r="C4" s="2964" t="s">
        <v>6615</v>
      </c>
      <c r="E4" s="2969" t="s">
        <v>5090</v>
      </c>
      <c r="F4" s="2970"/>
      <c r="G4" s="2630">
        <v>0</v>
      </c>
      <c r="H4" s="2630">
        <v>0</v>
      </c>
      <c r="I4" s="2630">
        <v>0</v>
      </c>
      <c r="J4" s="2630">
        <v>0</v>
      </c>
      <c r="K4" s="2630">
        <v>65</v>
      </c>
      <c r="M4" s="2964" t="s">
        <v>5138</v>
      </c>
      <c r="O4" t="s">
        <v>4996</v>
      </c>
      <c r="Q4" t="s">
        <v>176</v>
      </c>
      <c r="R4" t="s">
        <v>34</v>
      </c>
      <c r="S4" s="314"/>
      <c r="T4" t="s">
        <v>87</v>
      </c>
      <c r="U4" t="s">
        <v>176</v>
      </c>
      <c r="V4">
        <v>12</v>
      </c>
      <c r="W4" t="s">
        <v>285</v>
      </c>
      <c r="Y4" s="2969" t="s">
        <v>5069</v>
      </c>
      <c r="Z4" s="2630" t="s">
        <v>450</v>
      </c>
      <c r="AA4" s="2630" t="s">
        <v>6616</v>
      </c>
      <c r="AB4" s="2630" t="s">
        <v>4981</v>
      </c>
      <c r="AC4" s="2630" t="s">
        <v>4964</v>
      </c>
      <c r="AD4" s="2630" t="s">
        <v>1406</v>
      </c>
      <c r="AE4" s="2630" t="s">
        <v>6617</v>
      </c>
      <c r="AF4" s="2964" t="s">
        <v>1406</v>
      </c>
      <c r="AG4" s="2964"/>
      <c r="AH4" s="2970"/>
    </row>
    <row r="5" spans="1:34" ht="16" thickBot="1">
      <c r="A5" s="2965" t="s">
        <v>647</v>
      </c>
      <c r="C5" s="2964" t="s">
        <v>5044</v>
      </c>
      <c r="E5" s="2969" t="s">
        <v>130</v>
      </c>
      <c r="F5" s="2970">
        <f>IF(E5=U5,V5,"Q")</f>
        <v>12</v>
      </c>
      <c r="G5" s="2630">
        <v>0</v>
      </c>
      <c r="H5" s="2630">
        <v>0</v>
      </c>
      <c r="I5" s="2630">
        <v>0</v>
      </c>
      <c r="J5" s="2630">
        <v>0</v>
      </c>
      <c r="K5" s="2630">
        <v>65</v>
      </c>
      <c r="M5" s="2964" t="s">
        <v>5084</v>
      </c>
      <c r="O5" t="s">
        <v>115</v>
      </c>
      <c r="Q5" t="s">
        <v>130</v>
      </c>
      <c r="R5" t="s">
        <v>958</v>
      </c>
      <c r="S5" s="314"/>
      <c r="U5" t="s">
        <v>130</v>
      </c>
      <c r="V5">
        <v>12</v>
      </c>
      <c r="W5" t="s">
        <v>127</v>
      </c>
      <c r="Y5" s="2969" t="s">
        <v>362</v>
      </c>
      <c r="Z5" s="2630" t="s">
        <v>362</v>
      </c>
      <c r="AA5" s="2630" t="s">
        <v>362</v>
      </c>
      <c r="AB5" s="2630" t="s">
        <v>4994</v>
      </c>
      <c r="AC5" s="2630" t="s">
        <v>1121</v>
      </c>
      <c r="AD5" s="2630"/>
      <c r="AE5" s="2630" t="s">
        <v>1374</v>
      </c>
      <c r="AF5" s="2964" t="s">
        <v>1340</v>
      </c>
      <c r="AG5" s="2964"/>
      <c r="AH5" s="2970"/>
    </row>
    <row r="6" spans="1:34" ht="16" thickBot="1">
      <c r="A6" s="2965" t="s">
        <v>6614</v>
      </c>
      <c r="C6" s="2964" t="s">
        <v>6618</v>
      </c>
      <c r="E6" s="2969" t="s">
        <v>4729</v>
      </c>
      <c r="F6" s="2970">
        <v>3</v>
      </c>
      <c r="G6" s="2630">
        <v>0</v>
      </c>
      <c r="H6" s="2630">
        <v>0</v>
      </c>
      <c r="I6" s="2630">
        <v>0</v>
      </c>
      <c r="J6" s="2630">
        <v>0</v>
      </c>
      <c r="K6" s="2630">
        <v>65</v>
      </c>
      <c r="M6" s="2964" t="s">
        <v>679</v>
      </c>
      <c r="Q6" t="s">
        <v>270</v>
      </c>
      <c r="U6" t="s">
        <v>270</v>
      </c>
      <c r="V6">
        <v>3</v>
      </c>
      <c r="W6" t="s">
        <v>369</v>
      </c>
      <c r="Y6" s="2969" t="s">
        <v>569</v>
      </c>
      <c r="Z6" s="2630" t="s">
        <v>569</v>
      </c>
      <c r="AA6" s="2630" t="s">
        <v>1406</v>
      </c>
      <c r="AB6" s="2630" t="s">
        <v>1406</v>
      </c>
      <c r="AC6" s="2630" t="s">
        <v>1406</v>
      </c>
      <c r="AD6" s="2630"/>
      <c r="AE6" s="2630" t="s">
        <v>1406</v>
      </c>
      <c r="AF6" s="2964" t="s">
        <v>6619</v>
      </c>
      <c r="AG6" s="2964"/>
      <c r="AH6" s="2968"/>
    </row>
    <row r="7" spans="1:34">
      <c r="C7" s="2964" t="s">
        <v>5113</v>
      </c>
      <c r="E7" s="2969" t="s">
        <v>270</v>
      </c>
      <c r="F7" s="2970">
        <v>3</v>
      </c>
      <c r="G7" s="2630">
        <v>22</v>
      </c>
      <c r="H7" s="2630">
        <v>22</v>
      </c>
      <c r="I7" s="2630">
        <v>22</v>
      </c>
      <c r="J7" s="2630">
        <v>22</v>
      </c>
      <c r="K7" s="2630">
        <v>22</v>
      </c>
      <c r="M7" s="2964" t="s">
        <v>780</v>
      </c>
      <c r="Q7" t="s">
        <v>4729</v>
      </c>
      <c r="U7" t="s">
        <v>4729</v>
      </c>
      <c r="V7">
        <v>3</v>
      </c>
      <c r="W7" t="s">
        <v>506</v>
      </c>
      <c r="Y7" s="2969"/>
      <c r="Z7" s="2630"/>
      <c r="AA7" s="2630"/>
      <c r="AB7" s="2630" t="s">
        <v>4468</v>
      </c>
      <c r="AC7" s="2630"/>
      <c r="AD7" s="2630"/>
      <c r="AE7" s="2630"/>
      <c r="AF7" s="2964" t="s">
        <v>1406</v>
      </c>
      <c r="AG7" s="2964"/>
      <c r="AH7" s="2970"/>
    </row>
    <row r="8" spans="1:34">
      <c r="C8" s="2964" t="s">
        <v>5162</v>
      </c>
      <c r="E8" s="2969" t="s">
        <v>84</v>
      </c>
      <c r="F8" s="2970">
        <v>4</v>
      </c>
      <c r="G8" s="2630">
        <v>0</v>
      </c>
      <c r="H8" s="2630">
        <v>0</v>
      </c>
      <c r="I8" s="2630">
        <v>0</v>
      </c>
      <c r="J8" s="2630">
        <v>0</v>
      </c>
      <c r="K8" s="2630">
        <v>22</v>
      </c>
      <c r="M8" s="2964" t="s">
        <v>77</v>
      </c>
      <c r="Q8" t="s">
        <v>84</v>
      </c>
      <c r="R8" s="38" t="s">
        <v>6620</v>
      </c>
      <c r="S8" s="38" t="s">
        <v>709</v>
      </c>
      <c r="U8" t="s">
        <v>84</v>
      </c>
      <c r="V8">
        <v>12</v>
      </c>
      <c r="W8" t="s">
        <v>399</v>
      </c>
      <c r="Y8" s="2969"/>
      <c r="Z8" s="2630"/>
      <c r="AA8" s="2630"/>
      <c r="AB8" s="2630"/>
      <c r="AC8" s="2630"/>
      <c r="AD8" s="2630"/>
      <c r="AE8" s="2630"/>
      <c r="AF8" s="2964"/>
      <c r="AG8" s="2964"/>
      <c r="AH8" s="2970"/>
    </row>
    <row r="9" spans="1:34">
      <c r="C9" s="2964" t="s">
        <v>415</v>
      </c>
      <c r="E9" s="2969" t="s">
        <v>51</v>
      </c>
      <c r="F9" s="2970">
        <v>3</v>
      </c>
      <c r="G9" s="2630">
        <v>130</v>
      </c>
      <c r="H9" s="2630">
        <v>85</v>
      </c>
      <c r="I9" s="2630">
        <v>0</v>
      </c>
      <c r="J9" s="2630">
        <v>44</v>
      </c>
      <c r="K9" s="2630">
        <v>44</v>
      </c>
      <c r="M9" s="2964" t="s">
        <v>5066</v>
      </c>
      <c r="Q9" t="s">
        <v>51</v>
      </c>
      <c r="R9" t="s">
        <v>4982</v>
      </c>
      <c r="S9" t="s">
        <v>6621</v>
      </c>
      <c r="U9" t="s">
        <v>51</v>
      </c>
      <c r="V9">
        <v>3</v>
      </c>
      <c r="W9" t="s">
        <v>2645</v>
      </c>
      <c r="Y9" s="2969"/>
      <c r="Z9" s="2630"/>
      <c r="AA9" s="2630"/>
      <c r="AB9" s="2630"/>
      <c r="AC9" s="2630"/>
      <c r="AD9" s="2630"/>
      <c r="AE9" s="2630"/>
      <c r="AF9" s="2964"/>
      <c r="AG9" s="2964"/>
      <c r="AH9" s="2970"/>
    </row>
    <row r="10" spans="1:34" ht="16" thickBot="1">
      <c r="C10" s="2965" t="s">
        <v>630</v>
      </c>
      <c r="E10" s="2969" t="s">
        <v>5437</v>
      </c>
      <c r="F10" s="2970">
        <v>14</v>
      </c>
      <c r="G10" s="2630">
        <v>85</v>
      </c>
      <c r="H10" s="2630">
        <v>85</v>
      </c>
      <c r="I10" s="2630">
        <v>22</v>
      </c>
      <c r="J10" s="2630">
        <v>22</v>
      </c>
      <c r="K10" s="2630">
        <v>22</v>
      </c>
      <c r="M10" s="2964" t="s">
        <v>5610</v>
      </c>
      <c r="Q10" t="s">
        <v>2622</v>
      </c>
      <c r="R10" t="s">
        <v>5077</v>
      </c>
      <c r="S10" t="s">
        <v>4510</v>
      </c>
      <c r="U10" t="s">
        <v>407</v>
      </c>
      <c r="V10">
        <v>12</v>
      </c>
      <c r="W10" t="s">
        <v>710</v>
      </c>
      <c r="Y10" s="2971"/>
      <c r="Z10" s="2972"/>
      <c r="AA10" s="2972"/>
      <c r="AB10" s="2972"/>
      <c r="AC10" s="2972"/>
      <c r="AD10" s="2972"/>
      <c r="AE10" s="2972"/>
      <c r="AF10" s="2964"/>
      <c r="AG10" s="2964"/>
      <c r="AH10" s="2973"/>
    </row>
    <row r="11" spans="1:34" ht="16" thickBot="1">
      <c r="C11" s="2965" t="s">
        <v>647</v>
      </c>
      <c r="E11" s="2969" t="s">
        <v>366</v>
      </c>
      <c r="F11" s="2970">
        <v>14</v>
      </c>
      <c r="G11" s="2630">
        <v>0</v>
      </c>
      <c r="H11" s="2630">
        <v>22</v>
      </c>
      <c r="I11" s="2630">
        <v>22</v>
      </c>
      <c r="J11" s="2630">
        <v>11</v>
      </c>
      <c r="K11" s="2630">
        <v>11</v>
      </c>
      <c r="M11" s="2964" t="s">
        <v>5005</v>
      </c>
      <c r="Q11" t="s">
        <v>6622</v>
      </c>
      <c r="R11" t="s">
        <v>80</v>
      </c>
      <c r="S11" t="s">
        <v>34</v>
      </c>
      <c r="U11" t="s">
        <v>6623</v>
      </c>
      <c r="V11">
        <v>18</v>
      </c>
      <c r="W11" t="s">
        <v>165</v>
      </c>
    </row>
    <row r="12" spans="1:34" ht="16" thickBot="1">
      <c r="C12" s="2965" t="s">
        <v>6614</v>
      </c>
      <c r="E12" s="2969" t="s">
        <v>5065</v>
      </c>
      <c r="F12" s="2970">
        <v>12</v>
      </c>
      <c r="G12" s="2630">
        <v>0</v>
      </c>
      <c r="H12" s="2630">
        <v>22</v>
      </c>
      <c r="I12" s="2630">
        <v>22</v>
      </c>
      <c r="J12" s="2630">
        <v>22</v>
      </c>
      <c r="K12" s="2630">
        <v>22</v>
      </c>
      <c r="M12" s="2964" t="s">
        <v>5071</v>
      </c>
      <c r="Q12" t="s">
        <v>2389</v>
      </c>
      <c r="R12" t="s">
        <v>4965</v>
      </c>
      <c r="S12" t="s">
        <v>6624</v>
      </c>
      <c r="U12" t="s">
        <v>6625</v>
      </c>
      <c r="V12">
        <v>3</v>
      </c>
      <c r="W12" t="s">
        <v>73</v>
      </c>
    </row>
    <row r="13" spans="1:34">
      <c r="E13" s="2969" t="s">
        <v>5063</v>
      </c>
      <c r="F13" s="2970">
        <v>3</v>
      </c>
      <c r="G13" s="2630">
        <v>0</v>
      </c>
      <c r="H13" s="2630">
        <v>44</v>
      </c>
      <c r="I13" s="2630">
        <v>0</v>
      </c>
      <c r="J13" s="2630">
        <v>0</v>
      </c>
      <c r="K13" s="2630">
        <v>22</v>
      </c>
      <c r="M13" s="2964" t="s">
        <v>5039</v>
      </c>
      <c r="Q13" t="s">
        <v>1189</v>
      </c>
      <c r="R13" t="s">
        <v>1595</v>
      </c>
      <c r="S13" t="s">
        <v>6626</v>
      </c>
      <c r="U13" t="s">
        <v>366</v>
      </c>
      <c r="V13">
        <v>14</v>
      </c>
      <c r="W13" t="s">
        <v>79</v>
      </c>
    </row>
    <row r="14" spans="1:34">
      <c r="E14" s="2969" t="s">
        <v>553</v>
      </c>
      <c r="F14" s="2970">
        <v>12</v>
      </c>
      <c r="G14" s="2630">
        <v>85</v>
      </c>
      <c r="H14" s="2630">
        <v>85</v>
      </c>
      <c r="I14" s="2630">
        <v>22</v>
      </c>
      <c r="J14" s="2630">
        <v>44</v>
      </c>
      <c r="K14" s="2630">
        <v>22</v>
      </c>
      <c r="M14" s="2964" t="s">
        <v>470</v>
      </c>
      <c r="Q14" t="s">
        <v>2110</v>
      </c>
      <c r="R14" t="s">
        <v>661</v>
      </c>
      <c r="S14" t="s">
        <v>45</v>
      </c>
      <c r="U14" t="s">
        <v>553</v>
      </c>
      <c r="V14">
        <v>12</v>
      </c>
      <c r="W14" t="s">
        <v>164</v>
      </c>
    </row>
    <row r="15" spans="1:34">
      <c r="E15" s="2969" t="s">
        <v>5083</v>
      </c>
      <c r="F15" s="2970">
        <v>14</v>
      </c>
      <c r="G15" s="2630">
        <v>85</v>
      </c>
      <c r="H15" s="2630">
        <v>44</v>
      </c>
      <c r="I15" s="2630">
        <v>22</v>
      </c>
      <c r="J15" s="2630">
        <v>22</v>
      </c>
      <c r="K15" s="2630">
        <v>22</v>
      </c>
      <c r="M15" s="2964" t="s">
        <v>5190</v>
      </c>
      <c r="Q15" t="s">
        <v>1937</v>
      </c>
      <c r="R15" t="s">
        <v>4949</v>
      </c>
      <c r="U15" t="s">
        <v>91</v>
      </c>
      <c r="V15">
        <v>14</v>
      </c>
      <c r="W15" t="s">
        <v>220</v>
      </c>
    </row>
    <row r="16" spans="1:34">
      <c r="E16" s="2969" t="s">
        <v>5191</v>
      </c>
      <c r="F16" s="2970">
        <v>14</v>
      </c>
      <c r="G16" s="2630">
        <v>0</v>
      </c>
      <c r="H16" s="2630">
        <v>44</v>
      </c>
      <c r="I16" s="2630">
        <v>0</v>
      </c>
      <c r="J16" s="2630">
        <v>0</v>
      </c>
      <c r="K16" s="2630">
        <v>22</v>
      </c>
      <c r="M16" s="2964" t="s">
        <v>5094</v>
      </c>
      <c r="Q16" t="s">
        <v>553</v>
      </c>
      <c r="R16" t="s">
        <v>6627</v>
      </c>
      <c r="U16" t="s">
        <v>105</v>
      </c>
      <c r="V16">
        <v>14</v>
      </c>
      <c r="W16" t="s">
        <v>156</v>
      </c>
    </row>
    <row r="17" spans="5:23">
      <c r="E17" s="2969" t="s">
        <v>5234</v>
      </c>
      <c r="F17" s="2970">
        <v>12</v>
      </c>
      <c r="G17" s="2630">
        <v>0</v>
      </c>
      <c r="H17" s="2630">
        <v>0</v>
      </c>
      <c r="I17" s="2630">
        <v>0</v>
      </c>
      <c r="J17" s="2630">
        <v>0</v>
      </c>
      <c r="K17" s="2630">
        <v>0</v>
      </c>
      <c r="M17" s="2964" t="s">
        <v>5141</v>
      </c>
      <c r="Q17" t="s">
        <v>91</v>
      </c>
      <c r="R17" t="s">
        <v>3410</v>
      </c>
      <c r="U17" t="s">
        <v>3784</v>
      </c>
      <c r="V17">
        <v>14</v>
      </c>
      <c r="W17" t="s">
        <v>145</v>
      </c>
    </row>
    <row r="18" spans="5:23">
      <c r="E18" s="2969" t="s">
        <v>45</v>
      </c>
      <c r="F18" s="2970">
        <v>12</v>
      </c>
      <c r="G18" s="2630">
        <v>0</v>
      </c>
      <c r="H18" s="2630">
        <v>0</v>
      </c>
      <c r="I18" s="2630">
        <v>0</v>
      </c>
      <c r="J18" s="2630">
        <v>0</v>
      </c>
      <c r="K18" s="2630">
        <v>44</v>
      </c>
      <c r="M18" s="2964" t="s">
        <v>5097</v>
      </c>
      <c r="Q18" t="s">
        <v>105</v>
      </c>
      <c r="R18" t="s">
        <v>1471</v>
      </c>
      <c r="U18" t="s">
        <v>5234</v>
      </c>
      <c r="V18">
        <v>12</v>
      </c>
      <c r="W18" t="s">
        <v>806</v>
      </c>
    </row>
    <row r="19" spans="5:23">
      <c r="E19" s="2969" t="s">
        <v>5241</v>
      </c>
      <c r="F19" s="2970">
        <v>12</v>
      </c>
      <c r="G19" s="2630">
        <v>0</v>
      </c>
      <c r="H19" s="2630">
        <v>0</v>
      </c>
      <c r="I19" s="2630">
        <v>0</v>
      </c>
      <c r="J19" s="2630">
        <v>0</v>
      </c>
      <c r="K19" s="2630">
        <v>22</v>
      </c>
      <c r="M19" s="2964" t="s">
        <v>784</v>
      </c>
      <c r="Q19" t="s">
        <v>3784</v>
      </c>
      <c r="R19" t="s">
        <v>4622</v>
      </c>
      <c r="U19" t="s">
        <v>45</v>
      </c>
      <c r="V19">
        <v>3</v>
      </c>
      <c r="W19" t="s">
        <v>443</v>
      </c>
    </row>
    <row r="20" spans="5:23">
      <c r="E20" s="2969" t="s">
        <v>529</v>
      </c>
      <c r="F20" s="2970">
        <v>3</v>
      </c>
      <c r="G20" s="2630">
        <v>0</v>
      </c>
      <c r="H20" s="2630">
        <v>0</v>
      </c>
      <c r="I20" s="2630">
        <v>0</v>
      </c>
      <c r="J20" s="2630">
        <v>0</v>
      </c>
      <c r="K20" s="2630">
        <v>5</v>
      </c>
      <c r="M20" s="2964" t="s">
        <v>86</v>
      </c>
      <c r="Q20" t="s">
        <v>45</v>
      </c>
      <c r="R20" t="s">
        <v>127</v>
      </c>
      <c r="U20" t="s">
        <v>958</v>
      </c>
      <c r="V20">
        <v>12</v>
      </c>
      <c r="W20" t="s">
        <v>385</v>
      </c>
    </row>
    <row r="21" spans="5:23">
      <c r="E21" s="2969" t="s">
        <v>6628</v>
      </c>
      <c r="F21" s="2970">
        <v>3</v>
      </c>
      <c r="G21" s="2630">
        <v>0</v>
      </c>
      <c r="H21" s="2630">
        <v>5</v>
      </c>
      <c r="I21" s="2630">
        <v>30</v>
      </c>
      <c r="J21" s="2630">
        <v>10</v>
      </c>
      <c r="K21" s="2630">
        <v>15</v>
      </c>
      <c r="M21" s="2964" t="s">
        <v>1334</v>
      </c>
      <c r="Q21" t="s">
        <v>958</v>
      </c>
      <c r="R21" t="s">
        <v>323</v>
      </c>
      <c r="U21" t="s">
        <v>529</v>
      </c>
      <c r="V21">
        <v>3</v>
      </c>
      <c r="W21" t="s">
        <v>5011</v>
      </c>
    </row>
    <row r="22" spans="5:23" ht="16" thickBot="1">
      <c r="E22" s="2971" t="s">
        <v>6629</v>
      </c>
      <c r="F22" s="2973">
        <v>3</v>
      </c>
      <c r="M22" s="2964" t="s">
        <v>254</v>
      </c>
      <c r="Q22" t="s">
        <v>529</v>
      </c>
      <c r="R22" t="s">
        <v>4978</v>
      </c>
      <c r="U22" t="s">
        <v>158</v>
      </c>
      <c r="V22">
        <v>12</v>
      </c>
      <c r="W22" t="s">
        <v>96</v>
      </c>
    </row>
    <row r="23" spans="5:23">
      <c r="M23" s="2964" t="s">
        <v>94</v>
      </c>
      <c r="R23" t="s">
        <v>4980</v>
      </c>
      <c r="U23" t="s">
        <v>75</v>
      </c>
      <c r="V23">
        <v>3</v>
      </c>
      <c r="W23" t="s">
        <v>4035</v>
      </c>
    </row>
    <row r="24" spans="5:23">
      <c r="M24" s="2964" t="s">
        <v>920</v>
      </c>
      <c r="Q24" s="38" t="s">
        <v>4</v>
      </c>
      <c r="R24" t="s">
        <v>5027</v>
      </c>
      <c r="U24" t="s">
        <v>182</v>
      </c>
      <c r="W24" t="s">
        <v>240</v>
      </c>
    </row>
    <row r="25" spans="5:23">
      <c r="M25" s="2964" t="s">
        <v>5221</v>
      </c>
      <c r="Q25" t="s">
        <v>1168</v>
      </c>
      <c r="R25" t="s">
        <v>4962</v>
      </c>
      <c r="U25" t="s">
        <v>61</v>
      </c>
      <c r="W25" t="s">
        <v>264</v>
      </c>
    </row>
    <row r="26" spans="5:23">
      <c r="M26" s="2964" t="s">
        <v>125</v>
      </c>
      <c r="Q26" t="s">
        <v>1341</v>
      </c>
      <c r="R26" t="s">
        <v>4956</v>
      </c>
    </row>
    <row r="27" spans="5:23">
      <c r="M27" s="2964" t="s">
        <v>5037</v>
      </c>
      <c r="Q27" t="s">
        <v>4704</v>
      </c>
      <c r="R27" t="s">
        <v>514</v>
      </c>
    </row>
    <row r="28" spans="5:23">
      <c r="M28" s="2964" t="s">
        <v>715</v>
      </c>
      <c r="Q28" t="s">
        <v>4942</v>
      </c>
      <c r="R28" t="s">
        <v>33</v>
      </c>
    </row>
    <row r="29" spans="5:23">
      <c r="M29" s="2964" t="s">
        <v>357</v>
      </c>
      <c r="Q29" t="s">
        <v>4947</v>
      </c>
      <c r="R29" t="s">
        <v>399</v>
      </c>
      <c r="U29" t="s">
        <v>6630</v>
      </c>
    </row>
    <row r="30" spans="5:23">
      <c r="M30" s="2964" t="s">
        <v>1445</v>
      </c>
      <c r="Q30" t="s">
        <v>449</v>
      </c>
      <c r="R30" t="s">
        <v>710</v>
      </c>
    </row>
    <row r="31" spans="5:23">
      <c r="M31" s="2964" t="s">
        <v>3955</v>
      </c>
      <c r="Q31" t="s">
        <v>4952</v>
      </c>
      <c r="R31" t="s">
        <v>1486</v>
      </c>
      <c r="U31" t="s">
        <v>1645</v>
      </c>
    </row>
    <row r="32" spans="5:23">
      <c r="M32" s="2964" t="s">
        <v>561</v>
      </c>
      <c r="Q32" t="s">
        <v>4993</v>
      </c>
      <c r="R32" t="s">
        <v>5058</v>
      </c>
      <c r="U32" t="s">
        <v>1488</v>
      </c>
    </row>
    <row r="33" spans="13:21">
      <c r="M33" s="2964" t="s">
        <v>120</v>
      </c>
      <c r="Q33" t="s">
        <v>5021</v>
      </c>
      <c r="R33" t="s">
        <v>5060</v>
      </c>
      <c r="U33" t="s">
        <v>37</v>
      </c>
    </row>
    <row r="34" spans="13:21">
      <c r="M34" s="2964" t="s">
        <v>312</v>
      </c>
      <c r="R34" t="s">
        <v>4995</v>
      </c>
      <c r="U34" t="s">
        <v>176</v>
      </c>
    </row>
    <row r="35" spans="13:21">
      <c r="M35" s="2964" t="s">
        <v>4301</v>
      </c>
      <c r="R35" t="s">
        <v>5036</v>
      </c>
      <c r="U35" t="s">
        <v>51</v>
      </c>
    </row>
    <row r="36" spans="13:21">
      <c r="M36" s="2964" t="s">
        <v>45</v>
      </c>
      <c r="R36" t="s">
        <v>1837</v>
      </c>
      <c r="U36" t="s">
        <v>2389</v>
      </c>
    </row>
    <row r="37" spans="13:21">
      <c r="M37" s="2964" t="s">
        <v>108</v>
      </c>
      <c r="R37" t="s">
        <v>4959</v>
      </c>
      <c r="U37" t="s">
        <v>6623</v>
      </c>
    </row>
    <row r="38" spans="13:21" ht="16" thickBot="1">
      <c r="M38" s="2965" t="s">
        <v>6631</v>
      </c>
      <c r="Q38" s="120" t="s">
        <v>87</v>
      </c>
      <c r="R38" t="s">
        <v>279</v>
      </c>
      <c r="U38" t="s">
        <v>34</v>
      </c>
    </row>
    <row r="39" spans="13:21">
      <c r="Q39" s="120" t="s">
        <v>69</v>
      </c>
      <c r="R39" t="s">
        <v>4950</v>
      </c>
      <c r="U39" t="s">
        <v>4957</v>
      </c>
    </row>
    <row r="40" spans="13:21">
      <c r="Q40" s="120" t="s">
        <v>154</v>
      </c>
      <c r="R40" t="s">
        <v>4946</v>
      </c>
      <c r="U40" t="s">
        <v>6226</v>
      </c>
    </row>
    <row r="41" spans="13:21" ht="15" customHeight="1">
      <c r="U41" t="s">
        <v>4593</v>
      </c>
    </row>
    <row r="42" spans="13:21" ht="15" customHeight="1">
      <c r="U42" t="s">
        <v>6632</v>
      </c>
    </row>
    <row r="43" spans="13:21" ht="15" customHeight="1">
      <c r="U43" t="s">
        <v>6633</v>
      </c>
    </row>
    <row r="44" spans="13:21" ht="15" customHeight="1">
      <c r="U44" t="s">
        <v>4727</v>
      </c>
    </row>
    <row r="45" spans="13:21" ht="15" customHeight="1">
      <c r="U45" t="s">
        <v>4878</v>
      </c>
    </row>
    <row r="46" spans="13:21" ht="15" customHeight="1">
      <c r="U46" t="s">
        <v>5234</v>
      </c>
    </row>
    <row r="47" spans="13:21" ht="15" customHeight="1">
      <c r="U47" t="s">
        <v>45</v>
      </c>
    </row>
    <row r="48" spans="13:21" ht="15" customHeight="1">
      <c r="U48" t="s">
        <v>958</v>
      </c>
    </row>
    <row r="49" spans="21:21" ht="15" customHeight="1">
      <c r="U49" t="s">
        <v>268</v>
      </c>
    </row>
    <row r="50" spans="21:21" ht="15" customHeight="1">
      <c r="U50" t="s">
        <v>529</v>
      </c>
    </row>
    <row r="355" spans="13:13">
      <c r="M355" t="s">
        <v>413</v>
      </c>
    </row>
    <row r="356" spans="13:13">
      <c r="M356" t="s">
        <v>168</v>
      </c>
    </row>
    <row r="357" spans="13:13">
      <c r="M357" t="s">
        <v>283</v>
      </c>
    </row>
    <row r="358" spans="13:13">
      <c r="M358" t="s">
        <v>1013</v>
      </c>
    </row>
    <row r="359" spans="13:13">
      <c r="M359" t="s">
        <v>780</v>
      </c>
    </row>
    <row r="360" spans="13:13">
      <c r="M360" t="s">
        <v>77</v>
      </c>
    </row>
    <row r="361" spans="13:13">
      <c r="M361" t="s">
        <v>206</v>
      </c>
    </row>
    <row r="362" spans="13:13">
      <c r="M362" t="s">
        <v>189</v>
      </c>
    </row>
    <row r="363" spans="13:13">
      <c r="M363" t="s">
        <v>784</v>
      </c>
    </row>
    <row r="364" spans="13:13">
      <c r="M364" t="s">
        <v>86</v>
      </c>
    </row>
    <row r="365" spans="13:13">
      <c r="M365" t="s">
        <v>254</v>
      </c>
    </row>
    <row r="366" spans="13:13">
      <c r="M366" t="s">
        <v>920</v>
      </c>
    </row>
    <row r="367" spans="13:13">
      <c r="M367" t="s">
        <v>125</v>
      </c>
    </row>
    <row r="368" spans="13:13">
      <c r="M368" t="s">
        <v>1175</v>
      </c>
    </row>
    <row r="369" spans="13:13">
      <c r="M369" t="s">
        <v>94</v>
      </c>
    </row>
    <row r="370" spans="13:13">
      <c r="M370" t="s">
        <v>351</v>
      </c>
    </row>
    <row r="371" spans="13:13">
      <c r="M371" t="s">
        <v>715</v>
      </c>
    </row>
    <row r="372" spans="13:13">
      <c r="M372" t="s">
        <v>3955</v>
      </c>
    </row>
    <row r="373" spans="13:13">
      <c r="M373" t="s">
        <v>561</v>
      </c>
    </row>
    <row r="374" spans="13:13">
      <c r="M374" t="s">
        <v>120</v>
      </c>
    </row>
    <row r="375" spans="13:13">
      <c r="M375" t="s">
        <v>312</v>
      </c>
    </row>
    <row r="376" spans="13:13" ht="15" customHeight="1">
      <c r="M376" t="s">
        <v>54</v>
      </c>
    </row>
    <row r="377" spans="13:13" ht="15" customHeight="1">
      <c r="M377" t="s">
        <v>289</v>
      </c>
    </row>
    <row r="378" spans="13:13" ht="15" customHeight="1">
      <c r="M378" t="s">
        <v>108</v>
      </c>
    </row>
    <row r="379" spans="13:13" ht="15" customHeight="1">
      <c r="M379" t="s">
        <v>45</v>
      </c>
    </row>
    <row r="380" spans="13:13">
      <c r="M380" t="s">
        <v>39</v>
      </c>
    </row>
  </sheetData>
  <conditionalFormatting sqref="U63:U97">
    <cfRule type="dataBar" priority="1">
      <dataBar>
        <cfvo type="min"/>
        <cfvo type="max"/>
        <color rgb="FF63C384"/>
      </dataBar>
      <extLst>
        <ext xmlns:x14="http://schemas.microsoft.com/office/spreadsheetml/2009/9/main" uri="{B025F937-C7B1-47D3-B67F-A62EFF666E3E}">
          <x14:id>{A96E5366-C952-49A9-8279-6C9B8A625224}</x14:id>
        </ext>
      </extLst>
    </cfRule>
  </conditionalFormatting>
  <pageMargins left="0.7" right="0.7" top="0.75" bottom="0.75" header="0.3" footer="0.3"/>
  <pageSetup paperSize="9" orientation="portrait" r:id="rId1"/>
  <headerFooter>
    <oddFooter>&amp;C_x000D_&amp;1#&amp;"Calibri"&amp;10&amp;KFF0000 OFFICIAL - SENSITIVE</oddFooter>
  </headerFooter>
  <legacyDrawing r:id="rId2"/>
  <tableParts count="8">
    <tablePart r:id="rId3"/>
    <tablePart r:id="rId4"/>
    <tablePart r:id="rId5"/>
    <tablePart r:id="rId6"/>
    <tablePart r:id="rId7"/>
    <tablePart r:id="rId8"/>
    <tablePart r:id="rId9"/>
    <tablePart r:id="rId10"/>
  </tableParts>
  <extLst>
    <ext xmlns:x14="http://schemas.microsoft.com/office/spreadsheetml/2009/9/main" uri="{78C0D931-6437-407d-A8EE-F0AAD7539E65}">
      <x14:conditionalFormattings>
        <x14:conditionalFormatting xmlns:xm="http://schemas.microsoft.com/office/excel/2006/main">
          <x14:cfRule type="dataBar" id="{A96E5366-C952-49A9-8279-6C9B8A625224}">
            <x14:dataBar minLength="0" maxLength="100" border="1" negativeBarBorderColorSameAsPositive="0">
              <x14:cfvo type="autoMin"/>
              <x14:cfvo type="autoMax"/>
              <x14:borderColor rgb="FF63C384"/>
              <x14:negativeFillColor rgb="FFFF0000"/>
              <x14:negativeBorderColor rgb="FFFF0000"/>
              <x14:axisColor rgb="FF000000"/>
            </x14:dataBar>
          </x14:cfRule>
          <xm:sqref>U63:U97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a21b84e-126d-4e86-9964-0587ccb47bbb">
      <UserInfo>
        <DisplayName>Procurement and T&amp;C Members</DisplayName>
        <AccountId>46</AccountId>
        <AccountType/>
      </UserInfo>
      <UserInfo>
        <DisplayName>Stacey Speakman</DisplayName>
        <AccountId>19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885D805BB8874B88D63E73ACE5AAA3" ma:contentTypeVersion="7" ma:contentTypeDescription="Create a new document." ma:contentTypeScope="" ma:versionID="98c6ecd880d77de5634ca0ce3fa0c720">
  <xsd:schema xmlns:xsd="http://www.w3.org/2001/XMLSchema" xmlns:xs="http://www.w3.org/2001/XMLSchema" xmlns:p="http://schemas.microsoft.com/office/2006/metadata/properties" xmlns:ns2="39f3f73a-8a73-4718-b880-0428add1ef2d" xmlns:ns3="ca21b84e-126d-4e86-9964-0587ccb47bbb" targetNamespace="http://schemas.microsoft.com/office/2006/metadata/properties" ma:root="true" ma:fieldsID="04a2c8cbb1ef91eac4e88608e2a09b8a" ns2:_="" ns3:_="">
    <xsd:import namespace="39f3f73a-8a73-4718-b880-0428add1ef2d"/>
    <xsd:import namespace="ca21b84e-126d-4e86-9964-0587ccb47b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f3f73a-8a73-4718-b880-0428add1ef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21b84e-126d-4e86-9964-0587ccb47bb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6227C7-CA5E-4E74-B11E-1E497D46C8F6}">
  <ds:schemaRefs>
    <ds:schemaRef ds:uri="http://purl.org/dc/terms/"/>
    <ds:schemaRef ds:uri="39f3f73a-8a73-4718-b880-0428add1ef2d"/>
    <ds:schemaRef ds:uri="http://www.w3.org/XML/1998/namespace"/>
    <ds:schemaRef ds:uri="http://schemas.microsoft.com/office/2006/documentManagement/types"/>
    <ds:schemaRef ds:uri="ca21b84e-126d-4e86-9964-0587ccb47bbb"/>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1D18809-6E3D-47B7-BDF5-46052659B0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f3f73a-8a73-4718-b880-0428add1ef2d"/>
    <ds:schemaRef ds:uri="ca21b84e-126d-4e86-9964-0587ccb47b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4543F6-2447-471B-98AB-19A597A9E4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Above £50K</vt:lpstr>
      <vt:lpstr>COMPLETE 22-23</vt:lpstr>
      <vt:lpstr>Completed Archive 2017-2021</vt:lpstr>
      <vt:lpstr>Deleted</vt:lpstr>
      <vt:lpstr>Query delete</vt:lpstr>
      <vt:lpstr>Updates Summary</vt:lpstr>
      <vt:lpstr>Archive Complete 23-24</vt:lpstr>
      <vt:lpstr>list</vt:lpstr>
      <vt:lpstr>_ HAS</vt:lpstr>
      <vt:lpstr>Community_Development</vt:lpstr>
      <vt:lpstr>CS_Resources</vt:lpstr>
      <vt:lpstr>CYPS_</vt:lpstr>
    </vt:vector>
  </TitlesOfParts>
  <Manager/>
  <Company>NYCC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Stacey.Speakman@northyorks.gov.uk</dc:creator>
  <cp:keywords/>
  <dc:description/>
  <cp:lastModifiedBy>Isobel Lacy</cp:lastModifiedBy>
  <cp:revision/>
  <dcterms:created xsi:type="dcterms:W3CDTF">2016-02-11T14:47:56Z</dcterms:created>
  <dcterms:modified xsi:type="dcterms:W3CDTF">2024-01-17T16:45:46Z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0x010100F7885D805BB8874B88D63E73ACE5AAA3</vt:lpwstr>
  </property>
  <property fmtid="{D5CDD505-2E9C-101B-9397-08002B2CF9AE}" pid="3" name="_dlc_DocIdItemGuid">
    <vt:lpwstr>1ffeaa34-b0a7-4551-8136-7d9e3714ffdc</vt:lpwstr>
  </property>
  <property fmtid="{D5CDD505-2E9C-101B-9397-08002B2CF9AE}" pid="4" name="SV_QUERY_LIST_4F35BF76-6C0D-4D9B-82B2-816C12CF3733">
    <vt:lpwstr>empty_477D106A-C0D6-4607-AEBD-E2C9D60EA279</vt:lpwstr>
  </property>
  <property fmtid="{D5CDD505-2E9C-101B-9397-08002B2CF9AE}" pid="5" name="MSIP_Label_13f27b87-3675-4fb5-85ad-fce3efd3a6b0_Enabled">
    <vt:lpwstr>true</vt:lpwstr>
  </property>
  <property fmtid="{D5CDD505-2E9C-101B-9397-08002B2CF9AE}" pid="6" name="MSIP_Label_13f27b87-3675-4fb5-85ad-fce3efd3a6b0_SetDate">
    <vt:lpwstr>2023-09-15T09:52:03Z</vt:lpwstr>
  </property>
  <property fmtid="{D5CDD505-2E9C-101B-9397-08002B2CF9AE}" pid="7" name="MSIP_Label_13f27b87-3675-4fb5-85ad-fce3efd3a6b0_Method">
    <vt:lpwstr>Standard</vt:lpwstr>
  </property>
  <property fmtid="{D5CDD505-2E9C-101B-9397-08002B2CF9AE}" pid="8" name="MSIP_Label_13f27b87-3675-4fb5-85ad-fce3efd3a6b0_Name">
    <vt:lpwstr>OFFICIAL - SENSITIVE</vt:lpwstr>
  </property>
  <property fmtid="{D5CDD505-2E9C-101B-9397-08002B2CF9AE}" pid="9" name="MSIP_Label_13f27b87-3675-4fb5-85ad-fce3efd3a6b0_SiteId">
    <vt:lpwstr>ad3d9c73-9830-44a1-b487-e1055441c70e</vt:lpwstr>
  </property>
  <property fmtid="{D5CDD505-2E9C-101B-9397-08002B2CF9AE}" pid="10" name="MSIP_Label_13f27b87-3675-4fb5-85ad-fce3efd3a6b0_ActionId">
    <vt:lpwstr>57685e79-9fea-461d-9aca-ed9175d68d53</vt:lpwstr>
  </property>
  <property fmtid="{D5CDD505-2E9C-101B-9397-08002B2CF9AE}" pid="11" name="MSIP_Label_13f27b87-3675-4fb5-85ad-fce3efd3a6b0_ContentBits">
    <vt:lpwstr>2</vt:lpwstr>
  </property>
</Properties>
</file>